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mgovlv-my.sharepoint.com/personal/janis_snaksis_zm_gov_lv/Documents/Desktop/Energoatbalsts_2022/"/>
    </mc:Choice>
  </mc:AlternateContent>
  <xr:revisionPtr revIDLastSave="6" documentId="8_{07DEF7B0-58D4-40D8-966B-E37771D8D1CA}" xr6:coauthVersionLast="47" xr6:coauthVersionMax="47" xr10:uidLastSave="{509F011F-A08C-4400-86A0-F396F4D86365}"/>
  <bookViews>
    <workbookView xWindow="-120" yWindow="-120" windowWidth="29040" windowHeight="15840" tabRatio="621" firstSheet="1" activeTab="1" xr2:uid="{00000000-000D-0000-FFFF-FFFF00000000}"/>
  </bookViews>
  <sheets>
    <sheet name="IZM" sheetId="2" state="hidden" r:id="rId1"/>
    <sheet name="KOPSAVILKUMS" sheetId="19" r:id="rId2"/>
    <sheet name="Silava" sheetId="13" r:id="rId3"/>
    <sheet name="DI" sheetId="16" r:id="rId4"/>
    <sheet name="AREI" sheetId="17" r:id="rId5"/>
    <sheet name="BIOR" sheetId="18" r:id="rId6"/>
    <sheet name="BDV" sheetId="22" r:id="rId7"/>
    <sheet name="MaK" sheetId="23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" i="13" l="1"/>
  <c r="O24" i="16"/>
  <c r="O24" i="17"/>
  <c r="O24" i="18"/>
  <c r="F19" i="19" l="1"/>
  <c r="F17" i="19"/>
  <c r="F11" i="19"/>
  <c r="G17" i="19"/>
  <c r="O24" i="22"/>
  <c r="G15" i="19" s="1"/>
  <c r="O24" i="23"/>
  <c r="G16" i="19" s="1"/>
  <c r="F16" i="19"/>
  <c r="E16" i="19"/>
  <c r="D16" i="19"/>
  <c r="F15" i="19"/>
  <c r="E15" i="19"/>
  <c r="D15" i="19"/>
  <c r="F48" i="23"/>
  <c r="G48" i="23"/>
  <c r="H48" i="23"/>
  <c r="I48" i="23"/>
  <c r="J48" i="23"/>
  <c r="K48" i="23"/>
  <c r="L48" i="23"/>
  <c r="M48" i="23"/>
  <c r="N48" i="23"/>
  <c r="O48" i="23"/>
  <c r="P48" i="23"/>
  <c r="E48" i="23"/>
  <c r="F47" i="23"/>
  <c r="G47" i="23"/>
  <c r="H47" i="23"/>
  <c r="I47" i="23"/>
  <c r="J47" i="23"/>
  <c r="K47" i="23"/>
  <c r="L47" i="23"/>
  <c r="M47" i="23"/>
  <c r="N47" i="23"/>
  <c r="O47" i="23"/>
  <c r="P47" i="23"/>
  <c r="E47" i="23"/>
  <c r="P48" i="22"/>
  <c r="O48" i="22"/>
  <c r="N48" i="22"/>
  <c r="M48" i="22"/>
  <c r="L48" i="22"/>
  <c r="K48" i="22"/>
  <c r="J48" i="22"/>
  <c r="I48" i="22"/>
  <c r="H48" i="22"/>
  <c r="G48" i="22"/>
  <c r="F48" i="22"/>
  <c r="E48" i="22"/>
  <c r="P47" i="22"/>
  <c r="O47" i="22"/>
  <c r="N47" i="22"/>
  <c r="M47" i="22"/>
  <c r="L47" i="22"/>
  <c r="K47" i="22"/>
  <c r="J47" i="22"/>
  <c r="I47" i="22"/>
  <c r="H47" i="22"/>
  <c r="G47" i="22"/>
  <c r="F47" i="22"/>
  <c r="E47" i="22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E7" i="13"/>
  <c r="F7" i="17"/>
  <c r="G7" i="17"/>
  <c r="H7" i="17"/>
  <c r="I7" i="17"/>
  <c r="J7" i="17"/>
  <c r="K7" i="17"/>
  <c r="L7" i="17"/>
  <c r="M7" i="17"/>
  <c r="N7" i="17"/>
  <c r="O7" i="17"/>
  <c r="P7" i="17"/>
  <c r="Q7" i="17"/>
  <c r="R7" i="17"/>
  <c r="S7" i="17"/>
  <c r="T7" i="17"/>
  <c r="U7" i="17"/>
  <c r="V7" i="17"/>
  <c r="W7" i="17"/>
  <c r="X7" i="17"/>
  <c r="Y7" i="17"/>
  <c r="Z7" i="17"/>
  <c r="AA7" i="17"/>
  <c r="AB7" i="17"/>
  <c r="E7" i="17"/>
  <c r="F7" i="22"/>
  <c r="G7" i="22"/>
  <c r="H7" i="22"/>
  <c r="I7" i="22"/>
  <c r="J7" i="22"/>
  <c r="K7" i="22"/>
  <c r="L7" i="22"/>
  <c r="M7" i="22"/>
  <c r="N7" i="22"/>
  <c r="O7" i="22"/>
  <c r="P7" i="22"/>
  <c r="Q7" i="22"/>
  <c r="R7" i="22"/>
  <c r="S7" i="22"/>
  <c r="T7" i="22"/>
  <c r="U7" i="22"/>
  <c r="V7" i="22"/>
  <c r="W7" i="22"/>
  <c r="X7" i="22"/>
  <c r="Y7" i="22"/>
  <c r="Z7" i="22"/>
  <c r="AA7" i="22"/>
  <c r="AB7" i="22"/>
  <c r="E7" i="22"/>
  <c r="F7" i="18"/>
  <c r="G7" i="18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U7" i="18"/>
  <c r="V7" i="18"/>
  <c r="W7" i="18"/>
  <c r="X7" i="18"/>
  <c r="Y7" i="18"/>
  <c r="Z7" i="18"/>
  <c r="AA7" i="18"/>
  <c r="AB7" i="18"/>
  <c r="E7" i="18"/>
  <c r="T7" i="23"/>
  <c r="AA7" i="23"/>
  <c r="AB7" i="23"/>
  <c r="AB8" i="23"/>
  <c r="AA8" i="23"/>
  <c r="Z8" i="23"/>
  <c r="Z7" i="23" s="1"/>
  <c r="Y8" i="23"/>
  <c r="Y7" i="23" s="1"/>
  <c r="X8" i="23"/>
  <c r="X7" i="23" s="1"/>
  <c r="W8" i="23"/>
  <c r="V8" i="23"/>
  <c r="U8" i="23"/>
  <c r="U7" i="23" s="1"/>
  <c r="T8" i="23"/>
  <c r="S8" i="23"/>
  <c r="S7" i="23" s="1"/>
  <c r="R8" i="23"/>
  <c r="R7" i="23" s="1"/>
  <c r="Q8" i="23"/>
  <c r="Q7" i="23" s="1"/>
  <c r="P8" i="23"/>
  <c r="P7" i="23" s="1"/>
  <c r="O8" i="23"/>
  <c r="O7" i="23" s="1"/>
  <c r="N8" i="23"/>
  <c r="M8" i="23"/>
  <c r="M7" i="23" s="1"/>
  <c r="L8" i="23"/>
  <c r="L7" i="23" s="1"/>
  <c r="K8" i="23"/>
  <c r="K7" i="23" s="1"/>
  <c r="J8" i="23"/>
  <c r="J7" i="23" s="1"/>
  <c r="I8" i="23"/>
  <c r="I7" i="23" s="1"/>
  <c r="H8" i="23"/>
  <c r="H7" i="23" s="1"/>
  <c r="G8" i="23"/>
  <c r="G7" i="23" s="1"/>
  <c r="F8" i="23"/>
  <c r="E8" i="23"/>
  <c r="E7" i="23" s="1"/>
  <c r="T12" i="22"/>
  <c r="T8" i="22" s="1"/>
  <c r="S12" i="22"/>
  <c r="R12" i="22"/>
  <c r="R8" i="22" s="1"/>
  <c r="Q12" i="22"/>
  <c r="P12" i="22"/>
  <c r="P8" i="22" s="1"/>
  <c r="O12" i="22"/>
  <c r="N12" i="22"/>
  <c r="N8" i="22" s="1"/>
  <c r="I12" i="22"/>
  <c r="I8" i="22" s="1"/>
  <c r="H12" i="22"/>
  <c r="H8" i="22" s="1"/>
  <c r="G12" i="22"/>
  <c r="F12" i="22"/>
  <c r="F8" i="22" s="1"/>
  <c r="E12" i="22"/>
  <c r="E8" i="22" s="1"/>
  <c r="AB8" i="22"/>
  <c r="AA8" i="22"/>
  <c r="Z8" i="22"/>
  <c r="Y8" i="22"/>
  <c r="X8" i="22"/>
  <c r="X9" i="22" s="1"/>
  <c r="W8" i="22"/>
  <c r="V8" i="22"/>
  <c r="U8" i="22"/>
  <c r="S8" i="22"/>
  <c r="Q8" i="22"/>
  <c r="Q9" i="22" s="1"/>
  <c r="O8" i="22"/>
  <c r="M8" i="22"/>
  <c r="L8" i="22"/>
  <c r="K8" i="22"/>
  <c r="J8" i="22"/>
  <c r="G8" i="22"/>
  <c r="Y9" i="22" l="1"/>
  <c r="T9" i="22"/>
  <c r="U9" i="22"/>
  <c r="W7" i="23"/>
  <c r="V7" i="23"/>
  <c r="N7" i="23"/>
  <c r="F7" i="23"/>
  <c r="M24" i="23"/>
  <c r="L24" i="23"/>
  <c r="AB9" i="22"/>
  <c r="L24" i="22"/>
  <c r="R9" i="22"/>
  <c r="AA9" i="22"/>
  <c r="M24" i="22"/>
  <c r="Z9" i="22"/>
  <c r="S9" i="22"/>
  <c r="V9" i="22"/>
  <c r="W9" i="22"/>
  <c r="N24" i="22" l="1"/>
  <c r="N24" i="23"/>
  <c r="F8" i="16" l="1"/>
  <c r="F7" i="16" s="1"/>
  <c r="G8" i="16"/>
  <c r="G7" i="16" s="1"/>
  <c r="H8" i="16"/>
  <c r="H7" i="16" s="1"/>
  <c r="I8" i="16"/>
  <c r="I7" i="16" s="1"/>
  <c r="J8" i="16"/>
  <c r="J7" i="16" s="1"/>
  <c r="K8" i="16"/>
  <c r="L8" i="16"/>
  <c r="L7" i="16" s="1"/>
  <c r="M8" i="16"/>
  <c r="M7" i="16" s="1"/>
  <c r="N8" i="16"/>
  <c r="N7" i="16" s="1"/>
  <c r="O8" i="16"/>
  <c r="O7" i="16" s="1"/>
  <c r="P8" i="16"/>
  <c r="P7" i="16" s="1"/>
  <c r="Q8" i="16"/>
  <c r="Q7" i="16" s="1"/>
  <c r="R8" i="16"/>
  <c r="R7" i="16" s="1"/>
  <c r="S8" i="16"/>
  <c r="S7" i="16" s="1"/>
  <c r="T8" i="16"/>
  <c r="T7" i="16" s="1"/>
  <c r="U8" i="16"/>
  <c r="U7" i="16" s="1"/>
  <c r="V8" i="16"/>
  <c r="V7" i="16" s="1"/>
  <c r="W8" i="16"/>
  <c r="X8" i="16"/>
  <c r="X7" i="16" s="1"/>
  <c r="Y8" i="16"/>
  <c r="Y7" i="16" s="1"/>
  <c r="Z8" i="16"/>
  <c r="Z7" i="16" s="1"/>
  <c r="AA8" i="16"/>
  <c r="AB8" i="16"/>
  <c r="AB7" i="16" s="1"/>
  <c r="E8" i="16"/>
  <c r="E7" i="16" s="1"/>
  <c r="F8" i="18"/>
  <c r="F47" i="18" s="1"/>
  <c r="G8" i="18"/>
  <c r="G47" i="18" s="1"/>
  <c r="H8" i="18"/>
  <c r="H47" i="18" s="1"/>
  <c r="I8" i="18"/>
  <c r="I47" i="18" s="1"/>
  <c r="J8" i="18"/>
  <c r="J47" i="18" s="1"/>
  <c r="K8" i="18"/>
  <c r="K47" i="18" s="1"/>
  <c r="L8" i="18"/>
  <c r="L47" i="18" s="1"/>
  <c r="M8" i="18"/>
  <c r="M47" i="18" s="1"/>
  <c r="N8" i="18"/>
  <c r="N47" i="18" s="1"/>
  <c r="O8" i="18"/>
  <c r="O47" i="18" s="1"/>
  <c r="P8" i="18"/>
  <c r="P47" i="18" s="1"/>
  <c r="Q8" i="18"/>
  <c r="R8" i="18"/>
  <c r="S8" i="18"/>
  <c r="G48" i="18" s="1"/>
  <c r="T8" i="18"/>
  <c r="U8" i="18"/>
  <c r="V8" i="18"/>
  <c r="W8" i="18"/>
  <c r="K48" i="18" s="1"/>
  <c r="X8" i="18"/>
  <c r="L48" i="18" s="1"/>
  <c r="Y8" i="18"/>
  <c r="M48" i="18" s="1"/>
  <c r="Z8" i="18"/>
  <c r="AA8" i="18"/>
  <c r="O48" i="18" s="1"/>
  <c r="E8" i="18"/>
  <c r="K47" i="16" l="1"/>
  <c r="K7" i="16"/>
  <c r="K48" i="16"/>
  <c r="W7" i="16"/>
  <c r="O48" i="16"/>
  <c r="AA7" i="16"/>
  <c r="L24" i="16"/>
  <c r="E47" i="16"/>
  <c r="P48" i="16"/>
  <c r="H48" i="16"/>
  <c r="G48" i="16"/>
  <c r="M47" i="16"/>
  <c r="L47" i="16"/>
  <c r="N48" i="16"/>
  <c r="F48" i="16"/>
  <c r="J47" i="16"/>
  <c r="M48" i="16"/>
  <c r="L48" i="16"/>
  <c r="P47" i="16"/>
  <c r="H47" i="16"/>
  <c r="I48" i="16"/>
  <c r="E48" i="16"/>
  <c r="O47" i="16"/>
  <c r="G47" i="16"/>
  <c r="I47" i="16"/>
  <c r="J48" i="16"/>
  <c r="N47" i="16"/>
  <c r="F47" i="16"/>
  <c r="I48" i="18"/>
  <c r="H48" i="18"/>
  <c r="N48" i="18"/>
  <c r="F48" i="18"/>
  <c r="E48" i="18"/>
  <c r="L24" i="18"/>
  <c r="E47" i="18"/>
  <c r="J48" i="18"/>
  <c r="D7" i="19"/>
  <c r="D9" i="19"/>
  <c r="M24" i="16"/>
  <c r="F8" i="17"/>
  <c r="F47" i="17" s="1"/>
  <c r="G8" i="17"/>
  <c r="G47" i="17" s="1"/>
  <c r="H8" i="17"/>
  <c r="H47" i="17" s="1"/>
  <c r="I8" i="17"/>
  <c r="I47" i="17" s="1"/>
  <c r="J8" i="17"/>
  <c r="J47" i="17" s="1"/>
  <c r="K8" i="17"/>
  <c r="K47" i="17" s="1"/>
  <c r="L8" i="17"/>
  <c r="L47" i="17" s="1"/>
  <c r="M8" i="17"/>
  <c r="M47" i="17" s="1"/>
  <c r="N8" i="17"/>
  <c r="N47" i="17" s="1"/>
  <c r="O8" i="17"/>
  <c r="O47" i="17" s="1"/>
  <c r="P8" i="17"/>
  <c r="P47" i="17" s="1"/>
  <c r="Q8" i="17"/>
  <c r="E48" i="17" s="1"/>
  <c r="R8" i="17"/>
  <c r="F48" i="17" s="1"/>
  <c r="S8" i="17"/>
  <c r="G48" i="17" s="1"/>
  <c r="T8" i="17"/>
  <c r="H48" i="17" s="1"/>
  <c r="U8" i="17"/>
  <c r="I48" i="17" s="1"/>
  <c r="V8" i="17"/>
  <c r="J48" i="17" s="1"/>
  <c r="W8" i="17"/>
  <c r="K48" i="17" s="1"/>
  <c r="X8" i="17"/>
  <c r="L48" i="17" s="1"/>
  <c r="Y8" i="17"/>
  <c r="M48" i="17" s="1"/>
  <c r="Z8" i="17"/>
  <c r="N48" i="17" s="1"/>
  <c r="AA8" i="17"/>
  <c r="O48" i="17" s="1"/>
  <c r="AB8" i="17"/>
  <c r="P48" i="17" s="1"/>
  <c r="E8" i="17"/>
  <c r="AB8" i="13"/>
  <c r="AA8" i="13"/>
  <c r="Z8" i="13"/>
  <c r="Y8" i="13"/>
  <c r="M48" i="13" s="1"/>
  <c r="X8" i="13"/>
  <c r="W8" i="13"/>
  <c r="K48" i="13" s="1"/>
  <c r="V8" i="13"/>
  <c r="U8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L24" i="17" l="1"/>
  <c r="E47" i="17"/>
  <c r="F48" i="13"/>
  <c r="L47" i="13"/>
  <c r="H47" i="13"/>
  <c r="P47" i="13"/>
  <c r="L48" i="13"/>
  <c r="I47" i="13"/>
  <c r="E48" i="13"/>
  <c r="M24" i="13"/>
  <c r="J47" i="13"/>
  <c r="G48" i="13"/>
  <c r="O48" i="13"/>
  <c r="N48" i="13"/>
  <c r="P48" i="13"/>
  <c r="H48" i="13"/>
  <c r="E47" i="13"/>
  <c r="L24" i="13"/>
  <c r="D8" i="19" s="1"/>
  <c r="M47" i="13"/>
  <c r="I48" i="13"/>
  <c r="K47" i="13"/>
  <c r="F47" i="13"/>
  <c r="N47" i="13"/>
  <c r="J48" i="13"/>
  <c r="G47" i="13"/>
  <c r="O47" i="13"/>
  <c r="M24" i="17"/>
  <c r="D10" i="19"/>
  <c r="N24" i="16"/>
  <c r="E9" i="19"/>
  <c r="AB12" i="18"/>
  <c r="AB8" i="18" s="1"/>
  <c r="P48" i="18" l="1"/>
  <c r="M24" i="18"/>
  <c r="E7" i="19" s="1"/>
  <c r="E8" i="19"/>
  <c r="N24" i="13"/>
  <c r="G9" i="19"/>
  <c r="F9" i="19"/>
  <c r="E10" i="19"/>
  <c r="N24" i="17"/>
  <c r="N24" i="18" l="1"/>
  <c r="G7" i="19" s="1"/>
  <c r="G8" i="19"/>
  <c r="F8" i="19"/>
  <c r="F7" i="19"/>
  <c r="G10" i="19"/>
  <c r="F10" i="19"/>
  <c r="G11" i="19" l="1"/>
  <c r="G19" i="19"/>
  <c r="O9" i="2"/>
  <c r="R13" i="2"/>
  <c r="S13" i="2"/>
  <c r="L11" i="2"/>
  <c r="M11" i="2"/>
  <c r="F11" i="2"/>
  <c r="G11" i="2" s="1"/>
  <c r="H11" i="2" s="1"/>
  <c r="I11" i="2" s="1"/>
  <c r="K10" i="2"/>
  <c r="L10" i="2" s="1"/>
  <c r="F10" i="2"/>
  <c r="G10" i="2" s="1"/>
  <c r="P9" i="2"/>
  <c r="Q12" i="2"/>
  <c r="Q13" i="2"/>
  <c r="Q14" i="2"/>
  <c r="Q15" i="2"/>
  <c r="Q16" i="2"/>
  <c r="K9" i="2"/>
  <c r="J9" i="2"/>
  <c r="E9" i="2"/>
  <c r="M10" i="2" l="1"/>
  <c r="L9" i="2"/>
  <c r="H10" i="2"/>
  <c r="G9" i="2"/>
  <c r="M9" i="2"/>
  <c r="N10" i="2"/>
  <c r="N11" i="2"/>
  <c r="Q11" i="2" s="1"/>
  <c r="R11" i="2" s="1"/>
  <c r="S11" i="2" s="1"/>
  <c r="F9" i="2"/>
  <c r="N9" i="2" l="1"/>
  <c r="U9" i="2" s="1"/>
  <c r="I10" i="2"/>
  <c r="I9" i="2" s="1"/>
  <c r="H9" i="2"/>
  <c r="T9" i="2" s="1"/>
  <c r="T10" i="2" l="1"/>
  <c r="U10" i="2" s="1"/>
  <c r="V10" i="2" s="1"/>
  <c r="W10" i="2" s="1"/>
  <c r="V9" i="2"/>
  <c r="Q10" i="2"/>
  <c r="R10" i="2" l="1"/>
  <c r="Q9" i="2"/>
  <c r="R9" i="2" l="1"/>
  <c r="S10" i="2"/>
  <c r="S9" i="2" s="1"/>
</calcChain>
</file>

<file path=xl/sharedStrings.xml><?xml version="1.0" encoding="utf-8"?>
<sst xmlns="http://schemas.openxmlformats.org/spreadsheetml/2006/main" count="627" uniqueCount="99">
  <si>
    <t>Izdevumu EKK</t>
  </si>
  <si>
    <t>Nr.p.k.</t>
  </si>
  <si>
    <t>1.</t>
  </si>
  <si>
    <t>Elektroenerģija</t>
  </si>
  <si>
    <t>1.1.</t>
  </si>
  <si>
    <t>1.2.</t>
  </si>
  <si>
    <t>1.3.</t>
  </si>
  <si>
    <t>1.4.</t>
  </si>
  <si>
    <t>Energoresursu izmaksu sadārdzinājums</t>
  </si>
  <si>
    <t>Skaidrojums par veiktajām korekcijām</t>
  </si>
  <si>
    <t>a</t>
  </si>
  <si>
    <t>b</t>
  </si>
  <si>
    <t>c</t>
  </si>
  <si>
    <t>d</t>
  </si>
  <si>
    <t>e</t>
  </si>
  <si>
    <t>g</t>
  </si>
  <si>
    <t>h</t>
  </si>
  <si>
    <t>k</t>
  </si>
  <si>
    <t>l</t>
  </si>
  <si>
    <t>n</t>
  </si>
  <si>
    <t>o</t>
  </si>
  <si>
    <t>Dabasgāze</t>
  </si>
  <si>
    <t>Ogles</t>
  </si>
  <si>
    <t>Kurināmā koksne</t>
  </si>
  <si>
    <t>1.5.</t>
  </si>
  <si>
    <t>1.6.</t>
  </si>
  <si>
    <t>Janvāris (par decembri)</t>
  </si>
  <si>
    <t>Februāris (par janvāri)</t>
  </si>
  <si>
    <t>Marts (par februāri)</t>
  </si>
  <si>
    <t>Aprīlis (par martu)</t>
  </si>
  <si>
    <t>i</t>
  </si>
  <si>
    <t>m</t>
  </si>
  <si>
    <t>1.7.</t>
  </si>
  <si>
    <t>Maijs (par aprīli)</t>
  </si>
  <si>
    <t>j</t>
  </si>
  <si>
    <t>Energoresursu  izmaksu pieaugums 2022.g. janvāris - maijs</t>
  </si>
  <si>
    <t>Izdevumi pēc naudas plūsmas principa par 2021.gadu  EUR</t>
  </si>
  <si>
    <t>Izdevumi pēc naudas plūsmas principa par 2022.gadu EUR</t>
  </si>
  <si>
    <t>Norādīt citu konkrētu energoresursu veidu</t>
  </si>
  <si>
    <t>Siltumenerģija apkurei</t>
  </si>
  <si>
    <t>f</t>
  </si>
  <si>
    <t>p=i+j+k+l+m-d-e-f-g-h+n</t>
  </si>
  <si>
    <t>Korekcijas (+/-), lai dati būtu salīdzināmi</t>
  </si>
  <si>
    <t>2022.gada ___.___________</t>
  </si>
  <si>
    <t>Sagatavotājs:</t>
  </si>
  <si>
    <t>(Vārds, Uzvārds, telefona nr., epasts)</t>
  </si>
  <si>
    <t xml:space="preserve">Kopā energoresursi: </t>
  </si>
  <si>
    <t>x</t>
  </si>
  <si>
    <r>
      <t xml:space="preserve">   tai skaitā konts:_________________________________ (</t>
    </r>
    <r>
      <rPr>
        <b/>
        <i/>
        <sz val="10"/>
        <rFont val="Times New Roman"/>
        <family val="1"/>
      </rPr>
      <t>norēķinu konta numurs</t>
    </r>
    <r>
      <rPr>
        <b/>
        <sz val="10"/>
        <rFont val="Times New Roman"/>
        <family val="1"/>
      </rPr>
      <t>)</t>
    </r>
  </si>
  <si>
    <t>Energoresursu veids</t>
  </si>
  <si>
    <t xml:space="preserve">97.01.00 Ministrijas centrālā aparāta darbības nodrošināšana </t>
  </si>
  <si>
    <t>Vid.izm. Menesī</t>
  </si>
  <si>
    <t xml:space="preserve">Vidējās pieaugums mēnesī </t>
  </si>
  <si>
    <t>Vidējās pieagums gadā</t>
  </si>
  <si>
    <t>Elektroenerģijas maksas samazinājums no 01.01.2022.-30.04.2022</t>
  </si>
  <si>
    <t>Decembris (par novembri)</t>
  </si>
  <si>
    <t>Novembris(par oktobri)</t>
  </si>
  <si>
    <t>Oktobris (par septembri)</t>
  </si>
  <si>
    <t>Septembris (par augustu)</t>
  </si>
  <si>
    <t>Augusts(par jūliju)</t>
  </si>
  <si>
    <t>Jūlijs (par jūniju)</t>
  </si>
  <si>
    <t>Jūnijs (par maiju)</t>
  </si>
  <si>
    <t>Starpība %</t>
  </si>
  <si>
    <t>Siltumenerģija apkurei (2221)</t>
  </si>
  <si>
    <t>KOPĀ</t>
  </si>
  <si>
    <t>Latvijas Valsts mežzinātnes institūts "Silava" (SILAVA) Energoresursu izmaksu sadārdzinājums</t>
  </si>
  <si>
    <t>Energoresurss: Degviela</t>
  </si>
  <si>
    <t>LBTU APP Dārzkopības institūts (DI)  Energoresursu izmaksu sadārdzinājums</t>
  </si>
  <si>
    <t>Kurināmā koksne (granulas)</t>
  </si>
  <si>
    <t>LBTU APP Agroresursu un ekonomikas institūts (AREI) Energoresursu izmaksu sadārdzinājums</t>
  </si>
  <si>
    <t>Augusts (par jūliju)</t>
  </si>
  <si>
    <t>Centralizēti - Rīgas Siltums</t>
  </si>
  <si>
    <t>Sagatavotājs: Guntis Zālītis, Juris Multiņš, guntis.zalitis@arei.lv, juris.multins@arei.lv, 26511022.</t>
  </si>
  <si>
    <t>Pārtikas drošības, dzīvnieku veselības un vides zinātniskais institūts "BIOR" (BIOR)  Energoresursu izmaksu sadārdzinājums</t>
  </si>
  <si>
    <t xml:space="preserve"> +  /_</t>
  </si>
  <si>
    <t>BIOR</t>
  </si>
  <si>
    <t>SILAVA</t>
  </si>
  <si>
    <t>Eur</t>
  </si>
  <si>
    <r>
      <rPr>
        <sz val="11"/>
        <color theme="2" tint="-0.249977111117893"/>
        <rFont val="Segoe UI Light"/>
        <family val="2"/>
        <charset val="186"/>
      </rPr>
      <t>LBTU APP</t>
    </r>
    <r>
      <rPr>
        <sz val="11"/>
        <color theme="1"/>
        <rFont val="Segoe UI Light"/>
        <family val="2"/>
        <charset val="186"/>
      </rPr>
      <t xml:space="preserve"> Dārzkopības institūts</t>
    </r>
  </si>
  <si>
    <r>
      <rPr>
        <sz val="11"/>
        <color theme="2" tint="-0.249977111117893"/>
        <rFont val="Segoe UI Light"/>
        <family val="2"/>
        <charset val="186"/>
      </rPr>
      <t>LBTU APP</t>
    </r>
    <r>
      <rPr>
        <sz val="11"/>
        <color theme="1"/>
        <rFont val="Segoe UI Light"/>
        <family val="2"/>
        <charset val="186"/>
      </rPr>
      <t xml:space="preserve"> AREI</t>
    </r>
  </si>
  <si>
    <t>50% no pieauguma</t>
  </si>
  <si>
    <t>Bulduru Dārzkopības vidusskola  (BDV) Energoresursu izmaksu sadārdzinājums</t>
  </si>
  <si>
    <t>2022.gada 23.novembris</t>
  </si>
  <si>
    <t>(Inga Falkenburga, 26594024, inga.falkenburga@bulduri.lv)</t>
  </si>
  <si>
    <t>naudas plūsma uz 22.11.2022</t>
  </si>
  <si>
    <t>Malnavas koledža (MaK) Energoresursu izmaksu sadārdzinājums</t>
  </si>
  <si>
    <t>Šķelda</t>
  </si>
  <si>
    <t>Septembrī nav izdevumu par apkuri, jo apkurese sezonu uzsākām oktobrī.</t>
  </si>
  <si>
    <t>(Svetlana Sprukte, 29465966, svetlana.sprukte@malnavaskoledza.lv</t>
  </si>
  <si>
    <t>Šķeldas izmaksas par oktobri, novembri, decembri  prognozētas pēc iepriekšējā gada patēŗiņa un tekošā gada cenām</t>
  </si>
  <si>
    <t>Elektroenerģijas izmaksas pardecembri  prognozētas pēc iepriekšējā gada patēŗiņa un tekošā gada cenām</t>
  </si>
  <si>
    <t>Energoresursi</t>
  </si>
  <si>
    <t xml:space="preserve"> +  /_ Eur</t>
  </si>
  <si>
    <t>50% no pieauguma, Eur</t>
  </si>
  <si>
    <t>Kopā</t>
  </si>
  <si>
    <r>
      <rPr>
        <sz val="11"/>
        <color theme="0" tint="-0.249977111117893"/>
        <rFont val="Segoe UI Light"/>
        <family val="2"/>
        <charset val="186"/>
      </rPr>
      <t>LBTU</t>
    </r>
    <r>
      <rPr>
        <sz val="11"/>
        <color theme="1"/>
        <rFont val="Segoe UI Light"/>
        <family val="2"/>
        <charset val="186"/>
      </rPr>
      <t xml:space="preserve"> BDV</t>
    </r>
  </si>
  <si>
    <r>
      <rPr>
        <sz val="11"/>
        <color theme="0" tint="-0.249977111117893"/>
        <rFont val="Segoe UI Light"/>
        <family val="2"/>
        <charset val="186"/>
      </rPr>
      <t>LBTU</t>
    </r>
    <r>
      <rPr>
        <sz val="11"/>
        <color theme="1"/>
        <rFont val="Segoe UI Light"/>
        <family val="2"/>
        <charset val="186"/>
      </rPr>
      <t xml:space="preserve"> MaK</t>
    </r>
  </si>
  <si>
    <t xml:space="preserve">Energoresursi </t>
  </si>
  <si>
    <t>Izdevumi pēc naudas plūsmas principa par 2022.gadu EUR
Faktiskie izdevumi līdz 30.novembrim un prognozētie decembra mēnesī.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</si>
</sst>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"/>
    <numFmt numFmtId="166" formatCode="_-* #,##0\ _€_-;\-* #,##0\ _€_-;_-* &quot;-&quot;??\ _€_-;_-@_-"/>
  </numFmts>
  <fonts count="35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theme="4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4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Segoe UI Light"/>
      <family val="2"/>
      <charset val="186"/>
    </font>
    <font>
      <b/>
      <sz val="20"/>
      <color theme="8" tint="-0.499984740745262"/>
      <name val="Segoe UI Light"/>
      <family val="2"/>
      <charset val="186"/>
    </font>
    <font>
      <sz val="11"/>
      <color rgb="FFFF0000"/>
      <name val="Segoe UI Light"/>
      <family val="2"/>
      <charset val="186"/>
    </font>
    <font>
      <sz val="14"/>
      <color rgb="FFFF0000"/>
      <name val="Segoe UI Light"/>
      <family val="2"/>
      <charset val="186"/>
    </font>
    <font>
      <b/>
      <sz val="16"/>
      <color theme="1"/>
      <name val="Segoe UI Light"/>
      <family val="2"/>
      <charset val="186"/>
    </font>
    <font>
      <b/>
      <sz val="12"/>
      <color rgb="FFFF0000"/>
      <name val="Segoe UI Light"/>
      <family val="2"/>
      <charset val="186"/>
    </font>
    <font>
      <sz val="11"/>
      <color theme="2" tint="-0.249977111117893"/>
      <name val="Segoe UI Light"/>
      <family val="2"/>
      <charset val="186"/>
    </font>
    <font>
      <b/>
      <sz val="14"/>
      <color theme="1"/>
      <name val="Segoe UI Light"/>
      <family val="2"/>
      <charset val="186"/>
    </font>
    <font>
      <sz val="10"/>
      <color theme="1"/>
      <name val="Segoe UI Light"/>
      <family val="2"/>
      <charset val="186"/>
    </font>
    <font>
      <b/>
      <sz val="10"/>
      <color theme="1"/>
      <name val="Segoe UI Light"/>
      <family val="2"/>
      <charset val="186"/>
    </font>
    <font>
      <sz val="9"/>
      <color theme="1"/>
      <name val="Segoe UI Light"/>
      <family val="2"/>
      <charset val="186"/>
    </font>
    <font>
      <sz val="10"/>
      <color theme="4"/>
      <name val="Segoe UI Light"/>
      <family val="2"/>
      <charset val="186"/>
    </font>
    <font>
      <b/>
      <sz val="10"/>
      <name val="Segoe UI Light"/>
      <family val="2"/>
      <charset val="186"/>
    </font>
    <font>
      <sz val="10"/>
      <name val="Segoe UI Light"/>
      <family val="2"/>
      <charset val="186"/>
    </font>
    <font>
      <sz val="10"/>
      <color rgb="FFFF0000"/>
      <name val="Segoe UI Light"/>
      <family val="2"/>
      <charset val="186"/>
    </font>
    <font>
      <sz val="11"/>
      <name val="Segoe UI Light"/>
      <family val="2"/>
      <charset val="186"/>
    </font>
    <font>
      <i/>
      <sz val="10"/>
      <name val="Segoe UI Light"/>
      <family val="2"/>
      <charset val="186"/>
    </font>
    <font>
      <b/>
      <sz val="11"/>
      <color rgb="FFFF0000"/>
      <name val="Segoe UI Light"/>
      <family val="2"/>
      <charset val="186"/>
    </font>
    <font>
      <b/>
      <sz val="9"/>
      <color theme="1"/>
      <name val="Segoe UI Light"/>
      <family val="2"/>
      <charset val="186"/>
    </font>
    <font>
      <b/>
      <sz val="9"/>
      <name val="Segoe UI Light"/>
      <family val="2"/>
      <charset val="186"/>
    </font>
    <font>
      <sz val="11"/>
      <color theme="0" tint="-0.249977111117893"/>
      <name val="Segoe UI Light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4" tint="-0.24994659260841701"/>
      </left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8" tint="-0.499984740745262"/>
      </left>
      <right style="thick">
        <color theme="8" tint="-0.499984740745262"/>
      </right>
      <top/>
      <bottom/>
      <diagonal/>
    </border>
    <border>
      <left style="thick">
        <color theme="4" tint="-0.24994659260841701"/>
      </left>
      <right style="thick">
        <color theme="8" tint="-0.499984740745262"/>
      </right>
      <top/>
      <bottom style="thick">
        <color theme="4" tint="-0.24994659260841701"/>
      </bottom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 style="thick">
        <color theme="8" tint="-0.499984740745262"/>
      </left>
      <right style="thick">
        <color theme="8" tint="-0.499984740745262"/>
      </right>
      <top/>
      <bottom style="thick">
        <color theme="4" tint="-0.24994659260841701"/>
      </bottom>
      <diagonal/>
    </border>
    <border>
      <left/>
      <right style="thick">
        <color theme="8" tint="-0.499984740745262"/>
      </right>
      <top/>
      <bottom/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 style="thick">
        <color theme="8" tint="-0.499984740745262"/>
      </right>
      <top/>
      <bottom/>
      <diagonal/>
    </border>
  </borders>
  <cellStyleXfs count="4">
    <xf numFmtId="0" fontId="0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19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/>
    <xf numFmtId="0" fontId="9" fillId="0" borderId="1" xfId="0" applyFont="1" applyFill="1" applyBorder="1"/>
    <xf numFmtId="0" fontId="9" fillId="0" borderId="0" xfId="0" applyFont="1"/>
    <xf numFmtId="49" fontId="6" fillId="0" borderId="0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4" fontId="1" fillId="4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/>
    <xf numFmtId="4" fontId="1" fillId="0" borderId="1" xfId="0" applyNumberFormat="1" applyFont="1" applyFill="1" applyBorder="1"/>
    <xf numFmtId="4" fontId="1" fillId="4" borderId="1" xfId="0" applyNumberFormat="1" applyFont="1" applyFill="1" applyBorder="1"/>
    <xf numFmtId="4" fontId="8" fillId="0" borderId="1" xfId="0" applyNumberFormat="1" applyFont="1" applyFill="1" applyBorder="1"/>
    <xf numFmtId="4" fontId="3" fillId="0" borderId="1" xfId="0" applyNumberFormat="1" applyFont="1" applyFill="1" applyBorder="1"/>
    <xf numFmtId="4" fontId="0" fillId="0" borderId="0" xfId="0" applyNumberFormat="1"/>
    <xf numFmtId="0" fontId="12" fillId="0" borderId="0" xfId="0" applyFont="1"/>
    <xf numFmtId="0" fontId="14" fillId="0" borderId="0" xfId="0" applyFont="1"/>
    <xf numFmtId="0" fontId="14" fillId="0" borderId="12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/>
    <xf numFmtId="0" fontId="14" fillId="0" borderId="5" xfId="0" applyFont="1" applyBorder="1"/>
    <xf numFmtId="0" fontId="14" fillId="0" borderId="7" xfId="0" applyFont="1" applyBorder="1"/>
    <xf numFmtId="4" fontId="14" fillId="0" borderId="5" xfId="0" applyNumberFormat="1" applyFont="1" applyBorder="1"/>
    <xf numFmtId="4" fontId="14" fillId="0" borderId="7" xfId="0" applyNumberFormat="1" applyFont="1" applyBorder="1"/>
    <xf numFmtId="4" fontId="14" fillId="0" borderId="0" xfId="0" applyNumberFormat="1" applyFont="1"/>
    <xf numFmtId="166" fontId="17" fillId="0" borderId="8" xfId="1" applyNumberFormat="1" applyFont="1" applyBorder="1"/>
    <xf numFmtId="0" fontId="18" fillId="6" borderId="0" xfId="0" applyFont="1" applyFill="1"/>
    <xf numFmtId="0" fontId="14" fillId="6" borderId="0" xfId="0" applyFont="1" applyFill="1"/>
    <xf numFmtId="0" fontId="14" fillId="6" borderId="14" xfId="0" applyFont="1" applyFill="1" applyBorder="1"/>
    <xf numFmtId="3" fontId="14" fillId="6" borderId="0" xfId="0" applyNumberFormat="1" applyFont="1" applyFill="1"/>
    <xf numFmtId="3" fontId="19" fillId="6" borderId="0" xfId="0" applyNumberFormat="1" applyFont="1" applyFill="1"/>
    <xf numFmtId="0" fontId="16" fillId="6" borderId="0" xfId="0" applyFont="1" applyFill="1"/>
    <xf numFmtId="0" fontId="14" fillId="7" borderId="14" xfId="0" applyFont="1" applyFill="1" applyBorder="1"/>
    <xf numFmtId="3" fontId="14" fillId="7" borderId="0" xfId="0" applyNumberFormat="1" applyFont="1" applyFill="1"/>
    <xf numFmtId="3" fontId="14" fillId="7" borderId="15" xfId="0" applyNumberFormat="1" applyFont="1" applyFill="1" applyBorder="1"/>
    <xf numFmtId="3" fontId="14" fillId="7" borderId="5" xfId="0" applyNumberFormat="1" applyFont="1" applyFill="1" applyBorder="1"/>
    <xf numFmtId="166" fontId="17" fillId="0" borderId="8" xfId="3" applyNumberFormat="1" applyFont="1" applyBorder="1"/>
    <xf numFmtId="0" fontId="14" fillId="6" borderId="0" xfId="0" applyFont="1" applyFill="1" applyBorder="1"/>
    <xf numFmtId="3" fontId="14" fillId="6" borderId="0" xfId="0" applyNumberFormat="1" applyFont="1" applyFill="1" applyBorder="1"/>
    <xf numFmtId="49" fontId="22" fillId="0" borderId="1" xfId="0" applyNumberFormat="1" applyFont="1" applyBorder="1" applyAlignment="1">
      <alignment horizontal="center" wrapText="1"/>
    </xf>
    <xf numFmtId="49" fontId="22" fillId="6" borderId="1" xfId="0" applyNumberFormat="1" applyFont="1" applyFill="1" applyBorder="1" applyAlignment="1">
      <alignment horizontal="center" wrapText="1"/>
    </xf>
    <xf numFmtId="49" fontId="22" fillId="5" borderId="1" xfId="0" applyNumberFormat="1" applyFont="1" applyFill="1" applyBorder="1" applyAlignment="1">
      <alignment horizontal="center" wrapText="1"/>
    </xf>
    <xf numFmtId="0" fontId="24" fillId="0" borderId="1" xfId="0" applyFont="1" applyBorder="1" applyAlignment="1">
      <alignment horizontal="center"/>
    </xf>
    <xf numFmtId="49" fontId="24" fillId="0" borderId="1" xfId="0" applyNumberFormat="1" applyFont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 wrapText="1"/>
    </xf>
    <xf numFmtId="49" fontId="24" fillId="5" borderId="1" xfId="0" applyNumberFormat="1" applyFont="1" applyFill="1" applyBorder="1" applyAlignment="1">
      <alignment horizontal="center" wrapText="1"/>
    </xf>
    <xf numFmtId="49" fontId="25" fillId="0" borderId="1" xfId="0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/>
    </xf>
    <xf numFmtId="4" fontId="26" fillId="0" borderId="1" xfId="0" applyNumberFormat="1" applyFont="1" applyBorder="1"/>
    <xf numFmtId="4" fontId="26" fillId="6" borderId="1" xfId="0" applyNumberFormat="1" applyFont="1" applyFill="1" applyBorder="1"/>
    <xf numFmtId="4" fontId="22" fillId="5" borderId="1" xfId="0" applyNumberFormat="1" applyFont="1" applyFill="1" applyBorder="1"/>
    <xf numFmtId="49" fontId="22" fillId="0" borderId="1" xfId="0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left" vertical="center"/>
    </xf>
    <xf numFmtId="49" fontId="27" fillId="0" borderId="1" xfId="0" applyNumberFormat="1" applyFont="1" applyBorder="1" applyAlignment="1">
      <alignment horizontal="left" vertical="center"/>
    </xf>
    <xf numFmtId="4" fontId="27" fillId="0" borderId="1" xfId="0" applyNumberFormat="1" applyFont="1" applyBorder="1"/>
    <xf numFmtId="4" fontId="27" fillId="6" borderId="1" xfId="0" applyNumberFormat="1" applyFont="1" applyFill="1" applyBorder="1"/>
    <xf numFmtId="4" fontId="22" fillId="0" borderId="1" xfId="0" applyNumberFormat="1" applyFont="1" applyBorder="1"/>
    <xf numFmtId="10" fontId="22" fillId="0" borderId="1" xfId="0" applyNumberFormat="1" applyFont="1" applyBorder="1"/>
    <xf numFmtId="10" fontId="27" fillId="0" borderId="1" xfId="0" applyNumberFormat="1" applyFont="1" applyBorder="1"/>
    <xf numFmtId="10" fontId="28" fillId="6" borderId="1" xfId="0" applyNumberFormat="1" applyFont="1" applyFill="1" applyBorder="1"/>
    <xf numFmtId="10" fontId="28" fillId="5" borderId="1" xfId="0" applyNumberFormat="1" applyFont="1" applyFill="1" applyBorder="1"/>
    <xf numFmtId="0" fontId="27" fillId="0" borderId="1" xfId="0" applyFont="1" applyBorder="1"/>
    <xf numFmtId="4" fontId="22" fillId="6" borderId="1" xfId="0" applyNumberFormat="1" applyFont="1" applyFill="1" applyBorder="1"/>
    <xf numFmtId="4" fontId="22" fillId="0" borderId="1" xfId="0" applyNumberFormat="1" applyFont="1" applyBorder="1" applyAlignment="1">
      <alignment horizontal="center" vertical="center"/>
    </xf>
    <xf numFmtId="0" fontId="29" fillId="0" borderId="1" xfId="0" applyFont="1" applyBorder="1"/>
    <xf numFmtId="4" fontId="29" fillId="6" borderId="1" xfId="0" applyNumberFormat="1" applyFont="1" applyFill="1" applyBorder="1"/>
    <xf numFmtId="4" fontId="29" fillId="0" borderId="1" xfId="0" applyNumberFormat="1" applyFont="1" applyBorder="1"/>
    <xf numFmtId="4" fontId="14" fillId="0" borderId="1" xfId="0" applyNumberFormat="1" applyFont="1" applyBorder="1"/>
    <xf numFmtId="4" fontId="14" fillId="6" borderId="1" xfId="0" applyNumberFormat="1" applyFont="1" applyFill="1" applyBorder="1"/>
    <xf numFmtId="4" fontId="14" fillId="5" borderId="1" xfId="0" applyNumberFormat="1" applyFont="1" applyFill="1" applyBorder="1"/>
    <xf numFmtId="0" fontId="29" fillId="0" borderId="0" xfId="0" applyFont="1"/>
    <xf numFmtId="4" fontId="29" fillId="0" borderId="0" xfId="0" applyNumberFormat="1" applyFont="1"/>
    <xf numFmtId="0" fontId="23" fillId="0" borderId="0" xfId="0" applyFont="1"/>
    <xf numFmtId="0" fontId="16" fillId="0" borderId="0" xfId="0" applyFont="1"/>
    <xf numFmtId="49" fontId="27" fillId="0" borderId="0" xfId="0" applyNumberFormat="1" applyFont="1" applyAlignment="1">
      <alignment horizontal="left" vertical="center"/>
    </xf>
    <xf numFmtId="49" fontId="30" fillId="0" borderId="0" xfId="0" applyNumberFormat="1" applyFont="1" applyAlignment="1">
      <alignment horizontal="left" vertical="center"/>
    </xf>
    <xf numFmtId="0" fontId="22" fillId="0" borderId="0" xfId="0" applyFont="1"/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vertical="top"/>
    </xf>
    <xf numFmtId="165" fontId="14" fillId="0" borderId="0" xfId="0" applyNumberFormat="1" applyFont="1"/>
    <xf numFmtId="2" fontId="14" fillId="0" borderId="0" xfId="0" applyNumberFormat="1" applyFont="1" applyAlignment="1">
      <alignment horizontal="center"/>
    </xf>
    <xf numFmtId="4" fontId="31" fillId="0" borderId="0" xfId="0" applyNumberFormat="1" applyFont="1"/>
    <xf numFmtId="0" fontId="23" fillId="5" borderId="1" xfId="0" applyFont="1" applyFill="1" applyBorder="1"/>
    <xf numFmtId="0" fontId="22" fillId="5" borderId="1" xfId="0" applyFont="1" applyFill="1" applyBorder="1"/>
    <xf numFmtId="0" fontId="26" fillId="0" borderId="1" xfId="0" applyFont="1" applyBorder="1"/>
    <xf numFmtId="0" fontId="22" fillId="0" borderId="1" xfId="0" applyFont="1" applyBorder="1"/>
    <xf numFmtId="4" fontId="27" fillId="6" borderId="1" xfId="0" applyNumberFormat="1" applyFont="1" applyFill="1" applyBorder="1" applyAlignment="1">
      <alignment horizontal="center" vertical="center"/>
    </xf>
    <xf numFmtId="4" fontId="22" fillId="6" borderId="1" xfId="0" applyNumberFormat="1" applyFont="1" applyFill="1" applyBorder="1" applyAlignment="1">
      <alignment horizontal="center" vertical="center"/>
    </xf>
    <xf numFmtId="4" fontId="22" fillId="5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/>
    <xf numFmtId="49" fontId="22" fillId="0" borderId="1" xfId="0" applyNumberFormat="1" applyFont="1" applyBorder="1" applyAlignment="1">
      <alignment horizontal="center"/>
    </xf>
    <xf numFmtId="4" fontId="22" fillId="0" borderId="1" xfId="0" applyNumberFormat="1" applyFont="1" applyBorder="1" applyAlignment="1">
      <alignment horizontal="center"/>
    </xf>
    <xf numFmtId="4" fontId="22" fillId="6" borderId="1" xfId="0" applyNumberFormat="1" applyFont="1" applyFill="1" applyBorder="1" applyAlignment="1">
      <alignment horizontal="center"/>
    </xf>
    <xf numFmtId="4" fontId="22" fillId="5" borderId="1" xfId="0" applyNumberFormat="1" applyFont="1" applyFill="1" applyBorder="1" applyAlignment="1">
      <alignment horizontal="center"/>
    </xf>
    <xf numFmtId="0" fontId="14" fillId="0" borderId="1" xfId="0" applyFont="1" applyBorder="1"/>
    <xf numFmtId="0" fontId="14" fillId="6" borderId="1" xfId="0" applyFont="1" applyFill="1" applyBorder="1"/>
    <xf numFmtId="0" fontId="14" fillId="5" borderId="1" xfId="0" applyFont="1" applyFill="1" applyBorder="1"/>
    <xf numFmtId="49" fontId="22" fillId="0" borderId="1" xfId="0" applyNumberFormat="1" applyFont="1" applyFill="1" applyBorder="1" applyAlignment="1">
      <alignment horizontal="center" wrapText="1"/>
    </xf>
    <xf numFmtId="49" fontId="25" fillId="0" borderId="1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/>
    </xf>
    <xf numFmtId="4" fontId="23" fillId="0" borderId="1" xfId="0" applyNumberFormat="1" applyFont="1" applyFill="1" applyBorder="1"/>
    <xf numFmtId="49" fontId="22" fillId="0" borderId="1" xfId="0" applyNumberFormat="1" applyFont="1" applyFill="1" applyBorder="1" applyAlignment="1">
      <alignment horizontal="center" vertical="center"/>
    </xf>
    <xf numFmtId="4" fontId="26" fillId="0" borderId="1" xfId="0" applyNumberFormat="1" applyFont="1" applyFill="1" applyBorder="1"/>
    <xf numFmtId="4" fontId="26" fillId="5" borderId="1" xfId="0" applyNumberFormat="1" applyFont="1" applyFill="1" applyBorder="1"/>
    <xf numFmtId="49" fontId="27" fillId="0" borderId="1" xfId="0" applyNumberFormat="1" applyFont="1" applyFill="1" applyBorder="1" applyAlignment="1">
      <alignment horizontal="left" vertical="center"/>
    </xf>
    <xf numFmtId="4" fontId="27" fillId="0" borderId="1" xfId="0" applyNumberFormat="1" applyFont="1" applyFill="1" applyBorder="1"/>
    <xf numFmtId="4" fontId="22" fillId="0" borderId="1" xfId="0" applyNumberFormat="1" applyFont="1" applyFill="1" applyBorder="1"/>
    <xf numFmtId="10" fontId="22" fillId="0" borderId="1" xfId="0" applyNumberFormat="1" applyFont="1" applyFill="1" applyBorder="1"/>
    <xf numFmtId="10" fontId="27" fillId="0" borderId="1" xfId="0" applyNumberFormat="1" applyFont="1" applyFill="1" applyBorder="1"/>
    <xf numFmtId="10" fontId="27" fillId="6" borderId="1" xfId="0" applyNumberFormat="1" applyFont="1" applyFill="1" applyBorder="1"/>
    <xf numFmtId="0" fontId="27" fillId="0" borderId="1" xfId="0" applyFont="1" applyFill="1" applyBorder="1"/>
    <xf numFmtId="0" fontId="27" fillId="6" borderId="1" xfId="0" applyFont="1" applyFill="1" applyBorder="1"/>
    <xf numFmtId="0" fontId="22" fillId="0" borderId="1" xfId="0" applyFont="1" applyFill="1" applyBorder="1"/>
    <xf numFmtId="0" fontId="29" fillId="0" borderId="1" xfId="0" applyFont="1" applyFill="1" applyBorder="1"/>
    <xf numFmtId="0" fontId="14" fillId="0" borderId="1" xfId="0" applyFont="1" applyFill="1" applyBorder="1"/>
    <xf numFmtId="0" fontId="16" fillId="6" borderId="1" xfId="0" applyFont="1" applyFill="1" applyBorder="1"/>
    <xf numFmtId="49" fontId="27" fillId="0" borderId="0" xfId="0" applyNumberFormat="1" applyFont="1" applyFill="1" applyBorder="1" applyAlignment="1">
      <alignment horizontal="left" vertical="center"/>
    </xf>
    <xf numFmtId="49" fontId="30" fillId="0" borderId="0" xfId="0" applyNumberFormat="1" applyFont="1" applyFill="1" applyBorder="1" applyAlignment="1">
      <alignment horizontal="left" vertical="center"/>
    </xf>
    <xf numFmtId="0" fontId="14" fillId="0" borderId="0" xfId="0" applyFont="1" applyAlignment="1"/>
    <xf numFmtId="4" fontId="27" fillId="5" borderId="1" xfId="0" applyNumberFormat="1" applyFont="1" applyFill="1" applyBorder="1"/>
    <xf numFmtId="2" fontId="22" fillId="0" borderId="1" xfId="0" applyNumberFormat="1" applyFont="1" applyBorder="1"/>
    <xf numFmtId="0" fontId="27" fillId="0" borderId="1" xfId="0" applyFont="1" applyBorder="1" applyAlignment="1">
      <alignment horizontal="center"/>
    </xf>
    <xf numFmtId="2" fontId="22" fillId="0" borderId="1" xfId="2" applyNumberFormat="1" applyFont="1" applyFill="1" applyBorder="1"/>
    <xf numFmtId="2" fontId="27" fillId="6" borderId="1" xfId="0" applyNumberFormat="1" applyFont="1" applyFill="1" applyBorder="1"/>
    <xf numFmtId="2" fontId="22" fillId="5" borderId="1" xfId="0" applyNumberFormat="1" applyFont="1" applyFill="1" applyBorder="1"/>
    <xf numFmtId="2" fontId="27" fillId="0" borderId="1" xfId="2" applyNumberFormat="1" applyFont="1" applyFill="1" applyBorder="1"/>
    <xf numFmtId="2" fontId="14" fillId="0" borderId="1" xfId="0" applyNumberFormat="1" applyFont="1" applyBorder="1"/>
    <xf numFmtId="2" fontId="28" fillId="6" borderId="1" xfId="0" applyNumberFormat="1" applyFont="1" applyFill="1" applyBorder="1"/>
    <xf numFmtId="10" fontId="27" fillId="5" borderId="1" xfId="0" applyNumberFormat="1" applyFont="1" applyFill="1" applyBorder="1"/>
    <xf numFmtId="0" fontId="27" fillId="5" borderId="1" xfId="0" applyFont="1" applyFill="1" applyBorder="1"/>
    <xf numFmtId="0" fontId="29" fillId="6" borderId="1" xfId="0" applyFont="1" applyFill="1" applyBorder="1"/>
    <xf numFmtId="0" fontId="29" fillId="5" borderId="1" xfId="0" applyFont="1" applyFill="1" applyBorder="1"/>
    <xf numFmtId="3" fontId="14" fillId="0" borderId="0" xfId="0" applyNumberFormat="1" applyFont="1"/>
    <xf numFmtId="4" fontId="32" fillId="0" borderId="1" xfId="0" applyNumberFormat="1" applyFont="1" applyFill="1" applyBorder="1"/>
    <xf numFmtId="4" fontId="32" fillId="6" borderId="1" xfId="0" applyNumberFormat="1" applyFont="1" applyFill="1" applyBorder="1"/>
    <xf numFmtId="4" fontId="33" fillId="5" borderId="1" xfId="0" applyNumberFormat="1" applyFont="1" applyFill="1" applyBorder="1"/>
    <xf numFmtId="0" fontId="14" fillId="6" borderId="0" xfId="0" applyFont="1" applyFill="1" applyAlignment="1">
      <alignment horizontal="right"/>
    </xf>
    <xf numFmtId="0" fontId="29" fillId="6" borderId="12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16" fillId="6" borderId="6" xfId="0" applyFont="1" applyFill="1" applyBorder="1" applyAlignment="1">
      <alignment horizontal="center" vertical="top"/>
    </xf>
    <xf numFmtId="0" fontId="16" fillId="6" borderId="7" xfId="0" applyFont="1" applyFill="1" applyBorder="1" applyAlignment="1">
      <alignment horizontal="center" vertical="top"/>
    </xf>
    <xf numFmtId="0" fontId="14" fillId="6" borderId="16" xfId="0" applyFont="1" applyFill="1" applyBorder="1" applyAlignment="1">
      <alignment horizontal="center" vertical="top"/>
    </xf>
    <xf numFmtId="0" fontId="14" fillId="6" borderId="9" xfId="0" applyFont="1" applyFill="1" applyBorder="1" applyAlignment="1">
      <alignment horizontal="center" vertical="top"/>
    </xf>
    <xf numFmtId="0" fontId="16" fillId="6" borderId="8" xfId="0" applyFont="1" applyFill="1" applyBorder="1" applyAlignment="1">
      <alignment horizontal="center" vertical="top" wrapText="1"/>
    </xf>
    <xf numFmtId="0" fontId="14" fillId="6" borderId="13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3" fillId="5" borderId="2" xfId="0" applyFont="1" applyFill="1" applyBorder="1" applyAlignment="1">
      <alignment horizontal="center" wrapText="1"/>
    </xf>
    <xf numFmtId="0" fontId="23" fillId="5" borderId="3" xfId="0" applyFont="1" applyFill="1" applyBorder="1" applyAlignment="1">
      <alignment horizontal="center" wrapText="1"/>
    </xf>
    <xf numFmtId="0" fontId="23" fillId="5" borderId="4" xfId="0" applyFont="1" applyFill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/>
    </xf>
    <xf numFmtId="0" fontId="16" fillId="0" borderId="10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left" vertical="center"/>
    </xf>
    <xf numFmtId="49" fontId="27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center" wrapText="1"/>
    </xf>
  </cellXfs>
  <cellStyles count="4">
    <cellStyle name="Comma" xfId="1" builtinId="3"/>
    <cellStyle name="Comma 2" xfId="2" xr:uid="{00000000-0005-0000-0000-000001000000}"/>
    <cellStyle name="Comma 3" xfId="3" xr:uid="{0DD3C3CA-F209-4309-BD0A-39881F33A39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Silava!$D$47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Silava!$E$46:$P$46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Silava!$E$47:$P$47</c:f>
              <c:numCache>
                <c:formatCode>#,##0.00</c:formatCode>
                <c:ptCount val="12"/>
                <c:pt idx="0">
                  <c:v>17342</c:v>
                </c:pt>
                <c:pt idx="1">
                  <c:v>10915</c:v>
                </c:pt>
                <c:pt idx="2">
                  <c:v>11135</c:v>
                </c:pt>
                <c:pt idx="3">
                  <c:v>13718</c:v>
                </c:pt>
                <c:pt idx="4">
                  <c:v>15305</c:v>
                </c:pt>
                <c:pt idx="5">
                  <c:v>16164</c:v>
                </c:pt>
                <c:pt idx="6">
                  <c:v>15414</c:v>
                </c:pt>
                <c:pt idx="7">
                  <c:v>19511</c:v>
                </c:pt>
                <c:pt idx="8">
                  <c:v>17645</c:v>
                </c:pt>
                <c:pt idx="9">
                  <c:v>19686</c:v>
                </c:pt>
                <c:pt idx="10">
                  <c:v>18623</c:v>
                </c:pt>
                <c:pt idx="11">
                  <c:v>20381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9C0-45F5-BB09-0CD833E60259}"/>
            </c:ext>
          </c:extLst>
        </c:ser>
        <c:ser>
          <c:idx val="1"/>
          <c:order val="1"/>
          <c:tx>
            <c:strRef>
              <c:f>Silava!$D$48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Silava!$E$46:$P$46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Silava!$E$48:$P$48</c:f>
              <c:numCache>
                <c:formatCode>#,##0.00</c:formatCode>
                <c:ptCount val="12"/>
                <c:pt idx="0">
                  <c:v>15688</c:v>
                </c:pt>
                <c:pt idx="1">
                  <c:v>14317</c:v>
                </c:pt>
                <c:pt idx="2">
                  <c:v>14102</c:v>
                </c:pt>
                <c:pt idx="3">
                  <c:v>21725</c:v>
                </c:pt>
                <c:pt idx="4">
                  <c:v>20611</c:v>
                </c:pt>
                <c:pt idx="5">
                  <c:v>24711</c:v>
                </c:pt>
                <c:pt idx="6">
                  <c:v>24335</c:v>
                </c:pt>
                <c:pt idx="7">
                  <c:v>24374</c:v>
                </c:pt>
                <c:pt idx="8">
                  <c:v>23202</c:v>
                </c:pt>
                <c:pt idx="9">
                  <c:v>22650</c:v>
                </c:pt>
                <c:pt idx="10">
                  <c:v>23000</c:v>
                </c:pt>
                <c:pt idx="11">
                  <c:v>19000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9C0-45F5-BB09-0CD833E602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DI!$D$47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DI!$E$46:$P$46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DI!$E$47:$P$47</c:f>
              <c:numCache>
                <c:formatCode>#,##0.00</c:formatCode>
                <c:ptCount val="12"/>
                <c:pt idx="0">
                  <c:v>1525.52</c:v>
                </c:pt>
                <c:pt idx="1">
                  <c:v>1955.4</c:v>
                </c:pt>
                <c:pt idx="2">
                  <c:v>2005.65</c:v>
                </c:pt>
                <c:pt idx="3">
                  <c:v>1721.93</c:v>
                </c:pt>
                <c:pt idx="4">
                  <c:v>1590.64</c:v>
                </c:pt>
                <c:pt idx="5">
                  <c:v>984.66</c:v>
                </c:pt>
                <c:pt idx="6">
                  <c:v>353.99</c:v>
                </c:pt>
                <c:pt idx="7">
                  <c:v>768.46</c:v>
                </c:pt>
                <c:pt idx="8">
                  <c:v>1063.95</c:v>
                </c:pt>
                <c:pt idx="9">
                  <c:v>1287.43</c:v>
                </c:pt>
                <c:pt idx="10">
                  <c:v>3108.95</c:v>
                </c:pt>
                <c:pt idx="11">
                  <c:v>6994.91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9FE-402C-A2A4-28E1786807E0}"/>
            </c:ext>
          </c:extLst>
        </c:ser>
        <c:ser>
          <c:idx val="1"/>
          <c:order val="1"/>
          <c:tx>
            <c:strRef>
              <c:f>DI!$D$48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DI!$E$46:$P$46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DI!$E$48:$P$48</c:f>
              <c:numCache>
                <c:formatCode>#,##0.00</c:formatCode>
                <c:ptCount val="12"/>
                <c:pt idx="0">
                  <c:v>8405.9699999999993</c:v>
                </c:pt>
                <c:pt idx="1">
                  <c:v>8690.2000000000007</c:v>
                </c:pt>
                <c:pt idx="2">
                  <c:v>6280.17</c:v>
                </c:pt>
                <c:pt idx="3">
                  <c:v>5899.94</c:v>
                </c:pt>
                <c:pt idx="4">
                  <c:v>4563.3100000000004</c:v>
                </c:pt>
                <c:pt idx="5">
                  <c:v>2719.44</c:v>
                </c:pt>
                <c:pt idx="6">
                  <c:v>1307.51</c:v>
                </c:pt>
                <c:pt idx="7">
                  <c:v>68.459999999999994</c:v>
                </c:pt>
                <c:pt idx="8">
                  <c:v>65.41</c:v>
                </c:pt>
                <c:pt idx="9">
                  <c:v>102.56</c:v>
                </c:pt>
                <c:pt idx="10">
                  <c:v>972.35</c:v>
                </c:pt>
                <c:pt idx="11">
                  <c:v>21200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9FE-402C-A2A4-28E178680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AREI!$D$47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AREI!$E$46:$P$46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AREI!$E$47:$P$47</c:f>
              <c:numCache>
                <c:formatCode>#,##0.00</c:formatCode>
                <c:ptCount val="12"/>
                <c:pt idx="0">
                  <c:v>3688.0600000000004</c:v>
                </c:pt>
                <c:pt idx="1">
                  <c:v>6041.71</c:v>
                </c:pt>
                <c:pt idx="2">
                  <c:v>4334.2999999999993</c:v>
                </c:pt>
                <c:pt idx="3">
                  <c:v>2173.39</c:v>
                </c:pt>
                <c:pt idx="4">
                  <c:v>1285.47</c:v>
                </c:pt>
                <c:pt idx="5">
                  <c:v>473.85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8112.32</c:v>
                </c:pt>
                <c:pt idx="10">
                  <c:v>1815.96</c:v>
                </c:pt>
                <c:pt idx="11">
                  <c:v>5064.76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C43-43AC-A32C-B48DF67AA58C}"/>
            </c:ext>
          </c:extLst>
        </c:ser>
        <c:ser>
          <c:idx val="1"/>
          <c:order val="1"/>
          <c:tx>
            <c:strRef>
              <c:f>AREI!$D$48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AREI!$E$46:$P$46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AREI!$E$48:$P$48</c:f>
              <c:numCache>
                <c:formatCode>#,##0.00</c:formatCode>
                <c:ptCount val="12"/>
                <c:pt idx="0">
                  <c:v>8023.9</c:v>
                </c:pt>
                <c:pt idx="1">
                  <c:v>6397.4600000000009</c:v>
                </c:pt>
                <c:pt idx="2">
                  <c:v>11050.52</c:v>
                </c:pt>
                <c:pt idx="3">
                  <c:v>5983.61</c:v>
                </c:pt>
                <c:pt idx="4">
                  <c:v>2214.9299999999998</c:v>
                </c:pt>
                <c:pt idx="5">
                  <c:v>788.8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6401.38</c:v>
                </c:pt>
                <c:pt idx="11">
                  <c:v>31484.2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C43-43AC-A32C-B48DF67AA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BIOR!$D$47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BIOR!$E$46:$P$46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BIOR!$E$47:$P$47</c:f>
              <c:numCache>
                <c:formatCode>#,##0.00</c:formatCode>
                <c:ptCount val="12"/>
                <c:pt idx="0">
                  <c:v>8486.2599999999984</c:v>
                </c:pt>
                <c:pt idx="1">
                  <c:v>12961.96</c:v>
                </c:pt>
                <c:pt idx="2">
                  <c:v>9586.43</c:v>
                </c:pt>
                <c:pt idx="3">
                  <c:v>7720.4400000000005</c:v>
                </c:pt>
                <c:pt idx="4">
                  <c:v>4213.67</c:v>
                </c:pt>
                <c:pt idx="5">
                  <c:v>1662.5</c:v>
                </c:pt>
                <c:pt idx="6">
                  <c:v>642.84</c:v>
                </c:pt>
                <c:pt idx="7">
                  <c:v>4216.2299999999996</c:v>
                </c:pt>
                <c:pt idx="8">
                  <c:v>693.19</c:v>
                </c:pt>
                <c:pt idx="9">
                  <c:v>3281.45</c:v>
                </c:pt>
                <c:pt idx="10">
                  <c:v>4517</c:v>
                </c:pt>
                <c:pt idx="11">
                  <c:v>9718.07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B4B-439D-BA1E-AECDD5DD751C}"/>
            </c:ext>
          </c:extLst>
        </c:ser>
        <c:ser>
          <c:idx val="1"/>
          <c:order val="1"/>
          <c:tx>
            <c:strRef>
              <c:f>BIOR!$D$48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BIOR!$E$46:$P$46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BIOR!$E$48:$P$48</c:f>
              <c:numCache>
                <c:formatCode>#,##0.00</c:formatCode>
                <c:ptCount val="12"/>
                <c:pt idx="0">
                  <c:v>28613.32</c:v>
                </c:pt>
                <c:pt idx="1">
                  <c:v>23215.37</c:v>
                </c:pt>
                <c:pt idx="2">
                  <c:v>20954.989999999998</c:v>
                </c:pt>
                <c:pt idx="3">
                  <c:v>17847.620000000003</c:v>
                </c:pt>
                <c:pt idx="4">
                  <c:v>10818.99</c:v>
                </c:pt>
                <c:pt idx="5">
                  <c:v>3331.7799999999997</c:v>
                </c:pt>
                <c:pt idx="6">
                  <c:v>2200.77</c:v>
                </c:pt>
                <c:pt idx="7">
                  <c:v>1245.02</c:v>
                </c:pt>
                <c:pt idx="8">
                  <c:v>1331.5</c:v>
                </c:pt>
                <c:pt idx="9">
                  <c:v>1705.4</c:v>
                </c:pt>
                <c:pt idx="10">
                  <c:v>20522.48</c:v>
                </c:pt>
                <c:pt idx="11">
                  <c:v>60595.07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B4B-439D-BA1E-AECDD5DD7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BDV!$D$47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BDV!$E$46:$P$46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BDV!$E$47:$P$47</c:f>
              <c:numCache>
                <c:formatCode>#,##0.00</c:formatCode>
                <c:ptCount val="12"/>
                <c:pt idx="0">
                  <c:v>19198.002</c:v>
                </c:pt>
                <c:pt idx="1">
                  <c:v>17449.573999999997</c:v>
                </c:pt>
                <c:pt idx="2">
                  <c:v>14581.902099999999</c:v>
                </c:pt>
                <c:pt idx="3">
                  <c:v>9146.4139999999989</c:v>
                </c:pt>
                <c:pt idx="4">
                  <c:v>1200.902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310.12</c:v>
                </c:pt>
                <c:pt idx="9">
                  <c:v>7143.311999999999</c:v>
                </c:pt>
                <c:pt idx="10">
                  <c:v>12092.796499999999</c:v>
                </c:pt>
                <c:pt idx="11">
                  <c:v>26518.914799999999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A2B-4584-9447-D98C6900A18D}"/>
            </c:ext>
          </c:extLst>
        </c:ser>
        <c:ser>
          <c:idx val="1"/>
          <c:order val="1"/>
          <c:tx>
            <c:strRef>
              <c:f>BDV!$D$48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BDV!$E$46:$P$46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BDV!$E$48:$P$48</c:f>
              <c:numCache>
                <c:formatCode>#,##0.00</c:formatCode>
                <c:ptCount val="12"/>
                <c:pt idx="0">
                  <c:v>35316.853199999998</c:v>
                </c:pt>
                <c:pt idx="1">
                  <c:v>25460.240099999999</c:v>
                </c:pt>
                <c:pt idx="2">
                  <c:v>24436.030099999996</c:v>
                </c:pt>
                <c:pt idx="3">
                  <c:v>21142.2484</c:v>
                </c:pt>
                <c:pt idx="4">
                  <c:v>1318.51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32.549999999999997</c:v>
                </c:pt>
                <c:pt idx="9">
                  <c:v>13464.15</c:v>
                </c:pt>
                <c:pt idx="10">
                  <c:v>14155.96</c:v>
                </c:pt>
                <c:pt idx="11">
                  <c:v>121397.09999999999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A2B-4584-9447-D98C6900A1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MaK!$D$47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0"/>
            <c:spPr>
              <a:solidFill>
                <a:schemeClr val="accent3">
                  <a:lumMod val="20000"/>
                  <a:lumOff val="8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MaK!$E$46:$P$46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MaK!$E$47:$P$47</c:f>
              <c:numCache>
                <c:formatCode>#,##0.00</c:formatCode>
                <c:ptCount val="12"/>
                <c:pt idx="0">
                  <c:v>4878.72</c:v>
                </c:pt>
                <c:pt idx="1">
                  <c:v>3472.2559999999999</c:v>
                </c:pt>
                <c:pt idx="2">
                  <c:v>4721.8176000000003</c:v>
                </c:pt>
                <c:pt idx="3">
                  <c:v>3377.9967999999999</c:v>
                </c:pt>
                <c:pt idx="4">
                  <c:v>1664.3392000000001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1664.3392000000001</c:v>
                </c:pt>
                <c:pt idx="11">
                  <c:v>3593.7408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A94-477A-B31E-4481D256D2EE}"/>
            </c:ext>
          </c:extLst>
        </c:ser>
        <c:ser>
          <c:idx val="1"/>
          <c:order val="1"/>
          <c:tx>
            <c:strRef>
              <c:f>MaK!$D$48</c:f>
              <c:strCache>
                <c:ptCount val="1"/>
                <c:pt idx="0">
                  <c:v>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1"/>
            <c:spPr>
              <a:solidFill>
                <a:schemeClr val="accent3">
                  <a:lumMod val="40000"/>
                  <a:lumOff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MaK!$E$46:$P$46</c:f>
              <c:strCache>
                <c:ptCount val="12"/>
                <c:pt idx="0">
                  <c:v>Janvāris (par decembri)</c:v>
                </c:pt>
                <c:pt idx="1">
                  <c:v>Februāris (par janvāri)</c:v>
                </c:pt>
                <c:pt idx="2">
                  <c:v>Marts (par februāri)</c:v>
                </c:pt>
                <c:pt idx="3">
                  <c:v>Aprīlis (par martu)</c:v>
                </c:pt>
                <c:pt idx="4">
                  <c:v>Maijs (par aprīli)</c:v>
                </c:pt>
                <c:pt idx="5">
                  <c:v>Jūnijs (par maiju)</c:v>
                </c:pt>
                <c:pt idx="6">
                  <c:v>Jūlijs (par jūniju)</c:v>
                </c:pt>
                <c:pt idx="7">
                  <c:v>Augusts(par jūliju)</c:v>
                </c:pt>
                <c:pt idx="8">
                  <c:v>Septembris (par augustu)</c:v>
                </c:pt>
                <c:pt idx="9">
                  <c:v>Oktobris (par septembri)</c:v>
                </c:pt>
                <c:pt idx="10">
                  <c:v>Novembris(par oktobri)</c:v>
                </c:pt>
                <c:pt idx="11">
                  <c:v>Decembris (par novembri)</c:v>
                </c:pt>
              </c:strCache>
            </c:strRef>
          </c:cat>
          <c:val>
            <c:numRef>
              <c:f>MaK!$E$48:$P$48</c:f>
              <c:numCache>
                <c:formatCode>#,##0.00</c:formatCode>
                <c:ptCount val="12"/>
                <c:pt idx="0">
                  <c:v>7244.0064000000002</c:v>
                </c:pt>
                <c:pt idx="1">
                  <c:v>6766.9440000000004</c:v>
                </c:pt>
                <c:pt idx="2">
                  <c:v>5928.8064000000004</c:v>
                </c:pt>
                <c:pt idx="3">
                  <c:v>4552.2303999999995</c:v>
                </c:pt>
                <c:pt idx="4">
                  <c:v>2875.1743999999999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17284.61</c:v>
                </c:pt>
                <c:pt idx="11">
                  <c:v>12483.328000000001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A94-477A-B31E-4481D256D2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994767"/>
        <c:axId val="444997679"/>
      </c:lineChart>
      <c:catAx>
        <c:axId val="44499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7679"/>
        <c:crosses val="autoZero"/>
        <c:auto val="1"/>
        <c:lblAlgn val="ctr"/>
        <c:lblOffset val="100"/>
        <c:noMultiLvlLbl val="0"/>
      </c:catAx>
      <c:valAx>
        <c:axId val="44499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Segoe UI Light" panose="020B0502040204020203" pitchFamily="34" charset="0"/>
              </a:defRPr>
            </a:pPr>
            <a:endParaRPr lang="lv-LV"/>
          </a:p>
        </c:txPr>
        <c:crossAx val="44499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defRPr>
          </a:pPr>
          <a:endParaRPr lang="lv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egoe UI Light" panose="020B0502040204020203" pitchFamily="34" charset="0"/>
          <a:cs typeface="Segoe UI Light" panose="020B0502040204020203" pitchFamily="34" charset="0"/>
        </a:defRPr>
      </a:pPr>
      <a:endParaRPr lang="lv-LV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476249</xdr:colOff>
      <xdr:row>24</xdr:row>
      <xdr:rowOff>23812</xdr:rowOff>
    </xdr:from>
    <xdr:to>
      <xdr:col>18</xdr:col>
      <xdr:colOff>35718</xdr:colOff>
      <xdr:row>44</xdr:row>
      <xdr:rowOff>44054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A4912F-4334-457F-9A45-F470B36544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0.92825</cdr:x>
      <cdr:y>0.31789</cdr:y>
    </cdr:from>
    <cdr:to>
      <cdr:x>1</cdr:x>
      <cdr:y>0.41325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635" y="1217593"/>
          <a:ext cx="750052" cy="365252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0.92825</cdr:x>
      <cdr:y>0.18734</cdr:y>
    </cdr:from>
    <cdr:to>
      <cdr:x>1</cdr:x>
      <cdr:y>0.28269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635" y="717562"/>
          <a:ext cx="750052" cy="365214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24</xdr:row>
      <xdr:rowOff>130969</xdr:rowOff>
    </xdr:from>
    <xdr:to>
      <xdr:col>17</xdr:col>
      <xdr:colOff>404812</xdr:colOff>
      <xdr:row>44</xdr:row>
      <xdr:rowOff>151211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2C6122-A8A5-4C9F-84D8-D17DDD79EA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0.92825</cdr:x>
      <cdr:y>0.0288</cdr:y>
    </cdr:from>
    <cdr:to>
      <cdr:x>1</cdr:x>
      <cdr:y>0.12416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593" y="110330"/>
          <a:ext cx="750094" cy="36522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0.92825</cdr:x>
      <cdr:y>0.5386</cdr:y>
    </cdr:from>
    <cdr:to>
      <cdr:x>1</cdr:x>
      <cdr:y>0.63395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635" y="2062963"/>
          <a:ext cx="750052" cy="36521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2155032</xdr:colOff>
      <xdr:row>24</xdr:row>
      <xdr:rowOff>71437</xdr:rowOff>
    </xdr:from>
    <xdr:to>
      <xdr:col>17</xdr:col>
      <xdr:colOff>345282</xdr:colOff>
      <xdr:row>44</xdr:row>
      <xdr:rowOff>91679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882B79F-093A-4FFD-869F-3918180012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0.92825</cdr:x>
      <cdr:y>0.0288</cdr:y>
    </cdr:from>
    <cdr:to>
      <cdr:x>1</cdr:x>
      <cdr:y>0.12416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593" y="110330"/>
          <a:ext cx="750094" cy="36522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0.92825</cdr:x>
      <cdr:y>0.5386</cdr:y>
    </cdr:from>
    <cdr:to>
      <cdr:x>1</cdr:x>
      <cdr:y>0.63395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635" y="2062963"/>
          <a:ext cx="750052" cy="36521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</xdr:colOff>
      <xdr:row>24</xdr:row>
      <xdr:rowOff>130969</xdr:rowOff>
    </xdr:from>
    <xdr:to>
      <xdr:col>16</xdr:col>
      <xdr:colOff>547687</xdr:colOff>
      <xdr:row>44</xdr:row>
      <xdr:rowOff>151211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76A4BA-B606-4368-B273-6AC5022EB1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0.92825</cdr:x>
      <cdr:y>0.0288</cdr:y>
    </cdr:from>
    <cdr:to>
      <cdr:x>1</cdr:x>
      <cdr:y>0.12416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593" y="110330"/>
          <a:ext cx="750094" cy="36522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0.92142</cdr:x>
      <cdr:y>0.56968</cdr:y>
    </cdr:from>
    <cdr:to>
      <cdr:x>0.99317</cdr:x>
      <cdr:y>0.66503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632198" y="2182025"/>
          <a:ext cx="750052" cy="36521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0</xdr:rowOff>
    </xdr:from>
    <xdr:to>
      <xdr:col>18</xdr:col>
      <xdr:colOff>357187</xdr:colOff>
      <xdr:row>44</xdr:row>
      <xdr:rowOff>188330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E14BC8D-DA6C-4397-8CF8-06B63CAB18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0.92825</cdr:x>
      <cdr:y>0.0288</cdr:y>
    </cdr:from>
    <cdr:to>
      <cdr:x>1</cdr:x>
      <cdr:y>0.12416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593" y="110330"/>
          <a:ext cx="750094" cy="36522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0.92464</cdr:x>
      <cdr:y>0.51994</cdr:y>
    </cdr:from>
    <cdr:to>
      <cdr:x>0.99639</cdr:x>
      <cdr:y>0.61529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665854" y="1991512"/>
          <a:ext cx="750052" cy="365214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24</xdr:row>
      <xdr:rowOff>42334</xdr:rowOff>
    </xdr:from>
    <xdr:to>
      <xdr:col>18</xdr:col>
      <xdr:colOff>261937</xdr:colOff>
      <xdr:row>44</xdr:row>
      <xdr:rowOff>62576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95C54C-4A4C-4B56-ADF9-03974FA7E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0.92825</cdr:x>
      <cdr:y>0.29406</cdr:y>
    </cdr:from>
    <cdr:to>
      <cdr:x>1</cdr:x>
      <cdr:y>0.38942</cdr:y>
    </cdr:to>
    <cdr:sp macro="" textlink="">
      <cdr:nvSpPr>
        <cdr:cNvPr id="2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703635" y="1126311"/>
          <a:ext cx="750052" cy="365252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2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0.92344</cdr:x>
      <cdr:y>0.59455</cdr:y>
    </cdr:from>
    <cdr:to>
      <cdr:x>0.99519</cdr:x>
      <cdr:y>0.6899</cdr:y>
    </cdr:to>
    <cdr:sp macro="" textlink="">
      <cdr:nvSpPr>
        <cdr:cNvPr id="3" name="TextBox 4">
          <a:extLst xmlns:a="http://schemas.openxmlformats.org/drawingml/2006/main">
            <a:ext uri="{FF2B5EF4-FFF2-40B4-BE49-F238E27FC236}">
              <a16:creationId xmlns:a16="http://schemas.microsoft.com/office/drawing/2014/main" id="{4A24DAA1-3810-4201-8E41-FFFE89E9A94B}"/>
            </a:ext>
          </a:extLst>
        </cdr:cNvPr>
        <cdr:cNvSpPr txBox="1"/>
      </cdr:nvSpPr>
      <cdr:spPr>
        <a:xfrm xmlns:a="http://schemas.openxmlformats.org/drawingml/2006/main">
          <a:off x="9653403" y="2277262"/>
          <a:ext cx="750052" cy="365214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600" b="1">
              <a:solidFill>
                <a:schemeClr val="accent1">
                  <a:lumMod val="75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2021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0"/>
  <sheetViews>
    <sheetView topLeftCell="C7" zoomScale="85" zoomScaleNormal="85" workbookViewId="0">
      <selection activeCell="T14" sqref="T14"/>
    </sheetView>
  </sheetViews>
  <sheetFormatPr defaultRowHeight="15" x14ac:dyDescent="0.25"/>
  <cols>
    <col min="1" max="1" width="4.85546875" hidden="1" customWidth="1"/>
    <col min="2" max="2" width="6.28515625" customWidth="1"/>
    <col min="3" max="3" width="32.7109375" customWidth="1"/>
    <col min="4" max="4" width="10" customWidth="1"/>
    <col min="5" max="5" width="11.28515625" customWidth="1"/>
    <col min="6" max="6" width="9.7109375" customWidth="1"/>
    <col min="7" max="8" width="9.28515625" customWidth="1"/>
    <col min="9" max="9" width="9.5703125" customWidth="1"/>
    <col min="10" max="10" width="11.42578125" customWidth="1"/>
    <col min="11" max="11" width="10.42578125" customWidth="1"/>
    <col min="12" max="12" width="8.42578125" customWidth="1"/>
    <col min="13" max="13" width="10" customWidth="1"/>
    <col min="14" max="14" width="9.140625" customWidth="1"/>
    <col min="15" max="15" width="10.140625" customWidth="1"/>
    <col min="16" max="16" width="12.28515625" style="7" customWidth="1"/>
    <col min="17" max="17" width="13" customWidth="1"/>
    <col min="19" max="19" width="11.28515625" customWidth="1"/>
    <col min="20" max="20" width="11.140625" customWidth="1"/>
    <col min="21" max="21" width="12.28515625" customWidth="1"/>
  </cols>
  <sheetData>
    <row r="2" spans="2:23" ht="18.75" x14ac:dyDescent="0.3">
      <c r="B2" s="158" t="s">
        <v>8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</row>
    <row r="4" spans="2:23" ht="53.45" customHeight="1" x14ac:dyDescent="0.25">
      <c r="B4" s="159" t="s">
        <v>1</v>
      </c>
      <c r="C4" s="160" t="s">
        <v>49</v>
      </c>
      <c r="D4" s="160" t="s">
        <v>0</v>
      </c>
      <c r="E4" s="160" t="s">
        <v>36</v>
      </c>
      <c r="F4" s="160"/>
      <c r="G4" s="160"/>
      <c r="H4" s="160"/>
      <c r="I4" s="160"/>
      <c r="J4" s="161" t="s">
        <v>37</v>
      </c>
      <c r="K4" s="162"/>
      <c r="L4" s="162"/>
      <c r="M4" s="162"/>
      <c r="N4" s="163"/>
      <c r="O4" s="160" t="s">
        <v>42</v>
      </c>
      <c r="P4" s="160" t="s">
        <v>9</v>
      </c>
      <c r="Q4" s="164" t="s">
        <v>35</v>
      </c>
      <c r="R4" s="164" t="s">
        <v>52</v>
      </c>
      <c r="S4" s="164" t="s">
        <v>53</v>
      </c>
    </row>
    <row r="5" spans="2:23" ht="70.900000000000006" customHeight="1" x14ac:dyDescent="0.25">
      <c r="B5" s="159"/>
      <c r="C5" s="160"/>
      <c r="D5" s="160"/>
      <c r="E5" s="2" t="s">
        <v>26</v>
      </c>
      <c r="F5" s="2" t="s">
        <v>27</v>
      </c>
      <c r="G5" s="2" t="s">
        <v>28</v>
      </c>
      <c r="H5" s="2" t="s">
        <v>29</v>
      </c>
      <c r="I5" s="2" t="s">
        <v>33</v>
      </c>
      <c r="J5" s="2" t="s">
        <v>26</v>
      </c>
      <c r="K5" s="2" t="s">
        <v>27</v>
      </c>
      <c r="L5" s="2" t="s">
        <v>28</v>
      </c>
      <c r="M5" s="6" t="s">
        <v>29</v>
      </c>
      <c r="N5" s="2" t="s">
        <v>33</v>
      </c>
      <c r="O5" s="160"/>
      <c r="P5" s="160"/>
      <c r="Q5" s="164"/>
      <c r="R5" s="164" t="s">
        <v>51</v>
      </c>
      <c r="S5" s="164" t="s">
        <v>51</v>
      </c>
    </row>
    <row r="6" spans="2:23" ht="27" customHeight="1" x14ac:dyDescent="0.25">
      <c r="B6" s="4" t="s">
        <v>10</v>
      </c>
      <c r="C6" s="4" t="s">
        <v>11</v>
      </c>
      <c r="D6" s="4" t="s">
        <v>12</v>
      </c>
      <c r="E6" s="5" t="s">
        <v>13</v>
      </c>
      <c r="F6" s="5" t="s">
        <v>14</v>
      </c>
      <c r="G6" s="5" t="s">
        <v>40</v>
      </c>
      <c r="H6" s="5" t="s">
        <v>15</v>
      </c>
      <c r="I6" s="5" t="s">
        <v>16</v>
      </c>
      <c r="J6" s="5" t="s">
        <v>30</v>
      </c>
      <c r="K6" s="5" t="s">
        <v>34</v>
      </c>
      <c r="L6" s="5" t="s">
        <v>17</v>
      </c>
      <c r="M6" s="5" t="s">
        <v>18</v>
      </c>
      <c r="N6" s="5" t="s">
        <v>31</v>
      </c>
      <c r="O6" s="5" t="s">
        <v>19</v>
      </c>
      <c r="P6" s="5" t="s">
        <v>20</v>
      </c>
      <c r="Q6" s="3" t="s">
        <v>41</v>
      </c>
      <c r="R6" s="21"/>
      <c r="S6" s="21"/>
    </row>
    <row r="7" spans="2:23" ht="20.45" customHeight="1" x14ac:dyDescent="0.25">
      <c r="B7" s="166" t="s">
        <v>50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8"/>
      <c r="R7" s="22"/>
      <c r="S7" s="22"/>
    </row>
    <row r="8" spans="2:23" ht="26.45" customHeight="1" x14ac:dyDescent="0.25">
      <c r="B8" s="166" t="s">
        <v>48</v>
      </c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8"/>
      <c r="R8" s="22"/>
      <c r="S8" s="22"/>
    </row>
    <row r="9" spans="2:23" ht="25.9" customHeight="1" x14ac:dyDescent="0.25">
      <c r="B9" s="12" t="s">
        <v>2</v>
      </c>
      <c r="C9" s="13" t="s">
        <v>46</v>
      </c>
      <c r="D9" s="19" t="s">
        <v>47</v>
      </c>
      <c r="E9" s="27">
        <f t="shared" ref="E9:I9" si="0">SUM(E10:E16)</f>
        <v>8193.5</v>
      </c>
      <c r="F9" s="27">
        <f t="shared" si="0"/>
        <v>10132.56</v>
      </c>
      <c r="G9" s="28">
        <f t="shared" si="0"/>
        <v>10947.89</v>
      </c>
      <c r="H9" s="28">
        <f t="shared" si="0"/>
        <v>8440.11</v>
      </c>
      <c r="I9" s="28">
        <f t="shared" si="0"/>
        <v>6081.5400000000027</v>
      </c>
      <c r="J9" s="28">
        <f>SUM(J10:J16)</f>
        <v>16021.47</v>
      </c>
      <c r="K9" s="28">
        <f t="shared" ref="K9" si="1">SUM(K10:K16)</f>
        <v>11787.68</v>
      </c>
      <c r="L9" s="28">
        <f>SUM(L10:L16)</f>
        <v>9068.7100000000009</v>
      </c>
      <c r="M9" s="28">
        <f t="shared" ref="M9:N9" si="2">SUM(M10:M16)</f>
        <v>11398.34</v>
      </c>
      <c r="N9" s="28">
        <f t="shared" si="2"/>
        <v>7817.1400000000012</v>
      </c>
      <c r="O9" s="28">
        <f>SUM(O10:O16)</f>
        <v>5577.79</v>
      </c>
      <c r="P9" s="28">
        <f>SUM(P10:P16)</f>
        <v>0</v>
      </c>
      <c r="Q9" s="28">
        <f>SUM(Q10:Q11)</f>
        <v>17875.53</v>
      </c>
      <c r="R9" s="28">
        <f>SUM(R10)</f>
        <v>2250.444</v>
      </c>
      <c r="S9" s="28">
        <f>SUM(S10:S11)</f>
        <v>37602.624000000003</v>
      </c>
      <c r="T9" s="29">
        <f>SUM(E9:I9)</f>
        <v>43795.6</v>
      </c>
      <c r="U9" s="29">
        <f>SUM(J9:N9)</f>
        <v>56093.34</v>
      </c>
      <c r="V9">
        <f>U9/T9*100-100</f>
        <v>28.079852770597938</v>
      </c>
    </row>
    <row r="10" spans="2:23" ht="63.75" x14ac:dyDescent="0.25">
      <c r="B10" s="1" t="s">
        <v>4</v>
      </c>
      <c r="C10" s="14" t="s">
        <v>3</v>
      </c>
      <c r="D10" s="24">
        <v>2223</v>
      </c>
      <c r="E10" s="24">
        <v>3418.88</v>
      </c>
      <c r="F10" s="24">
        <f>7166.26-E10</f>
        <v>3747.38</v>
      </c>
      <c r="G10" s="25">
        <f>11558.13-F10-E10</f>
        <v>4391.869999999999</v>
      </c>
      <c r="H10" s="25">
        <f>15667.08-G10-F10-E10</f>
        <v>4108.9500000000007</v>
      </c>
      <c r="I10" s="25">
        <f>19304.22-H10-G10-F10-E10</f>
        <v>3637.1400000000012</v>
      </c>
      <c r="J10" s="25">
        <v>9047.81</v>
      </c>
      <c r="K10" s="25">
        <f>13861.83-J10</f>
        <v>4814.0200000000004</v>
      </c>
      <c r="L10" s="25">
        <f>16804.8-J10-K10</f>
        <v>2942.9699999999993</v>
      </c>
      <c r="M10" s="25">
        <f>21804.39-J10-K10-L10</f>
        <v>4999.59</v>
      </c>
      <c r="N10" s="25">
        <f>24978.65-M10-L10-K10-J10</f>
        <v>3174.2600000000039</v>
      </c>
      <c r="O10" s="26">
        <v>5577.79</v>
      </c>
      <c r="P10" s="23" t="s">
        <v>54</v>
      </c>
      <c r="Q10" s="25">
        <f>ROUND(SUM(J10:N10)-SUM(E10:I10)+O10,2)</f>
        <v>11252.22</v>
      </c>
      <c r="R10" s="25">
        <f>Q10/5</f>
        <v>2250.444</v>
      </c>
      <c r="S10" s="25">
        <f>R10*12</f>
        <v>27005.328000000001</v>
      </c>
      <c r="T10">
        <f>T9/5</f>
        <v>8759.119999999999</v>
      </c>
      <c r="U10">
        <f>T10*0.5+T10</f>
        <v>13138.679999999998</v>
      </c>
      <c r="V10">
        <f>U10-T10</f>
        <v>4379.5599999999995</v>
      </c>
      <c r="W10" s="30">
        <f>V10*12</f>
        <v>52554.719999999994</v>
      </c>
    </row>
    <row r="11" spans="2:23" x14ac:dyDescent="0.25">
      <c r="B11" s="1" t="s">
        <v>5</v>
      </c>
      <c r="C11" s="14" t="s">
        <v>39</v>
      </c>
      <c r="D11" s="24">
        <v>2221</v>
      </c>
      <c r="E11" s="24">
        <v>4774.62</v>
      </c>
      <c r="F11" s="24">
        <f>11159.8-E11</f>
        <v>6385.1799999999994</v>
      </c>
      <c r="G11" s="25">
        <f>17715.82-F11-E11</f>
        <v>6556.0199999999995</v>
      </c>
      <c r="H11" s="25">
        <f>22046.98-G11-F11-E11</f>
        <v>4331.1599999999989</v>
      </c>
      <c r="I11" s="25">
        <f>24491.38-H11-G11-F11-E11</f>
        <v>2444.4000000000015</v>
      </c>
      <c r="J11" s="25">
        <v>6973.66</v>
      </c>
      <c r="K11" s="25">
        <v>6973.66</v>
      </c>
      <c r="L11" s="25">
        <f>20073.06-J11-K11</f>
        <v>6125.7400000000016</v>
      </c>
      <c r="M11" s="25">
        <f>26471.81-L11-K11-J11</f>
        <v>6398.75</v>
      </c>
      <c r="N11" s="25">
        <f>31114.69-M11-L11-K11-J11</f>
        <v>4642.8799999999974</v>
      </c>
      <c r="O11" s="25"/>
      <c r="P11" s="25"/>
      <c r="Q11" s="25">
        <f t="shared" ref="Q11:Q16" si="3">ROUND(SUM(J11:N11)-SUM(E11:I11)+O11,2)</f>
        <v>6623.31</v>
      </c>
      <c r="R11" s="25">
        <f>Q11/5</f>
        <v>1324.662</v>
      </c>
      <c r="S11" s="25">
        <f>R11*8</f>
        <v>10597.296</v>
      </c>
    </row>
    <row r="12" spans="2:23" x14ac:dyDescent="0.25">
      <c r="B12" s="1" t="s">
        <v>6</v>
      </c>
      <c r="C12" s="14" t="s">
        <v>21</v>
      </c>
      <c r="D12" s="15"/>
      <c r="E12" s="15"/>
      <c r="F12" s="15"/>
      <c r="G12" s="9"/>
      <c r="H12" s="9"/>
      <c r="I12" s="9"/>
      <c r="J12" s="9"/>
      <c r="K12" s="9"/>
      <c r="L12" s="9"/>
      <c r="M12" s="9"/>
      <c r="N12" s="9"/>
      <c r="O12" s="9"/>
      <c r="P12" s="9"/>
      <c r="Q12" s="9">
        <f t="shared" si="3"/>
        <v>0</v>
      </c>
      <c r="R12" s="8"/>
      <c r="S12" s="8"/>
    </row>
    <row r="13" spans="2:23" x14ac:dyDescent="0.25">
      <c r="B13" s="1" t="s">
        <v>7</v>
      </c>
      <c r="C13" s="14" t="s">
        <v>22</v>
      </c>
      <c r="D13" s="15"/>
      <c r="E13" s="15"/>
      <c r="F13" s="15"/>
      <c r="G13" s="9"/>
      <c r="H13" s="9"/>
      <c r="I13" s="9"/>
      <c r="J13" s="9"/>
      <c r="K13" s="9"/>
      <c r="L13" s="9"/>
      <c r="M13" s="9"/>
      <c r="N13" s="9"/>
      <c r="O13" s="9"/>
      <c r="P13" s="9"/>
      <c r="Q13" s="9">
        <f t="shared" si="3"/>
        <v>0</v>
      </c>
      <c r="R13" s="21">
        <f>3575.11*0.2+3575.11</f>
        <v>4290.1320000000005</v>
      </c>
      <c r="S13" s="21">
        <f>R13*12</f>
        <v>51481.584000000003</v>
      </c>
    </row>
    <row r="14" spans="2:23" x14ac:dyDescent="0.25">
      <c r="B14" s="1" t="s">
        <v>24</v>
      </c>
      <c r="C14" s="15" t="s">
        <v>23</v>
      </c>
      <c r="D14" s="15"/>
      <c r="E14" s="15"/>
      <c r="F14" s="15"/>
      <c r="G14" s="9"/>
      <c r="H14" s="9"/>
      <c r="I14" s="9"/>
      <c r="J14" s="9"/>
      <c r="K14" s="9"/>
      <c r="L14" s="9"/>
      <c r="M14" s="9"/>
      <c r="N14" s="9"/>
      <c r="O14" s="9"/>
      <c r="P14" s="9"/>
      <c r="Q14" s="9">
        <f t="shared" si="3"/>
        <v>0</v>
      </c>
      <c r="R14" s="21"/>
      <c r="S14" s="21"/>
    </row>
    <row r="15" spans="2:23" x14ac:dyDescent="0.25">
      <c r="B15" s="1" t="s">
        <v>25</v>
      </c>
      <c r="C15" s="14" t="s">
        <v>38</v>
      </c>
      <c r="D15" s="15"/>
      <c r="E15" s="15"/>
      <c r="F15" s="15"/>
      <c r="G15" s="9"/>
      <c r="H15" s="9"/>
      <c r="I15" s="9"/>
      <c r="J15" s="9"/>
      <c r="K15" s="9"/>
      <c r="L15" s="9"/>
      <c r="M15" s="9"/>
      <c r="N15" s="9"/>
      <c r="O15" s="9"/>
      <c r="P15" s="9"/>
      <c r="Q15" s="9">
        <f t="shared" si="3"/>
        <v>0</v>
      </c>
      <c r="R15" s="21"/>
      <c r="S15" s="21"/>
    </row>
    <row r="16" spans="2:23" x14ac:dyDescent="0.25">
      <c r="B16" s="1" t="s">
        <v>32</v>
      </c>
      <c r="C16" s="14" t="s">
        <v>38</v>
      </c>
      <c r="D16" s="16"/>
      <c r="E16" s="16"/>
      <c r="F16" s="16"/>
      <c r="G16" s="10"/>
      <c r="H16" s="10"/>
      <c r="I16" s="10"/>
      <c r="J16" s="10"/>
      <c r="K16" s="10"/>
      <c r="L16" s="10"/>
      <c r="M16" s="10"/>
      <c r="N16" s="10"/>
      <c r="O16" s="10"/>
      <c r="P16" s="11"/>
      <c r="Q16" s="9">
        <f t="shared" si="3"/>
        <v>0</v>
      </c>
      <c r="R16" s="21"/>
      <c r="S16" s="21"/>
    </row>
    <row r="17" spans="3:6" x14ac:dyDescent="0.25">
      <c r="C17" s="17"/>
      <c r="D17" s="17"/>
      <c r="E17" s="17"/>
      <c r="F17" s="17"/>
    </row>
    <row r="18" spans="3:6" x14ac:dyDescent="0.25">
      <c r="C18" s="18" t="s">
        <v>43</v>
      </c>
      <c r="D18" s="18"/>
      <c r="E18" s="18"/>
      <c r="F18" s="18"/>
    </row>
    <row r="19" spans="3:6" x14ac:dyDescent="0.25">
      <c r="C19" s="165" t="s">
        <v>44</v>
      </c>
      <c r="D19" s="165"/>
      <c r="E19" s="165"/>
      <c r="F19" s="165"/>
    </row>
    <row r="20" spans="3:6" x14ac:dyDescent="0.25">
      <c r="C20" s="20" t="s">
        <v>45</v>
      </c>
    </row>
  </sheetData>
  <mergeCells count="14">
    <mergeCell ref="R4:R5"/>
    <mergeCell ref="S4:S5"/>
    <mergeCell ref="C19:F19"/>
    <mergeCell ref="B8:Q8"/>
    <mergeCell ref="B7:Q7"/>
    <mergeCell ref="P4:P5"/>
    <mergeCell ref="Q4:Q5"/>
    <mergeCell ref="B2:Q2"/>
    <mergeCell ref="B4:B5"/>
    <mergeCell ref="C4:C5"/>
    <mergeCell ref="D4:D5"/>
    <mergeCell ref="E4:I4"/>
    <mergeCell ref="O4:O5"/>
    <mergeCell ref="J4:N4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F431-9925-46DE-A913-E471307629EC}">
  <sheetPr>
    <tabColor theme="5" tint="-0.249977111117893"/>
  </sheetPr>
  <dimension ref="C3:K19"/>
  <sheetViews>
    <sheetView tabSelected="1" workbookViewId="0">
      <selection activeCell="C3" sqref="C3"/>
    </sheetView>
  </sheetViews>
  <sheetFormatPr defaultRowHeight="16.5" x14ac:dyDescent="0.3"/>
  <cols>
    <col min="1" max="2" width="9.140625" style="44"/>
    <col min="3" max="3" width="29.42578125" style="44" customWidth="1"/>
    <col min="4" max="4" width="12.140625" style="44" customWidth="1"/>
    <col min="5" max="5" width="12.42578125" style="44" customWidth="1"/>
    <col min="6" max="6" width="10.5703125" style="44" customWidth="1"/>
    <col min="7" max="7" width="16.140625" style="44" customWidth="1"/>
    <col min="8" max="16384" width="9.140625" style="44"/>
  </cols>
  <sheetData>
    <row r="3" spans="3:11" ht="25.5" x14ac:dyDescent="0.5">
      <c r="C3" s="43" t="s">
        <v>97</v>
      </c>
    </row>
    <row r="5" spans="3:11" ht="21" customHeight="1" x14ac:dyDescent="0.3">
      <c r="D5" s="169"/>
      <c r="E5" s="170"/>
      <c r="F5" s="171" t="s">
        <v>74</v>
      </c>
      <c r="G5" s="173" t="s">
        <v>80</v>
      </c>
    </row>
    <row r="6" spans="3:11" ht="17.25" thickBot="1" x14ac:dyDescent="0.35">
      <c r="C6" s="45"/>
      <c r="D6" s="156">
        <v>2021</v>
      </c>
      <c r="E6" s="157">
        <v>2022</v>
      </c>
      <c r="F6" s="172"/>
      <c r="G6" s="174"/>
    </row>
    <row r="7" spans="3:11" ht="17.25" thickTop="1" x14ac:dyDescent="0.3">
      <c r="C7" s="49" t="s">
        <v>75</v>
      </c>
      <c r="D7" s="50">
        <f>BIOR!L24</f>
        <v>67700.039999999979</v>
      </c>
      <c r="E7" s="50">
        <f>BIOR!M24</f>
        <v>192382.31</v>
      </c>
      <c r="F7" s="51">
        <f>BIOR!N24</f>
        <v>124682.27000000002</v>
      </c>
      <c r="G7" s="51">
        <f>BIOR!O24</f>
        <v>62341.135000000009</v>
      </c>
      <c r="H7" s="175"/>
      <c r="I7" s="176"/>
      <c r="J7" s="176"/>
      <c r="K7" s="176"/>
    </row>
    <row r="8" spans="3:11" x14ac:dyDescent="0.3">
      <c r="C8" s="49" t="s">
        <v>76</v>
      </c>
      <c r="D8" s="50">
        <f>Silava!L24</f>
        <v>195839</v>
      </c>
      <c r="E8" s="50">
        <f>Silava!M24</f>
        <v>247715</v>
      </c>
      <c r="F8" s="52">
        <f>Silava!N24</f>
        <v>51876</v>
      </c>
      <c r="G8" s="52">
        <f>Silava!O24</f>
        <v>25938</v>
      </c>
      <c r="H8" s="175"/>
      <c r="I8" s="176"/>
      <c r="J8" s="176"/>
      <c r="K8" s="176"/>
    </row>
    <row r="9" spans="3:11" x14ac:dyDescent="0.3">
      <c r="C9" s="49" t="s">
        <v>78</v>
      </c>
      <c r="D9" s="50">
        <f>DI!L24</f>
        <v>23361.49</v>
      </c>
      <c r="E9" s="50">
        <f>DI!M24</f>
        <v>60275.32</v>
      </c>
      <c r="F9" s="52">
        <f>DI!N24</f>
        <v>36913.83</v>
      </c>
      <c r="G9" s="52">
        <f>DI!O24</f>
        <v>18456.915000000001</v>
      </c>
    </row>
    <row r="10" spans="3:11" x14ac:dyDescent="0.3">
      <c r="C10" s="49" t="s">
        <v>79</v>
      </c>
      <c r="D10" s="50">
        <f>AREI!L24</f>
        <v>32989.82</v>
      </c>
      <c r="E10" s="50">
        <f>AREI!M24</f>
        <v>72344.800000000003</v>
      </c>
      <c r="F10" s="52">
        <f>AREI!N24</f>
        <v>39354.980000000003</v>
      </c>
      <c r="G10" s="52">
        <f>AREI!O24</f>
        <v>19677.490000000002</v>
      </c>
    </row>
    <row r="11" spans="3:11" x14ac:dyDescent="0.3">
      <c r="C11" s="54"/>
      <c r="D11" s="46"/>
      <c r="E11" s="46" t="s">
        <v>94</v>
      </c>
      <c r="F11" s="55">
        <f>SUM(F7:F10)</f>
        <v>252827.08000000005</v>
      </c>
      <c r="G11" s="55">
        <f>SUM(G7:G10)</f>
        <v>126413.54000000002</v>
      </c>
      <c r="H11" s="44" t="s">
        <v>77</v>
      </c>
    </row>
    <row r="12" spans="3:11" x14ac:dyDescent="0.3">
      <c r="C12" s="54"/>
      <c r="D12" s="46"/>
      <c r="E12" s="55"/>
      <c r="F12" s="55"/>
      <c r="G12" s="55"/>
    </row>
    <row r="13" spans="3:11" x14ac:dyDescent="0.3">
      <c r="D13" s="169"/>
      <c r="E13" s="170"/>
      <c r="F13" s="171" t="s">
        <v>74</v>
      </c>
      <c r="G13" s="173" t="s">
        <v>80</v>
      </c>
    </row>
    <row r="14" spans="3:11" ht="17.25" thickBot="1" x14ac:dyDescent="0.35">
      <c r="C14" s="45"/>
      <c r="D14" s="156">
        <v>2021</v>
      </c>
      <c r="E14" s="157">
        <v>2022</v>
      </c>
      <c r="F14" s="172"/>
      <c r="G14" s="174"/>
    </row>
    <row r="15" spans="3:11" ht="17.25" thickTop="1" x14ac:dyDescent="0.3">
      <c r="C15" s="49" t="s">
        <v>95</v>
      </c>
      <c r="D15" s="50">
        <f>BDV!L24</f>
        <v>107641.9374</v>
      </c>
      <c r="E15" s="50">
        <f>BDV!M24</f>
        <v>256723.64179999998</v>
      </c>
      <c r="F15" s="51">
        <f>BDV!N24</f>
        <v>149081.70439999999</v>
      </c>
      <c r="G15" s="51">
        <f>BDV!O24</f>
        <v>74540.852199999994</v>
      </c>
    </row>
    <row r="16" spans="3:11" x14ac:dyDescent="0.3">
      <c r="C16" s="49" t="s">
        <v>96</v>
      </c>
      <c r="D16" s="50">
        <f>MaK!L24</f>
        <v>23373.209599999998</v>
      </c>
      <c r="E16" s="50">
        <f>MaK!M24</f>
        <v>57135.099600000009</v>
      </c>
      <c r="F16" s="52">
        <f>MaK!N24</f>
        <v>33761.890000000014</v>
      </c>
      <c r="G16" s="52">
        <f>MaK!O24</f>
        <v>16880.945000000007</v>
      </c>
    </row>
    <row r="17" spans="3:8" x14ac:dyDescent="0.3">
      <c r="E17" s="44" t="s">
        <v>94</v>
      </c>
      <c r="F17" s="46">
        <f>SUM(F15:F16)</f>
        <v>182843.5944</v>
      </c>
      <c r="G17" s="46">
        <f>SUM(G15:G16)</f>
        <v>91421.797200000001</v>
      </c>
      <c r="H17" s="44" t="s">
        <v>77</v>
      </c>
    </row>
    <row r="19" spans="3:8" ht="17.25" x14ac:dyDescent="0.3">
      <c r="C19" s="155" t="s">
        <v>64</v>
      </c>
      <c r="D19" s="46"/>
      <c r="E19" s="46"/>
      <c r="F19" s="46">
        <f>F11+F17</f>
        <v>435670.67440000002</v>
      </c>
      <c r="G19" s="47">
        <f>G7+G8+G9+G10+G15+G16</f>
        <v>217835.33720000001</v>
      </c>
      <c r="H19" s="48" t="s">
        <v>77</v>
      </c>
    </row>
  </sheetData>
  <mergeCells count="7">
    <mergeCell ref="D13:E13"/>
    <mergeCell ref="F13:F14"/>
    <mergeCell ref="G13:G14"/>
    <mergeCell ref="D5:E5"/>
    <mergeCell ref="H7:K8"/>
    <mergeCell ref="F5:F6"/>
    <mergeCell ref="G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B48"/>
  <sheetViews>
    <sheetView topLeftCell="B1" zoomScale="80" zoomScaleNormal="80" workbookViewId="0">
      <selection activeCell="Q4" sqref="Q4:AB4"/>
    </sheetView>
  </sheetViews>
  <sheetFormatPr defaultRowHeight="16.5" x14ac:dyDescent="0.3"/>
  <cols>
    <col min="1" max="1" width="4.7109375" style="31" hidden="1" customWidth="1"/>
    <col min="2" max="2" width="6.28515625" style="31" customWidth="1"/>
    <col min="3" max="3" width="32.7109375" style="31" customWidth="1"/>
    <col min="4" max="4" width="11.5703125" style="31" customWidth="1"/>
    <col min="5" max="5" width="12.5703125" style="31" customWidth="1"/>
    <col min="6" max="6" width="9.7109375" style="31" customWidth="1"/>
    <col min="7" max="7" width="13.42578125" style="31" customWidth="1"/>
    <col min="8" max="11" width="9.7109375" style="31" customWidth="1"/>
    <col min="12" max="13" width="10.85546875" style="31" customWidth="1"/>
    <col min="14" max="14" width="13" style="31" customWidth="1"/>
    <col min="15" max="15" width="14" style="31" customWidth="1"/>
    <col min="16" max="28" width="9.7109375" style="31" customWidth="1"/>
    <col min="29" max="16384" width="9.140625" style="31"/>
  </cols>
  <sheetData>
    <row r="2" spans="2:28" ht="20.25" x14ac:dyDescent="0.35">
      <c r="B2" s="177" t="s">
        <v>65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1.5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43.5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115" t="s">
        <v>29</v>
      </c>
      <c r="U5" s="56" t="s">
        <v>33</v>
      </c>
      <c r="V5" s="56" t="s">
        <v>61</v>
      </c>
      <c r="W5" s="56" t="s">
        <v>60</v>
      </c>
      <c r="X5" s="56" t="s">
        <v>59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x14ac:dyDescent="0.3">
      <c r="B7" s="116" t="s">
        <v>2</v>
      </c>
      <c r="C7" s="117" t="s">
        <v>46</v>
      </c>
      <c r="D7" s="118" t="s">
        <v>47</v>
      </c>
      <c r="E7" s="119">
        <f>E8</f>
        <v>17342</v>
      </c>
      <c r="F7" s="152">
        <f t="shared" ref="F7:AB7" si="0">F8</f>
        <v>10915</v>
      </c>
      <c r="G7" s="152">
        <f t="shared" si="0"/>
        <v>11135</v>
      </c>
      <c r="H7" s="152">
        <f t="shared" si="0"/>
        <v>13718</v>
      </c>
      <c r="I7" s="152">
        <f t="shared" si="0"/>
        <v>15305</v>
      </c>
      <c r="J7" s="152">
        <f t="shared" si="0"/>
        <v>16164</v>
      </c>
      <c r="K7" s="152">
        <f t="shared" si="0"/>
        <v>15414</v>
      </c>
      <c r="L7" s="152">
        <f t="shared" si="0"/>
        <v>19511</v>
      </c>
      <c r="M7" s="152">
        <f t="shared" si="0"/>
        <v>17645</v>
      </c>
      <c r="N7" s="152">
        <f t="shared" si="0"/>
        <v>19686</v>
      </c>
      <c r="O7" s="152">
        <f t="shared" si="0"/>
        <v>18623</v>
      </c>
      <c r="P7" s="152">
        <f t="shared" si="0"/>
        <v>20381</v>
      </c>
      <c r="Q7" s="152">
        <f t="shared" si="0"/>
        <v>15688</v>
      </c>
      <c r="R7" s="152">
        <f t="shared" si="0"/>
        <v>14317</v>
      </c>
      <c r="S7" s="152">
        <f t="shared" si="0"/>
        <v>14102</v>
      </c>
      <c r="T7" s="152">
        <f t="shared" si="0"/>
        <v>21725</v>
      </c>
      <c r="U7" s="152">
        <f t="shared" si="0"/>
        <v>20611</v>
      </c>
      <c r="V7" s="152">
        <f t="shared" si="0"/>
        <v>24711</v>
      </c>
      <c r="W7" s="152">
        <f t="shared" si="0"/>
        <v>24335</v>
      </c>
      <c r="X7" s="152">
        <f t="shared" si="0"/>
        <v>24374</v>
      </c>
      <c r="Y7" s="153">
        <f t="shared" si="0"/>
        <v>23202</v>
      </c>
      <c r="Z7" s="153">
        <f t="shared" si="0"/>
        <v>22650</v>
      </c>
      <c r="AA7" s="153">
        <f t="shared" si="0"/>
        <v>23000</v>
      </c>
      <c r="AB7" s="154">
        <f t="shared" si="0"/>
        <v>19000</v>
      </c>
    </row>
    <row r="8" spans="2:28" x14ac:dyDescent="0.3">
      <c r="B8" s="120" t="s">
        <v>5</v>
      </c>
      <c r="C8" s="123" t="s">
        <v>63</v>
      </c>
      <c r="D8" s="121"/>
      <c r="E8" s="124">
        <f>SUM(E10:E14)</f>
        <v>17342</v>
      </c>
      <c r="F8" s="124">
        <f t="shared" ref="F8:AB8" si="1">SUM(F10:F14)</f>
        <v>10915</v>
      </c>
      <c r="G8" s="124">
        <f t="shared" si="1"/>
        <v>11135</v>
      </c>
      <c r="H8" s="124">
        <f t="shared" si="1"/>
        <v>13718</v>
      </c>
      <c r="I8" s="124">
        <f t="shared" si="1"/>
        <v>15305</v>
      </c>
      <c r="J8" s="124">
        <f t="shared" si="1"/>
        <v>16164</v>
      </c>
      <c r="K8" s="124">
        <f t="shared" si="1"/>
        <v>15414</v>
      </c>
      <c r="L8" s="124">
        <f t="shared" si="1"/>
        <v>19511</v>
      </c>
      <c r="M8" s="124">
        <f t="shared" si="1"/>
        <v>17645</v>
      </c>
      <c r="N8" s="124">
        <f t="shared" si="1"/>
        <v>19686</v>
      </c>
      <c r="O8" s="124">
        <f t="shared" si="1"/>
        <v>18623</v>
      </c>
      <c r="P8" s="124">
        <f t="shared" si="1"/>
        <v>20381</v>
      </c>
      <c r="Q8" s="124">
        <f t="shared" si="1"/>
        <v>15688</v>
      </c>
      <c r="R8" s="124">
        <f t="shared" si="1"/>
        <v>14317</v>
      </c>
      <c r="S8" s="124">
        <f t="shared" si="1"/>
        <v>14102</v>
      </c>
      <c r="T8" s="124">
        <f t="shared" si="1"/>
        <v>21725</v>
      </c>
      <c r="U8" s="124">
        <f t="shared" si="1"/>
        <v>20611</v>
      </c>
      <c r="V8" s="124">
        <f t="shared" si="1"/>
        <v>24711</v>
      </c>
      <c r="W8" s="124">
        <f t="shared" si="1"/>
        <v>24335</v>
      </c>
      <c r="X8" s="124">
        <f t="shared" si="1"/>
        <v>24374</v>
      </c>
      <c r="Y8" s="73">
        <f t="shared" si="1"/>
        <v>23202</v>
      </c>
      <c r="Z8" s="73">
        <f t="shared" si="1"/>
        <v>22650</v>
      </c>
      <c r="AA8" s="73">
        <f t="shared" si="1"/>
        <v>23000</v>
      </c>
      <c r="AB8" s="138">
        <f t="shared" si="1"/>
        <v>19000</v>
      </c>
    </row>
    <row r="9" spans="2:28" x14ac:dyDescent="0.3">
      <c r="B9" s="120"/>
      <c r="C9" s="123" t="s">
        <v>62</v>
      </c>
      <c r="D9" s="124"/>
      <c r="E9" s="124"/>
      <c r="F9" s="124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6"/>
      <c r="R9" s="126"/>
      <c r="S9" s="126"/>
      <c r="T9" s="126"/>
      <c r="U9" s="126"/>
      <c r="V9" s="126"/>
      <c r="W9" s="126"/>
      <c r="X9" s="127"/>
      <c r="Y9" s="77"/>
      <c r="Z9" s="128"/>
      <c r="AA9" s="128"/>
      <c r="AB9" s="147"/>
    </row>
    <row r="10" spans="2:28" x14ac:dyDescent="0.3">
      <c r="B10" s="120" t="s">
        <v>6</v>
      </c>
      <c r="C10" s="123" t="s">
        <v>21</v>
      </c>
      <c r="D10" s="129"/>
      <c r="E10" s="129"/>
      <c r="F10" s="129"/>
      <c r="G10" s="131"/>
      <c r="H10" s="131"/>
      <c r="I10" s="131"/>
      <c r="J10" s="129"/>
      <c r="K10" s="129"/>
      <c r="L10" s="131"/>
      <c r="M10" s="131"/>
      <c r="N10" s="131"/>
      <c r="O10" s="131"/>
      <c r="P10" s="131"/>
      <c r="Q10" s="125"/>
      <c r="R10" s="125"/>
      <c r="S10" s="125"/>
      <c r="T10" s="125"/>
      <c r="U10" s="125"/>
      <c r="V10" s="125"/>
      <c r="W10" s="125"/>
      <c r="X10" s="125"/>
      <c r="Y10" s="80"/>
      <c r="Z10" s="73"/>
      <c r="AA10" s="73"/>
      <c r="AB10" s="138"/>
    </row>
    <row r="11" spans="2:28" x14ac:dyDescent="0.3">
      <c r="B11" s="120" t="s">
        <v>7</v>
      </c>
      <c r="C11" s="123" t="s">
        <v>22</v>
      </c>
      <c r="D11" s="129"/>
      <c r="E11" s="129"/>
      <c r="F11" s="129"/>
      <c r="G11" s="131"/>
      <c r="H11" s="131"/>
      <c r="I11" s="131"/>
      <c r="J11" s="129"/>
      <c r="K11" s="129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07"/>
      <c r="Z11" s="130"/>
      <c r="AA11" s="130"/>
      <c r="AB11" s="148"/>
    </row>
    <row r="12" spans="2:28" x14ac:dyDescent="0.3">
      <c r="B12" s="120" t="s">
        <v>24</v>
      </c>
      <c r="C12" s="129" t="s">
        <v>23</v>
      </c>
      <c r="D12" s="79">
        <v>2321</v>
      </c>
      <c r="E12" s="79">
        <v>7010</v>
      </c>
      <c r="F12" s="79">
        <v>1874</v>
      </c>
      <c r="G12" s="103">
        <v>1218</v>
      </c>
      <c r="H12" s="103">
        <v>927</v>
      </c>
      <c r="I12" s="103"/>
      <c r="J12" s="79"/>
      <c r="K12" s="79"/>
      <c r="L12" s="103">
        <v>290</v>
      </c>
      <c r="M12" s="103"/>
      <c r="N12" s="103">
        <v>1102</v>
      </c>
      <c r="O12" s="103">
        <v>608</v>
      </c>
      <c r="P12" s="103">
        <v>3416</v>
      </c>
      <c r="Q12" s="103">
        <v>3191</v>
      </c>
      <c r="R12" s="103">
        <v>2743</v>
      </c>
      <c r="S12" s="103">
        <v>1370</v>
      </c>
      <c r="T12" s="103">
        <v>2736</v>
      </c>
      <c r="U12" s="103">
        <v>311</v>
      </c>
      <c r="V12" s="103"/>
      <c r="W12" s="103"/>
      <c r="X12" s="103">
        <v>580</v>
      </c>
      <c r="Y12" s="107"/>
      <c r="Z12" s="130"/>
      <c r="AA12" s="130">
        <v>5000</v>
      </c>
      <c r="AB12" s="148">
        <v>5000</v>
      </c>
    </row>
    <row r="13" spans="2:28" x14ac:dyDescent="0.3">
      <c r="B13" s="120" t="s">
        <v>25</v>
      </c>
      <c r="C13" s="123" t="s">
        <v>66</v>
      </c>
      <c r="D13" s="79">
        <v>2322</v>
      </c>
      <c r="E13" s="79">
        <v>10332</v>
      </c>
      <c r="F13" s="79">
        <v>9041</v>
      </c>
      <c r="G13" s="103">
        <v>9917</v>
      </c>
      <c r="H13" s="103">
        <v>12791</v>
      </c>
      <c r="I13" s="103">
        <v>15305</v>
      </c>
      <c r="J13" s="79">
        <v>16164</v>
      </c>
      <c r="K13" s="79">
        <v>15414</v>
      </c>
      <c r="L13" s="103">
        <v>19221</v>
      </c>
      <c r="M13" s="103">
        <v>17645</v>
      </c>
      <c r="N13" s="103">
        <v>18584</v>
      </c>
      <c r="O13" s="103">
        <v>18015</v>
      </c>
      <c r="P13" s="103">
        <v>16965</v>
      </c>
      <c r="Q13" s="103">
        <v>12497</v>
      </c>
      <c r="R13" s="103">
        <v>11574</v>
      </c>
      <c r="S13" s="103">
        <v>12732</v>
      </c>
      <c r="T13" s="103">
        <v>18989</v>
      </c>
      <c r="U13" s="103">
        <v>20300</v>
      </c>
      <c r="V13" s="103">
        <v>24711</v>
      </c>
      <c r="W13" s="103">
        <v>24335</v>
      </c>
      <c r="X13" s="103">
        <v>23794</v>
      </c>
      <c r="Y13" s="107">
        <v>23202</v>
      </c>
      <c r="Z13" s="130">
        <v>22650</v>
      </c>
      <c r="AA13" s="130">
        <v>18000</v>
      </c>
      <c r="AB13" s="148">
        <v>14000</v>
      </c>
    </row>
    <row r="14" spans="2:28" x14ac:dyDescent="0.3">
      <c r="B14" s="120" t="s">
        <v>32</v>
      </c>
      <c r="C14" s="123" t="s">
        <v>38</v>
      </c>
      <c r="D14" s="132"/>
      <c r="E14" s="132"/>
      <c r="F14" s="132"/>
      <c r="G14" s="133"/>
      <c r="H14" s="133"/>
      <c r="I14" s="133"/>
      <c r="J14" s="132"/>
      <c r="K14" s="132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13"/>
      <c r="Z14" s="149"/>
      <c r="AA14" s="149"/>
      <c r="AB14" s="150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135" t="s">
        <v>43</v>
      </c>
      <c r="D16" s="135"/>
      <c r="E16" s="135"/>
      <c r="F16" s="135"/>
      <c r="J16" s="135"/>
      <c r="K16" s="135"/>
      <c r="L16" s="41"/>
      <c r="O16" s="90"/>
      <c r="P16" s="90"/>
    </row>
    <row r="17" spans="3:21" x14ac:dyDescent="0.3">
      <c r="C17" s="188" t="s">
        <v>44</v>
      </c>
      <c r="D17" s="188"/>
      <c r="E17" s="188"/>
      <c r="F17" s="188"/>
      <c r="O17" s="90"/>
    </row>
    <row r="18" spans="3:21" x14ac:dyDescent="0.3">
      <c r="C18" s="136" t="s">
        <v>45</v>
      </c>
      <c r="R18" s="151"/>
      <c r="S18" s="151"/>
      <c r="T18" s="151"/>
      <c r="U18" s="151"/>
    </row>
    <row r="20" spans="3:21" ht="30.75" x14ac:dyDescent="0.55000000000000004">
      <c r="L20" s="183" t="s">
        <v>91</v>
      </c>
      <c r="M20" s="183"/>
      <c r="N20" s="183"/>
      <c r="O20" s="183"/>
    </row>
    <row r="21" spans="3:21" ht="50.25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21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</row>
    <row r="23" spans="3:21" x14ac:dyDescent="0.3">
      <c r="L23" s="37"/>
      <c r="M23" s="38"/>
      <c r="O23" s="36"/>
    </row>
    <row r="24" spans="3:21" ht="20.25" x14ac:dyDescent="0.35">
      <c r="L24" s="39">
        <f>SUM(E8:P8)</f>
        <v>195839</v>
      </c>
      <c r="M24" s="40">
        <f>SUM(Q8:AB8)</f>
        <v>247715</v>
      </c>
      <c r="N24" s="41">
        <f>M24-L24</f>
        <v>51876</v>
      </c>
      <c r="O24" s="42">
        <f>N24/100*50</f>
        <v>25938</v>
      </c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>E8</f>
        <v>17342</v>
      </c>
      <c r="F47" s="41">
        <f t="shared" ref="F47:P47" si="2">F8</f>
        <v>10915</v>
      </c>
      <c r="G47" s="41">
        <f t="shared" si="2"/>
        <v>11135</v>
      </c>
      <c r="H47" s="41">
        <f t="shared" si="2"/>
        <v>13718</v>
      </c>
      <c r="I47" s="41">
        <f t="shared" si="2"/>
        <v>15305</v>
      </c>
      <c r="J47" s="41">
        <f t="shared" si="2"/>
        <v>16164</v>
      </c>
      <c r="K47" s="41">
        <f t="shared" si="2"/>
        <v>15414</v>
      </c>
      <c r="L47" s="41">
        <f t="shared" si="2"/>
        <v>19511</v>
      </c>
      <c r="M47" s="41">
        <f t="shared" si="2"/>
        <v>17645</v>
      </c>
      <c r="N47" s="41">
        <f t="shared" si="2"/>
        <v>19686</v>
      </c>
      <c r="O47" s="41">
        <f t="shared" si="2"/>
        <v>18623</v>
      </c>
      <c r="P47" s="41">
        <f t="shared" si="2"/>
        <v>20381</v>
      </c>
    </row>
    <row r="48" spans="4:16" x14ac:dyDescent="0.3">
      <c r="D48" s="31">
        <v>2022</v>
      </c>
      <c r="E48" s="41">
        <f>Q8</f>
        <v>15688</v>
      </c>
      <c r="F48" s="41">
        <f t="shared" ref="F48:P48" si="3">R8</f>
        <v>14317</v>
      </c>
      <c r="G48" s="41">
        <f t="shared" si="3"/>
        <v>14102</v>
      </c>
      <c r="H48" s="41">
        <f t="shared" si="3"/>
        <v>21725</v>
      </c>
      <c r="I48" s="41">
        <f t="shared" si="3"/>
        <v>20611</v>
      </c>
      <c r="J48" s="41">
        <f t="shared" si="3"/>
        <v>24711</v>
      </c>
      <c r="K48" s="41">
        <f t="shared" si="3"/>
        <v>24335</v>
      </c>
      <c r="L48" s="41">
        <f t="shared" si="3"/>
        <v>24374</v>
      </c>
      <c r="M48" s="41">
        <f t="shared" si="3"/>
        <v>23202</v>
      </c>
      <c r="N48" s="41">
        <f t="shared" si="3"/>
        <v>22650</v>
      </c>
      <c r="O48" s="41">
        <f t="shared" si="3"/>
        <v>23000</v>
      </c>
      <c r="P48" s="41">
        <f t="shared" si="3"/>
        <v>19000</v>
      </c>
    </row>
  </sheetData>
  <mergeCells count="11">
    <mergeCell ref="L20:O20"/>
    <mergeCell ref="E21:F21"/>
    <mergeCell ref="H21:I21"/>
    <mergeCell ref="L21:M21"/>
    <mergeCell ref="C17:F17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B48"/>
  <sheetViews>
    <sheetView topLeftCell="C1" zoomScale="80" zoomScaleNormal="80" workbookViewId="0">
      <selection activeCell="Q4" sqref="Q4:AB4"/>
    </sheetView>
  </sheetViews>
  <sheetFormatPr defaultColWidth="10.7109375" defaultRowHeight="16.5" x14ac:dyDescent="0.3"/>
  <cols>
    <col min="1" max="1" width="0.85546875" style="31" customWidth="1"/>
    <col min="2" max="2" width="10.7109375" style="31"/>
    <col min="3" max="3" width="35.5703125" style="31" customWidth="1"/>
    <col min="4" max="13" width="10.7109375" style="31"/>
    <col min="14" max="14" width="12.5703125" style="31" customWidth="1"/>
    <col min="15" max="15" width="14" style="31" customWidth="1"/>
    <col min="16" max="16384" width="10.7109375" style="31"/>
  </cols>
  <sheetData>
    <row r="2" spans="2:28" ht="20.25" x14ac:dyDescent="0.35">
      <c r="B2" s="177" t="s">
        <v>67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7.5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43.5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56" t="s">
        <v>29</v>
      </c>
      <c r="U5" s="56" t="s">
        <v>33</v>
      </c>
      <c r="V5" s="56" t="s">
        <v>61</v>
      </c>
      <c r="W5" s="56" t="s">
        <v>60</v>
      </c>
      <c r="X5" s="56" t="s">
        <v>59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x14ac:dyDescent="0.3">
      <c r="B7" s="63" t="s">
        <v>2</v>
      </c>
      <c r="C7" s="64" t="s">
        <v>46</v>
      </c>
      <c r="D7" s="65" t="s">
        <v>47</v>
      </c>
      <c r="E7" s="66">
        <f>E8</f>
        <v>1525.52</v>
      </c>
      <c r="F7" s="66">
        <f t="shared" ref="F7:AA7" si="0">F8</f>
        <v>1955.4</v>
      </c>
      <c r="G7" s="66">
        <f t="shared" si="0"/>
        <v>2005.65</v>
      </c>
      <c r="H7" s="66">
        <f t="shared" si="0"/>
        <v>1721.93</v>
      </c>
      <c r="I7" s="66">
        <f t="shared" si="0"/>
        <v>1590.64</v>
      </c>
      <c r="J7" s="66">
        <f t="shared" si="0"/>
        <v>984.66</v>
      </c>
      <c r="K7" s="66">
        <f t="shared" si="0"/>
        <v>353.99</v>
      </c>
      <c r="L7" s="66">
        <f t="shared" si="0"/>
        <v>768.46</v>
      </c>
      <c r="M7" s="66">
        <f t="shared" si="0"/>
        <v>1063.95</v>
      </c>
      <c r="N7" s="66">
        <f t="shared" si="0"/>
        <v>1287.43</v>
      </c>
      <c r="O7" s="66">
        <f t="shared" si="0"/>
        <v>3108.95</v>
      </c>
      <c r="P7" s="66">
        <f t="shared" si="0"/>
        <v>6994.91</v>
      </c>
      <c r="Q7" s="66">
        <f t="shared" si="0"/>
        <v>8405.9699999999993</v>
      </c>
      <c r="R7" s="66">
        <f t="shared" si="0"/>
        <v>8690.2000000000007</v>
      </c>
      <c r="S7" s="66">
        <f t="shared" si="0"/>
        <v>6280.17</v>
      </c>
      <c r="T7" s="66">
        <f t="shared" si="0"/>
        <v>5899.94</v>
      </c>
      <c r="U7" s="66">
        <f t="shared" si="0"/>
        <v>4563.3100000000004</v>
      </c>
      <c r="V7" s="66">
        <f t="shared" si="0"/>
        <v>2719.44</v>
      </c>
      <c r="W7" s="66">
        <f t="shared" si="0"/>
        <v>1307.51</v>
      </c>
      <c r="X7" s="66">
        <f t="shared" si="0"/>
        <v>68.459999999999994</v>
      </c>
      <c r="Y7" s="67">
        <f t="shared" si="0"/>
        <v>65.41</v>
      </c>
      <c r="Z7" s="67">
        <f t="shared" si="0"/>
        <v>102.56</v>
      </c>
      <c r="AA7" s="67">
        <f t="shared" si="0"/>
        <v>972.35</v>
      </c>
      <c r="AB7" s="122">
        <f>AB8</f>
        <v>21200</v>
      </c>
    </row>
    <row r="8" spans="2:28" x14ac:dyDescent="0.3">
      <c r="B8" s="69" t="s">
        <v>5</v>
      </c>
      <c r="C8" s="71" t="s">
        <v>63</v>
      </c>
      <c r="D8" s="72"/>
      <c r="E8" s="72">
        <f>SUM(E10:E14)</f>
        <v>1525.52</v>
      </c>
      <c r="F8" s="72">
        <f t="shared" ref="F8:AB8" si="1">SUM(F10:F14)</f>
        <v>1955.4</v>
      </c>
      <c r="G8" s="72">
        <f t="shared" si="1"/>
        <v>2005.65</v>
      </c>
      <c r="H8" s="72">
        <f t="shared" si="1"/>
        <v>1721.93</v>
      </c>
      <c r="I8" s="72">
        <f t="shared" si="1"/>
        <v>1590.64</v>
      </c>
      <c r="J8" s="72">
        <f t="shared" si="1"/>
        <v>984.66</v>
      </c>
      <c r="K8" s="72">
        <f t="shared" si="1"/>
        <v>353.99</v>
      </c>
      <c r="L8" s="72">
        <f t="shared" si="1"/>
        <v>768.46</v>
      </c>
      <c r="M8" s="72">
        <f t="shared" si="1"/>
        <v>1063.95</v>
      </c>
      <c r="N8" s="72">
        <f t="shared" si="1"/>
        <v>1287.43</v>
      </c>
      <c r="O8" s="72">
        <f t="shared" si="1"/>
        <v>3108.95</v>
      </c>
      <c r="P8" s="72">
        <f t="shared" si="1"/>
        <v>6994.91</v>
      </c>
      <c r="Q8" s="72">
        <f t="shared" si="1"/>
        <v>8405.9699999999993</v>
      </c>
      <c r="R8" s="72">
        <f t="shared" si="1"/>
        <v>8690.2000000000007</v>
      </c>
      <c r="S8" s="72">
        <f t="shared" si="1"/>
        <v>6280.17</v>
      </c>
      <c r="T8" s="72">
        <f t="shared" si="1"/>
        <v>5899.94</v>
      </c>
      <c r="U8" s="72">
        <f t="shared" si="1"/>
        <v>4563.3100000000004</v>
      </c>
      <c r="V8" s="72">
        <f t="shared" si="1"/>
        <v>2719.44</v>
      </c>
      <c r="W8" s="72">
        <f t="shared" si="1"/>
        <v>1307.51</v>
      </c>
      <c r="X8" s="72">
        <f t="shared" si="1"/>
        <v>68.459999999999994</v>
      </c>
      <c r="Y8" s="73">
        <f t="shared" si="1"/>
        <v>65.41</v>
      </c>
      <c r="Z8" s="73">
        <f t="shared" si="1"/>
        <v>102.56</v>
      </c>
      <c r="AA8" s="73">
        <f t="shared" si="1"/>
        <v>972.35</v>
      </c>
      <c r="AB8" s="138">
        <f t="shared" si="1"/>
        <v>21200</v>
      </c>
    </row>
    <row r="9" spans="2:28" x14ac:dyDescent="0.3">
      <c r="B9" s="69"/>
      <c r="C9" s="71" t="s">
        <v>62</v>
      </c>
      <c r="D9" s="72"/>
      <c r="E9" s="72"/>
      <c r="F9" s="72"/>
      <c r="G9" s="74"/>
      <c r="H9" s="74"/>
      <c r="I9" s="74"/>
      <c r="J9" s="74"/>
      <c r="K9" s="74"/>
      <c r="L9" s="74"/>
      <c r="M9" s="74"/>
      <c r="N9" s="74"/>
      <c r="O9" s="74"/>
      <c r="P9" s="74"/>
      <c r="Q9" s="75"/>
      <c r="R9" s="75"/>
      <c r="S9" s="75"/>
      <c r="T9" s="75"/>
      <c r="U9" s="75"/>
      <c r="V9" s="75"/>
      <c r="W9" s="75"/>
      <c r="X9" s="76"/>
      <c r="Y9" s="128"/>
      <c r="Z9" s="128"/>
      <c r="AA9" s="128"/>
      <c r="AB9" s="147"/>
    </row>
    <row r="10" spans="2:28" x14ac:dyDescent="0.3">
      <c r="B10" s="69" t="s">
        <v>6</v>
      </c>
      <c r="C10" s="71" t="s">
        <v>21</v>
      </c>
      <c r="D10" s="79">
        <v>2321</v>
      </c>
      <c r="E10" s="79">
        <v>1525.52</v>
      </c>
      <c r="F10" s="79">
        <v>1955.4</v>
      </c>
      <c r="G10" s="103">
        <v>2005.65</v>
      </c>
      <c r="H10" s="103">
        <v>1721.93</v>
      </c>
      <c r="I10" s="103">
        <v>1590.64</v>
      </c>
      <c r="J10" s="79">
        <v>984.66</v>
      </c>
      <c r="K10" s="79">
        <v>353.99</v>
      </c>
      <c r="L10" s="103">
        <v>768.46</v>
      </c>
      <c r="M10" s="103">
        <v>1063.95</v>
      </c>
      <c r="N10" s="103">
        <v>1287.43</v>
      </c>
      <c r="O10" s="103">
        <v>3108.95</v>
      </c>
      <c r="P10" s="103">
        <v>6994.91</v>
      </c>
      <c r="Q10" s="74">
        <v>8405.9699999999993</v>
      </c>
      <c r="R10" s="74">
        <v>8690.2000000000007</v>
      </c>
      <c r="S10" s="74">
        <v>6280.17</v>
      </c>
      <c r="T10" s="74">
        <v>5899.94</v>
      </c>
      <c r="U10" s="74">
        <v>4563.3100000000004</v>
      </c>
      <c r="V10" s="74">
        <v>2719.44</v>
      </c>
      <c r="W10" s="74">
        <v>1307.51</v>
      </c>
      <c r="X10" s="74">
        <v>68.459999999999994</v>
      </c>
      <c r="Y10" s="73">
        <v>65.41</v>
      </c>
      <c r="Z10" s="73">
        <v>70.48</v>
      </c>
      <c r="AA10" s="73">
        <v>72.349999999999994</v>
      </c>
      <c r="AB10" s="138">
        <v>20000</v>
      </c>
    </row>
    <row r="11" spans="2:28" x14ac:dyDescent="0.3">
      <c r="B11" s="69" t="s">
        <v>7</v>
      </c>
      <c r="C11" s="71" t="s">
        <v>22</v>
      </c>
      <c r="D11" s="79"/>
      <c r="E11" s="79"/>
      <c r="F11" s="79"/>
      <c r="G11" s="103"/>
      <c r="H11" s="103"/>
      <c r="I11" s="103"/>
      <c r="J11" s="79"/>
      <c r="K11" s="79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30"/>
      <c r="Z11" s="130"/>
      <c r="AA11" s="130"/>
      <c r="AB11" s="148"/>
    </row>
    <row r="12" spans="2:28" x14ac:dyDescent="0.3">
      <c r="B12" s="69" t="s">
        <v>24</v>
      </c>
      <c r="C12" s="79" t="s">
        <v>68</v>
      </c>
      <c r="D12" s="79"/>
      <c r="E12" s="79"/>
      <c r="F12" s="79"/>
      <c r="G12" s="103"/>
      <c r="H12" s="103"/>
      <c r="I12" s="103"/>
      <c r="J12" s="79"/>
      <c r="K12" s="79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30"/>
      <c r="Z12" s="130">
        <v>32.08</v>
      </c>
      <c r="AA12" s="130">
        <v>900</v>
      </c>
      <c r="AB12" s="148">
        <v>1200</v>
      </c>
    </row>
    <row r="13" spans="2:28" x14ac:dyDescent="0.3">
      <c r="B13" s="69" t="s">
        <v>25</v>
      </c>
      <c r="C13" s="71" t="s">
        <v>38</v>
      </c>
      <c r="D13" s="79"/>
      <c r="E13" s="79"/>
      <c r="F13" s="79"/>
      <c r="G13" s="103"/>
      <c r="H13" s="103"/>
      <c r="I13" s="103"/>
      <c r="J13" s="79"/>
      <c r="K13" s="79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7"/>
      <c r="Z13" s="130"/>
      <c r="AA13" s="130"/>
      <c r="AB13" s="101"/>
    </row>
    <row r="14" spans="2:28" x14ac:dyDescent="0.3">
      <c r="B14" s="69" t="s">
        <v>32</v>
      </c>
      <c r="C14" s="71" t="s">
        <v>38</v>
      </c>
      <c r="D14" s="82"/>
      <c r="E14" s="82"/>
      <c r="F14" s="82"/>
      <c r="G14" s="112"/>
      <c r="H14" s="112"/>
      <c r="I14" s="112"/>
      <c r="J14" s="82"/>
      <c r="K14" s="8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3"/>
      <c r="Z14" s="113"/>
      <c r="AA14" s="113"/>
      <c r="AB14" s="114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92" t="s">
        <v>43</v>
      </c>
      <c r="D16" s="92"/>
      <c r="E16" s="92"/>
      <c r="F16" s="92"/>
      <c r="J16" s="92"/>
      <c r="K16" s="92"/>
      <c r="L16" s="41"/>
      <c r="O16" s="90"/>
      <c r="P16" s="90"/>
    </row>
    <row r="17" spans="3:20" x14ac:dyDescent="0.3">
      <c r="C17" s="189" t="s">
        <v>44</v>
      </c>
      <c r="D17" s="189"/>
      <c r="E17" s="189"/>
      <c r="F17" s="189"/>
      <c r="O17" s="90"/>
    </row>
    <row r="18" spans="3:20" x14ac:dyDescent="0.3">
      <c r="C18" s="93" t="s">
        <v>45</v>
      </c>
      <c r="Q18" s="41"/>
      <c r="R18" s="41"/>
      <c r="S18" s="41"/>
      <c r="T18" s="41"/>
    </row>
    <row r="20" spans="3:20" ht="30.75" x14ac:dyDescent="0.55000000000000004">
      <c r="L20" s="183" t="s">
        <v>91</v>
      </c>
      <c r="M20" s="183"/>
      <c r="N20" s="183"/>
      <c r="O20" s="183"/>
    </row>
    <row r="21" spans="3:20" ht="38.25" customHeight="1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20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</row>
    <row r="23" spans="3:20" x14ac:dyDescent="0.3">
      <c r="L23" s="37"/>
      <c r="M23" s="38"/>
      <c r="O23" s="36"/>
    </row>
    <row r="24" spans="3:20" ht="20.25" x14ac:dyDescent="0.35">
      <c r="L24" s="39">
        <f>SUM(E8:P8)</f>
        <v>23361.49</v>
      </c>
      <c r="M24" s="40">
        <f>SUM(Q8:AB8)</f>
        <v>60275.32</v>
      </c>
      <c r="N24" s="41">
        <f>M24-L24</f>
        <v>36913.83</v>
      </c>
      <c r="O24" s="42">
        <f>N24/100*50</f>
        <v>18456.915000000001</v>
      </c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>E8</f>
        <v>1525.52</v>
      </c>
      <c r="F47" s="41">
        <f t="shared" ref="F47:P47" si="2">F8</f>
        <v>1955.4</v>
      </c>
      <c r="G47" s="41">
        <f t="shared" si="2"/>
        <v>2005.65</v>
      </c>
      <c r="H47" s="41">
        <f t="shared" si="2"/>
        <v>1721.93</v>
      </c>
      <c r="I47" s="41">
        <f t="shared" si="2"/>
        <v>1590.64</v>
      </c>
      <c r="J47" s="41">
        <f t="shared" si="2"/>
        <v>984.66</v>
      </c>
      <c r="K47" s="41">
        <f t="shared" si="2"/>
        <v>353.99</v>
      </c>
      <c r="L47" s="41">
        <f t="shared" si="2"/>
        <v>768.46</v>
      </c>
      <c r="M47" s="41">
        <f t="shared" si="2"/>
        <v>1063.95</v>
      </c>
      <c r="N47" s="41">
        <f t="shared" si="2"/>
        <v>1287.43</v>
      </c>
      <c r="O47" s="41">
        <f t="shared" si="2"/>
        <v>3108.95</v>
      </c>
      <c r="P47" s="41">
        <f t="shared" si="2"/>
        <v>6994.91</v>
      </c>
    </row>
    <row r="48" spans="4:16" x14ac:dyDescent="0.3">
      <c r="D48" s="31">
        <v>2022</v>
      </c>
      <c r="E48" s="41">
        <f>Q8</f>
        <v>8405.9699999999993</v>
      </c>
      <c r="F48" s="41">
        <f t="shared" ref="F48:P48" si="3">R8</f>
        <v>8690.2000000000007</v>
      </c>
      <c r="G48" s="41">
        <f t="shared" si="3"/>
        <v>6280.17</v>
      </c>
      <c r="H48" s="41">
        <f t="shared" si="3"/>
        <v>5899.94</v>
      </c>
      <c r="I48" s="41">
        <f t="shared" si="3"/>
        <v>4563.3100000000004</v>
      </c>
      <c r="J48" s="41">
        <f t="shared" si="3"/>
        <v>2719.44</v>
      </c>
      <c r="K48" s="41">
        <f t="shared" si="3"/>
        <v>1307.51</v>
      </c>
      <c r="L48" s="41">
        <f t="shared" si="3"/>
        <v>68.459999999999994</v>
      </c>
      <c r="M48" s="41">
        <f t="shared" si="3"/>
        <v>65.41</v>
      </c>
      <c r="N48" s="41">
        <f t="shared" si="3"/>
        <v>102.56</v>
      </c>
      <c r="O48" s="41">
        <f t="shared" si="3"/>
        <v>972.35</v>
      </c>
      <c r="P48" s="41">
        <f t="shared" si="3"/>
        <v>21200</v>
      </c>
    </row>
  </sheetData>
  <mergeCells count="11">
    <mergeCell ref="L20:O20"/>
    <mergeCell ref="E21:F21"/>
    <mergeCell ref="H21:I21"/>
    <mergeCell ref="L21:M21"/>
    <mergeCell ref="C17:F17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AB48"/>
  <sheetViews>
    <sheetView topLeftCell="B1" zoomScale="80" zoomScaleNormal="80" workbookViewId="0">
      <selection activeCell="Q4" sqref="Q4:AB4"/>
    </sheetView>
  </sheetViews>
  <sheetFormatPr defaultRowHeight="16.5" x14ac:dyDescent="0.3"/>
  <cols>
    <col min="1" max="1" width="4.85546875" style="31" hidden="1" customWidth="1"/>
    <col min="2" max="2" width="6.28515625" style="31" customWidth="1"/>
    <col min="3" max="3" width="32.7109375" style="31" customWidth="1"/>
    <col min="4" max="4" width="11.42578125" style="31" customWidth="1"/>
    <col min="5" max="5" width="11.85546875" style="31" customWidth="1"/>
    <col min="6" max="6" width="9.7109375" style="31" customWidth="1"/>
    <col min="7" max="7" width="13.85546875" style="31" customWidth="1"/>
    <col min="8" max="13" width="9.7109375" style="31" customWidth="1"/>
    <col min="14" max="14" width="12.42578125" style="31" customWidth="1"/>
    <col min="15" max="15" width="14.140625" style="31" customWidth="1"/>
    <col min="16" max="16" width="10.42578125" style="31" bestFit="1" customWidth="1"/>
    <col min="17" max="18" width="9.7109375" style="31" customWidth="1"/>
    <col min="19" max="19" width="10.85546875" style="31" customWidth="1"/>
    <col min="20" max="23" width="9.7109375" style="31" customWidth="1"/>
    <col min="24" max="24" width="10.7109375" style="31" customWidth="1"/>
    <col min="25" max="26" width="9.7109375" style="31" customWidth="1"/>
    <col min="27" max="27" width="11" style="31" customWidth="1"/>
    <col min="28" max="28" width="12.5703125" style="31" customWidth="1"/>
    <col min="29" max="16384" width="9.140625" style="31"/>
  </cols>
  <sheetData>
    <row r="2" spans="2:28" ht="20.25" x14ac:dyDescent="0.35">
      <c r="B2" s="177" t="s">
        <v>69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9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43.5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56" t="s">
        <v>29</v>
      </c>
      <c r="U5" s="56" t="s">
        <v>33</v>
      </c>
      <c r="V5" s="56" t="s">
        <v>61</v>
      </c>
      <c r="W5" s="56" t="s">
        <v>60</v>
      </c>
      <c r="X5" s="56" t="s">
        <v>70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ht="14.45" customHeight="1" x14ac:dyDescent="0.3">
      <c r="B7" s="63" t="s">
        <v>2</v>
      </c>
      <c r="C7" s="64" t="s">
        <v>46</v>
      </c>
      <c r="D7" s="65" t="s">
        <v>47</v>
      </c>
      <c r="E7" s="66">
        <f>E8</f>
        <v>3688.0600000000004</v>
      </c>
      <c r="F7" s="66">
        <f t="shared" ref="F7:AB7" si="0">F8</f>
        <v>6041.71</v>
      </c>
      <c r="G7" s="66">
        <f t="shared" si="0"/>
        <v>4334.2999999999993</v>
      </c>
      <c r="H7" s="66">
        <f t="shared" si="0"/>
        <v>2173.39</v>
      </c>
      <c r="I7" s="66">
        <f t="shared" si="0"/>
        <v>1285.47</v>
      </c>
      <c r="J7" s="66">
        <f t="shared" si="0"/>
        <v>473.85</v>
      </c>
      <c r="K7" s="66">
        <f t="shared" si="0"/>
        <v>0</v>
      </c>
      <c r="L7" s="66">
        <f t="shared" si="0"/>
        <v>0</v>
      </c>
      <c r="M7" s="66">
        <f t="shared" si="0"/>
        <v>0</v>
      </c>
      <c r="N7" s="66">
        <f t="shared" si="0"/>
        <v>8112.32</v>
      </c>
      <c r="O7" s="66">
        <f t="shared" si="0"/>
        <v>1815.96</v>
      </c>
      <c r="P7" s="66">
        <f t="shared" si="0"/>
        <v>5064.76</v>
      </c>
      <c r="Q7" s="66">
        <f t="shared" si="0"/>
        <v>8023.9</v>
      </c>
      <c r="R7" s="66">
        <f t="shared" si="0"/>
        <v>6397.4600000000009</v>
      </c>
      <c r="S7" s="66">
        <f t="shared" si="0"/>
        <v>11050.52</v>
      </c>
      <c r="T7" s="66">
        <f t="shared" si="0"/>
        <v>5983.61</v>
      </c>
      <c r="U7" s="66">
        <f t="shared" si="0"/>
        <v>2214.9299999999998</v>
      </c>
      <c r="V7" s="66">
        <f t="shared" si="0"/>
        <v>788.8</v>
      </c>
      <c r="W7" s="66">
        <f t="shared" si="0"/>
        <v>0</v>
      </c>
      <c r="X7" s="66">
        <f t="shared" si="0"/>
        <v>0</v>
      </c>
      <c r="Y7" s="66">
        <f t="shared" si="0"/>
        <v>0</v>
      </c>
      <c r="Z7" s="66">
        <f t="shared" si="0"/>
        <v>0</v>
      </c>
      <c r="AA7" s="66">
        <f t="shared" si="0"/>
        <v>6401.38</v>
      </c>
      <c r="AB7" s="122">
        <f t="shared" si="0"/>
        <v>31484.2</v>
      </c>
    </row>
    <row r="8" spans="2:28" x14ac:dyDescent="0.3">
      <c r="B8" s="69" t="s">
        <v>5</v>
      </c>
      <c r="C8" s="71" t="s">
        <v>63</v>
      </c>
      <c r="D8" s="72"/>
      <c r="E8" s="72">
        <f>SUM(E10:E14)</f>
        <v>3688.0600000000004</v>
      </c>
      <c r="F8" s="72">
        <f t="shared" ref="F8:AB8" si="1">SUM(F10:F14)</f>
        <v>6041.71</v>
      </c>
      <c r="G8" s="72">
        <f t="shared" si="1"/>
        <v>4334.2999999999993</v>
      </c>
      <c r="H8" s="72">
        <f t="shared" si="1"/>
        <v>2173.39</v>
      </c>
      <c r="I8" s="72">
        <f t="shared" si="1"/>
        <v>1285.47</v>
      </c>
      <c r="J8" s="72">
        <f t="shared" si="1"/>
        <v>473.85</v>
      </c>
      <c r="K8" s="72">
        <f t="shared" si="1"/>
        <v>0</v>
      </c>
      <c r="L8" s="72">
        <f t="shared" si="1"/>
        <v>0</v>
      </c>
      <c r="M8" s="72">
        <f t="shared" si="1"/>
        <v>0</v>
      </c>
      <c r="N8" s="72">
        <f t="shared" si="1"/>
        <v>8112.32</v>
      </c>
      <c r="O8" s="72">
        <f t="shared" si="1"/>
        <v>1815.96</v>
      </c>
      <c r="P8" s="72">
        <f t="shared" si="1"/>
        <v>5064.76</v>
      </c>
      <c r="Q8" s="72">
        <f t="shared" si="1"/>
        <v>8023.9</v>
      </c>
      <c r="R8" s="72">
        <f t="shared" si="1"/>
        <v>6397.4600000000009</v>
      </c>
      <c r="S8" s="72">
        <f t="shared" si="1"/>
        <v>11050.52</v>
      </c>
      <c r="T8" s="72">
        <f t="shared" si="1"/>
        <v>5983.61</v>
      </c>
      <c r="U8" s="72">
        <f t="shared" si="1"/>
        <v>2214.9299999999998</v>
      </c>
      <c r="V8" s="72">
        <f t="shared" si="1"/>
        <v>788.8</v>
      </c>
      <c r="W8" s="72">
        <f t="shared" si="1"/>
        <v>0</v>
      </c>
      <c r="X8" s="72">
        <f t="shared" si="1"/>
        <v>0</v>
      </c>
      <c r="Y8" s="73">
        <f t="shared" si="1"/>
        <v>0</v>
      </c>
      <c r="Z8" s="73">
        <f t="shared" si="1"/>
        <v>0</v>
      </c>
      <c r="AA8" s="73">
        <f t="shared" si="1"/>
        <v>6401.38</v>
      </c>
      <c r="AB8" s="138">
        <f t="shared" si="1"/>
        <v>31484.2</v>
      </c>
    </row>
    <row r="9" spans="2:28" x14ac:dyDescent="0.3">
      <c r="B9" s="69"/>
      <c r="C9" s="71" t="s">
        <v>62</v>
      </c>
      <c r="D9" s="72"/>
      <c r="E9" s="72"/>
      <c r="F9" s="72"/>
      <c r="G9" s="74"/>
      <c r="H9" s="74"/>
      <c r="I9" s="74"/>
      <c r="J9" s="74"/>
      <c r="K9" s="74"/>
      <c r="L9" s="74"/>
      <c r="M9" s="74"/>
      <c r="N9" s="74"/>
      <c r="O9" s="74"/>
      <c r="P9" s="74"/>
      <c r="Q9" s="139"/>
      <c r="R9" s="75"/>
      <c r="S9" s="75"/>
      <c r="T9" s="75"/>
      <c r="U9" s="75"/>
      <c r="V9" s="75"/>
      <c r="W9" s="75"/>
      <c r="X9" s="76"/>
      <c r="Y9" s="77"/>
      <c r="Z9" s="128"/>
      <c r="AA9" s="128"/>
      <c r="AB9" s="78"/>
    </row>
    <row r="10" spans="2:28" x14ac:dyDescent="0.3">
      <c r="B10" s="69" t="s">
        <v>6</v>
      </c>
      <c r="C10" s="71" t="s">
        <v>21</v>
      </c>
      <c r="D10" s="79"/>
      <c r="E10" s="79"/>
      <c r="F10" s="79"/>
      <c r="G10" s="103"/>
      <c r="H10" s="103"/>
      <c r="I10" s="103"/>
      <c r="J10" s="79"/>
      <c r="K10" s="79"/>
      <c r="L10" s="103"/>
      <c r="M10" s="103"/>
      <c r="N10" s="103"/>
      <c r="O10" s="103"/>
      <c r="P10" s="103"/>
      <c r="Q10" s="139"/>
      <c r="R10" s="74"/>
      <c r="S10" s="74"/>
      <c r="T10" s="74"/>
      <c r="U10" s="74"/>
      <c r="V10" s="74"/>
      <c r="W10" s="74"/>
      <c r="X10" s="74"/>
      <c r="Y10" s="80"/>
      <c r="Z10" s="73"/>
      <c r="AA10" s="73"/>
      <c r="AB10" s="68"/>
    </row>
    <row r="11" spans="2:28" x14ac:dyDescent="0.3">
      <c r="B11" s="69" t="s">
        <v>7</v>
      </c>
      <c r="C11" s="71" t="s">
        <v>22</v>
      </c>
      <c r="D11" s="79"/>
      <c r="E11" s="79"/>
      <c r="F11" s="79"/>
      <c r="G11" s="103"/>
      <c r="H11" s="103"/>
      <c r="I11" s="103"/>
      <c r="J11" s="79"/>
      <c r="K11" s="79"/>
      <c r="L11" s="103"/>
      <c r="M11" s="103"/>
      <c r="N11" s="103"/>
      <c r="O11" s="103"/>
      <c r="P11" s="103"/>
      <c r="Q11" s="139"/>
      <c r="R11" s="103"/>
      <c r="S11" s="103"/>
      <c r="T11" s="103"/>
      <c r="U11" s="103"/>
      <c r="V11" s="103"/>
      <c r="W11" s="103"/>
      <c r="X11" s="103"/>
      <c r="Y11" s="107"/>
      <c r="Z11" s="130"/>
      <c r="AA11" s="130"/>
      <c r="AB11" s="101"/>
    </row>
    <row r="12" spans="2:28" x14ac:dyDescent="0.3">
      <c r="B12" s="69" t="s">
        <v>24</v>
      </c>
      <c r="C12" s="79" t="s">
        <v>68</v>
      </c>
      <c r="D12" s="140">
        <v>232102</v>
      </c>
      <c r="E12" s="79">
        <v>1210.26</v>
      </c>
      <c r="F12" s="79">
        <v>2686.37</v>
      </c>
      <c r="G12" s="103">
        <v>1222.29</v>
      </c>
      <c r="H12" s="141">
        <v>0</v>
      </c>
      <c r="I12" s="141">
        <v>0</v>
      </c>
      <c r="J12" s="141">
        <v>0</v>
      </c>
      <c r="K12" s="141">
        <v>0</v>
      </c>
      <c r="L12" s="141">
        <v>0</v>
      </c>
      <c r="M12" s="141">
        <v>0</v>
      </c>
      <c r="N12" s="103">
        <v>7894.58</v>
      </c>
      <c r="O12" s="103">
        <v>551.11</v>
      </c>
      <c r="P12" s="103">
        <v>2176.8900000000003</v>
      </c>
      <c r="Q12" s="139">
        <v>3015.56</v>
      </c>
      <c r="R12" s="103">
        <v>2262.36</v>
      </c>
      <c r="S12" s="103">
        <v>7639.2</v>
      </c>
      <c r="T12" s="103">
        <v>2550.54</v>
      </c>
      <c r="U12" s="103">
        <v>0</v>
      </c>
      <c r="V12" s="103">
        <v>0</v>
      </c>
      <c r="W12" s="103">
        <v>0</v>
      </c>
      <c r="X12" s="103">
        <v>0</v>
      </c>
      <c r="Y12" s="107">
        <v>0</v>
      </c>
      <c r="Z12" s="142">
        <v>0</v>
      </c>
      <c r="AA12" s="142">
        <v>3426.96</v>
      </c>
      <c r="AB12" s="143">
        <v>24224.2</v>
      </c>
    </row>
    <row r="13" spans="2:28" x14ac:dyDescent="0.3">
      <c r="B13" s="69" t="s">
        <v>25</v>
      </c>
      <c r="C13" s="71" t="s">
        <v>71</v>
      </c>
      <c r="D13" s="140">
        <v>2221</v>
      </c>
      <c r="E13" s="144">
        <v>2477.8000000000002</v>
      </c>
      <c r="F13" s="144">
        <v>3355.34</v>
      </c>
      <c r="G13" s="141">
        <v>3112.0099999999998</v>
      </c>
      <c r="H13" s="141">
        <v>2173.39</v>
      </c>
      <c r="I13" s="141">
        <v>1285.47</v>
      </c>
      <c r="J13" s="144">
        <v>473.85</v>
      </c>
      <c r="K13" s="144">
        <v>0</v>
      </c>
      <c r="L13" s="141">
        <v>0</v>
      </c>
      <c r="M13" s="141">
        <v>0</v>
      </c>
      <c r="N13" s="141">
        <v>217.74</v>
      </c>
      <c r="O13" s="141">
        <v>1264.8500000000001</v>
      </c>
      <c r="P13" s="141">
        <v>2887.87</v>
      </c>
      <c r="Q13" s="141">
        <v>5008.34</v>
      </c>
      <c r="R13" s="141">
        <v>4135.1000000000004</v>
      </c>
      <c r="S13" s="141">
        <v>3411.3199999999997</v>
      </c>
      <c r="T13" s="141">
        <v>3433.0699999999997</v>
      </c>
      <c r="U13" s="141">
        <v>2214.9299999999998</v>
      </c>
      <c r="V13" s="141">
        <v>788.8</v>
      </c>
      <c r="W13" s="103">
        <v>0</v>
      </c>
      <c r="X13" s="103">
        <v>0</v>
      </c>
      <c r="Y13" s="107">
        <v>0</v>
      </c>
      <c r="Z13" s="142">
        <v>0</v>
      </c>
      <c r="AA13" s="142">
        <v>2974.42</v>
      </c>
      <c r="AB13" s="143">
        <v>7260</v>
      </c>
    </row>
    <row r="14" spans="2:28" x14ac:dyDescent="0.3">
      <c r="B14" s="69" t="s">
        <v>32</v>
      </c>
      <c r="C14" s="71" t="s">
        <v>38</v>
      </c>
      <c r="D14" s="82"/>
      <c r="E14" s="82"/>
      <c r="F14" s="82"/>
      <c r="G14" s="112"/>
      <c r="H14" s="112"/>
      <c r="I14" s="112"/>
      <c r="J14" s="82"/>
      <c r="K14" s="82"/>
      <c r="L14" s="112"/>
      <c r="M14" s="112"/>
      <c r="N14" s="112"/>
      <c r="O14" s="112"/>
      <c r="P14" s="112"/>
      <c r="Q14" s="145"/>
      <c r="R14" s="112"/>
      <c r="S14" s="112"/>
      <c r="T14" s="112"/>
      <c r="U14" s="112"/>
      <c r="V14" s="112"/>
      <c r="W14" s="112"/>
      <c r="X14" s="112"/>
      <c r="Y14" s="113"/>
      <c r="Z14" s="142"/>
      <c r="AA14" s="146"/>
      <c r="AB14" s="143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92"/>
      <c r="D16" s="92"/>
      <c r="E16" s="92"/>
      <c r="F16" s="92"/>
      <c r="J16" s="92"/>
      <c r="K16" s="92"/>
      <c r="L16" s="41"/>
      <c r="O16" s="90"/>
      <c r="P16" s="90"/>
    </row>
    <row r="17" spans="3:15" x14ac:dyDescent="0.3">
      <c r="C17" s="189" t="s">
        <v>72</v>
      </c>
      <c r="D17" s="189"/>
      <c r="E17" s="189"/>
      <c r="F17" s="189"/>
      <c r="G17" s="189"/>
      <c r="H17" s="189"/>
      <c r="I17" s="189"/>
      <c r="J17" s="189"/>
      <c r="K17" s="189"/>
      <c r="O17" s="90"/>
    </row>
    <row r="20" spans="3:15" ht="30.75" x14ac:dyDescent="0.55000000000000004">
      <c r="L20" s="183" t="s">
        <v>91</v>
      </c>
      <c r="M20" s="183"/>
      <c r="N20" s="183"/>
      <c r="O20" s="183"/>
    </row>
    <row r="21" spans="3:15" ht="50.25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15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</row>
    <row r="23" spans="3:15" x14ac:dyDescent="0.3">
      <c r="L23" s="37"/>
      <c r="M23" s="38"/>
      <c r="O23" s="36"/>
    </row>
    <row r="24" spans="3:15" ht="20.25" x14ac:dyDescent="0.35">
      <c r="L24" s="39">
        <f>SUM(E8:P8)</f>
        <v>32989.82</v>
      </c>
      <c r="M24" s="40">
        <f>SUM(Q8:AB8)</f>
        <v>72344.800000000003</v>
      </c>
      <c r="N24" s="41">
        <f>M24-L24</f>
        <v>39354.980000000003</v>
      </c>
      <c r="O24" s="42">
        <f>N24/100*50</f>
        <v>19677.490000000002</v>
      </c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>E8</f>
        <v>3688.0600000000004</v>
      </c>
      <c r="F47" s="41">
        <f t="shared" ref="F47:P47" si="2">F8</f>
        <v>6041.71</v>
      </c>
      <c r="G47" s="41">
        <f t="shared" si="2"/>
        <v>4334.2999999999993</v>
      </c>
      <c r="H47" s="41">
        <f t="shared" si="2"/>
        <v>2173.39</v>
      </c>
      <c r="I47" s="41">
        <f t="shared" si="2"/>
        <v>1285.47</v>
      </c>
      <c r="J47" s="41">
        <f t="shared" si="2"/>
        <v>473.85</v>
      </c>
      <c r="K47" s="41">
        <f t="shared" si="2"/>
        <v>0</v>
      </c>
      <c r="L47" s="41">
        <f t="shared" si="2"/>
        <v>0</v>
      </c>
      <c r="M47" s="41">
        <f t="shared" si="2"/>
        <v>0</v>
      </c>
      <c r="N47" s="41">
        <f t="shared" si="2"/>
        <v>8112.32</v>
      </c>
      <c r="O47" s="41">
        <f t="shared" si="2"/>
        <v>1815.96</v>
      </c>
      <c r="P47" s="41">
        <f t="shared" si="2"/>
        <v>5064.76</v>
      </c>
    </row>
    <row r="48" spans="4:16" x14ac:dyDescent="0.3">
      <c r="D48" s="31">
        <v>2022</v>
      </c>
      <c r="E48" s="41">
        <f>Q8</f>
        <v>8023.9</v>
      </c>
      <c r="F48" s="41">
        <f t="shared" ref="F48:P48" si="3">R8</f>
        <v>6397.4600000000009</v>
      </c>
      <c r="G48" s="41">
        <f t="shared" si="3"/>
        <v>11050.52</v>
      </c>
      <c r="H48" s="41">
        <f t="shared" si="3"/>
        <v>5983.61</v>
      </c>
      <c r="I48" s="41">
        <f t="shared" si="3"/>
        <v>2214.9299999999998</v>
      </c>
      <c r="J48" s="41">
        <f t="shared" si="3"/>
        <v>788.8</v>
      </c>
      <c r="K48" s="41">
        <f t="shared" si="3"/>
        <v>0</v>
      </c>
      <c r="L48" s="41">
        <f t="shared" si="3"/>
        <v>0</v>
      </c>
      <c r="M48" s="41">
        <f t="shared" si="3"/>
        <v>0</v>
      </c>
      <c r="N48" s="41">
        <f t="shared" si="3"/>
        <v>0</v>
      </c>
      <c r="O48" s="41">
        <f t="shared" si="3"/>
        <v>6401.38</v>
      </c>
      <c r="P48" s="41">
        <f t="shared" si="3"/>
        <v>31484.2</v>
      </c>
    </row>
  </sheetData>
  <mergeCells count="11">
    <mergeCell ref="L20:O20"/>
    <mergeCell ref="E21:F21"/>
    <mergeCell ref="H21:I21"/>
    <mergeCell ref="L21:M21"/>
    <mergeCell ref="C17:K17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AB48"/>
  <sheetViews>
    <sheetView topLeftCell="B1" zoomScale="80" zoomScaleNormal="80" workbookViewId="0">
      <selection activeCell="Q4" sqref="Q4:AB4"/>
    </sheetView>
  </sheetViews>
  <sheetFormatPr defaultRowHeight="16.5" x14ac:dyDescent="0.3"/>
  <cols>
    <col min="1" max="1" width="4.7109375" style="31" hidden="1" customWidth="1"/>
    <col min="2" max="2" width="6.28515625" style="31" customWidth="1"/>
    <col min="3" max="3" width="32.7109375" style="31" customWidth="1"/>
    <col min="4" max="4" width="13.28515625" style="31" customWidth="1"/>
    <col min="5" max="5" width="12" style="31" customWidth="1"/>
    <col min="6" max="6" width="10.85546875" style="31" customWidth="1"/>
    <col min="7" max="7" width="13.85546875" style="31" customWidth="1"/>
    <col min="8" max="8" width="12" style="31" customWidth="1"/>
    <col min="9" max="11" width="9.7109375" style="31" customWidth="1"/>
    <col min="12" max="12" width="11.7109375" style="31" customWidth="1"/>
    <col min="13" max="13" width="11.28515625" style="31" customWidth="1"/>
    <col min="14" max="14" width="12.5703125" style="31" customWidth="1"/>
    <col min="15" max="15" width="14" style="31" customWidth="1"/>
    <col min="16" max="16" width="9.7109375" style="31" customWidth="1"/>
    <col min="17" max="17" width="11.28515625" style="31" customWidth="1"/>
    <col min="18" max="18" width="10.5703125" style="31" customWidth="1"/>
    <col min="19" max="19" width="10.85546875" style="31" customWidth="1"/>
    <col min="20" max="20" width="11.28515625" style="31" customWidth="1"/>
    <col min="21" max="21" width="11.85546875" style="31" customWidth="1"/>
    <col min="22" max="26" width="9.7109375" style="31" customWidth="1"/>
    <col min="27" max="27" width="13.85546875" style="31" customWidth="1"/>
    <col min="28" max="28" width="11.7109375" style="31" customWidth="1"/>
    <col min="29" max="16384" width="9.140625" style="31"/>
  </cols>
  <sheetData>
    <row r="2" spans="2:28" ht="20.25" x14ac:dyDescent="0.35">
      <c r="B2" s="177" t="s">
        <v>73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9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43.5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115" t="s">
        <v>29</v>
      </c>
      <c r="U5" s="56" t="s">
        <v>33</v>
      </c>
      <c r="V5" s="56" t="s">
        <v>61</v>
      </c>
      <c r="W5" s="56" t="s">
        <v>60</v>
      </c>
      <c r="X5" s="56" t="s">
        <v>59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x14ac:dyDescent="0.3">
      <c r="B7" s="116" t="s">
        <v>2</v>
      </c>
      <c r="C7" s="117" t="s">
        <v>46</v>
      </c>
      <c r="D7" s="118" t="s">
        <v>47</v>
      </c>
      <c r="E7" s="119">
        <f>E8</f>
        <v>8486.2599999999984</v>
      </c>
      <c r="F7" s="119">
        <f t="shared" ref="F7:AB7" si="0">F8</f>
        <v>12961.96</v>
      </c>
      <c r="G7" s="119">
        <f t="shared" si="0"/>
        <v>9586.43</v>
      </c>
      <c r="H7" s="119">
        <f t="shared" si="0"/>
        <v>7720.4400000000005</v>
      </c>
      <c r="I7" s="119">
        <f t="shared" si="0"/>
        <v>4213.67</v>
      </c>
      <c r="J7" s="119">
        <f t="shared" si="0"/>
        <v>1662.5</v>
      </c>
      <c r="K7" s="119">
        <f t="shared" si="0"/>
        <v>642.84</v>
      </c>
      <c r="L7" s="119">
        <f t="shared" si="0"/>
        <v>4216.2299999999996</v>
      </c>
      <c r="M7" s="119">
        <f t="shared" si="0"/>
        <v>693.19</v>
      </c>
      <c r="N7" s="119">
        <f t="shared" si="0"/>
        <v>3281.45</v>
      </c>
      <c r="O7" s="119">
        <f t="shared" si="0"/>
        <v>4517</v>
      </c>
      <c r="P7" s="119">
        <f t="shared" si="0"/>
        <v>9718.07</v>
      </c>
      <c r="Q7" s="119">
        <f t="shared" si="0"/>
        <v>28613.32</v>
      </c>
      <c r="R7" s="119">
        <f t="shared" si="0"/>
        <v>23215.37</v>
      </c>
      <c r="S7" s="119">
        <f t="shared" si="0"/>
        <v>20954.989999999998</v>
      </c>
      <c r="T7" s="119">
        <f t="shared" si="0"/>
        <v>17847.620000000003</v>
      </c>
      <c r="U7" s="119">
        <f t="shared" si="0"/>
        <v>10818.99</v>
      </c>
      <c r="V7" s="119">
        <f t="shared" si="0"/>
        <v>3331.7799999999997</v>
      </c>
      <c r="W7" s="119">
        <f t="shared" si="0"/>
        <v>2200.77</v>
      </c>
      <c r="X7" s="119">
        <f t="shared" si="0"/>
        <v>1245.02</v>
      </c>
      <c r="Y7" s="80">
        <f t="shared" si="0"/>
        <v>1331.5</v>
      </c>
      <c r="Z7" s="73">
        <f t="shared" si="0"/>
        <v>1705.4</v>
      </c>
      <c r="AA7" s="73">
        <f t="shared" si="0"/>
        <v>20522.48</v>
      </c>
      <c r="AB7" s="68">
        <f t="shared" si="0"/>
        <v>60595.07</v>
      </c>
    </row>
    <row r="8" spans="2:28" x14ac:dyDescent="0.3">
      <c r="B8" s="120" t="s">
        <v>5</v>
      </c>
      <c r="C8" s="123" t="s">
        <v>63</v>
      </c>
      <c r="D8" s="124"/>
      <c r="E8" s="124">
        <f>SUM(E10:E14)</f>
        <v>8486.2599999999984</v>
      </c>
      <c r="F8" s="124">
        <f t="shared" ref="F8:AB8" si="1">SUM(F10:F14)</f>
        <v>12961.96</v>
      </c>
      <c r="G8" s="124">
        <f t="shared" si="1"/>
        <v>9586.43</v>
      </c>
      <c r="H8" s="124">
        <f t="shared" si="1"/>
        <v>7720.4400000000005</v>
      </c>
      <c r="I8" s="124">
        <f t="shared" si="1"/>
        <v>4213.67</v>
      </c>
      <c r="J8" s="124">
        <f t="shared" si="1"/>
        <v>1662.5</v>
      </c>
      <c r="K8" s="124">
        <f t="shared" si="1"/>
        <v>642.84</v>
      </c>
      <c r="L8" s="124">
        <f t="shared" si="1"/>
        <v>4216.2299999999996</v>
      </c>
      <c r="M8" s="124">
        <f t="shared" si="1"/>
        <v>693.19</v>
      </c>
      <c r="N8" s="124">
        <f t="shared" si="1"/>
        <v>3281.45</v>
      </c>
      <c r="O8" s="124">
        <f t="shared" si="1"/>
        <v>4517</v>
      </c>
      <c r="P8" s="124">
        <f t="shared" si="1"/>
        <v>9718.07</v>
      </c>
      <c r="Q8" s="124">
        <f t="shared" si="1"/>
        <v>28613.32</v>
      </c>
      <c r="R8" s="124">
        <f t="shared" si="1"/>
        <v>23215.37</v>
      </c>
      <c r="S8" s="124">
        <f t="shared" si="1"/>
        <v>20954.989999999998</v>
      </c>
      <c r="T8" s="124">
        <f t="shared" si="1"/>
        <v>17847.620000000003</v>
      </c>
      <c r="U8" s="124">
        <f t="shared" si="1"/>
        <v>10818.99</v>
      </c>
      <c r="V8" s="124">
        <f t="shared" si="1"/>
        <v>3331.7799999999997</v>
      </c>
      <c r="W8" s="124">
        <f t="shared" si="1"/>
        <v>2200.77</v>
      </c>
      <c r="X8" s="124">
        <f t="shared" si="1"/>
        <v>1245.02</v>
      </c>
      <c r="Y8" s="73">
        <f t="shared" si="1"/>
        <v>1331.5</v>
      </c>
      <c r="Z8" s="73">
        <f t="shared" si="1"/>
        <v>1705.4</v>
      </c>
      <c r="AA8" s="73">
        <f t="shared" si="1"/>
        <v>20522.48</v>
      </c>
      <c r="AB8" s="138">
        <f t="shared" si="1"/>
        <v>60595.07</v>
      </c>
    </row>
    <row r="9" spans="2:28" x14ac:dyDescent="0.3">
      <c r="B9" s="120"/>
      <c r="C9" s="123" t="s">
        <v>62</v>
      </c>
      <c r="D9" s="124"/>
      <c r="E9" s="124"/>
      <c r="F9" s="124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6"/>
      <c r="R9" s="126"/>
      <c r="S9" s="126"/>
      <c r="T9" s="126"/>
      <c r="U9" s="126"/>
      <c r="V9" s="126"/>
      <c r="W9" s="126"/>
      <c r="X9" s="127"/>
      <c r="Y9" s="77"/>
      <c r="Z9" s="128"/>
      <c r="AA9" s="128"/>
      <c r="AB9" s="78"/>
    </row>
    <row r="10" spans="2:28" x14ac:dyDescent="0.3">
      <c r="B10" s="120" t="s">
        <v>6</v>
      </c>
      <c r="C10" s="123" t="s">
        <v>21</v>
      </c>
      <c r="D10" s="129"/>
      <c r="E10" s="79">
        <v>8464.7999999999993</v>
      </c>
      <c r="F10" s="79">
        <v>9562.58</v>
      </c>
      <c r="G10" s="103">
        <v>9555.7900000000009</v>
      </c>
      <c r="H10" s="103">
        <v>7696.8</v>
      </c>
      <c r="I10" s="103">
        <v>4197.1099999999997</v>
      </c>
      <c r="J10" s="79">
        <v>1515.96</v>
      </c>
      <c r="K10" s="79">
        <v>642.84</v>
      </c>
      <c r="L10" s="103">
        <v>616.23</v>
      </c>
      <c r="M10" s="103">
        <v>693.19</v>
      </c>
      <c r="N10" s="103">
        <v>1803.66</v>
      </c>
      <c r="O10" s="103">
        <v>4484.5600000000004</v>
      </c>
      <c r="P10" s="103">
        <v>6862.79</v>
      </c>
      <c r="Q10" s="74">
        <v>24945.03</v>
      </c>
      <c r="R10" s="74">
        <v>20708.18</v>
      </c>
      <c r="S10" s="74">
        <v>17286.53</v>
      </c>
      <c r="T10" s="74">
        <v>17793.080000000002</v>
      </c>
      <c r="U10" s="74">
        <v>10751.76</v>
      </c>
      <c r="V10" s="74">
        <v>3062</v>
      </c>
      <c r="W10" s="74">
        <v>2200.77</v>
      </c>
      <c r="X10" s="74">
        <v>1245.02</v>
      </c>
      <c r="Y10" s="80">
        <v>1331.5</v>
      </c>
      <c r="Z10" s="73">
        <v>1705.4</v>
      </c>
      <c r="AA10" s="73">
        <v>3638.48</v>
      </c>
      <c r="AB10" s="68">
        <v>55210.02</v>
      </c>
    </row>
    <row r="11" spans="2:28" x14ac:dyDescent="0.3">
      <c r="B11" s="120" t="s">
        <v>7</v>
      </c>
      <c r="C11" s="123" t="s">
        <v>22</v>
      </c>
      <c r="D11" s="129"/>
      <c r="E11" s="79"/>
      <c r="F11" s="79"/>
      <c r="G11" s="103"/>
      <c r="H11" s="103"/>
      <c r="I11" s="103"/>
      <c r="J11" s="79"/>
      <c r="K11" s="79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7"/>
      <c r="Z11" s="130"/>
      <c r="AA11" s="130"/>
      <c r="AB11" s="101"/>
    </row>
    <row r="12" spans="2:28" x14ac:dyDescent="0.3">
      <c r="B12" s="120" t="s">
        <v>24</v>
      </c>
      <c r="C12" s="129" t="s">
        <v>23</v>
      </c>
      <c r="D12" s="129"/>
      <c r="E12" s="79">
        <v>21.46</v>
      </c>
      <c r="F12" s="79">
        <v>3399.38</v>
      </c>
      <c r="G12" s="103">
        <v>30.64</v>
      </c>
      <c r="H12" s="103">
        <v>23.64</v>
      </c>
      <c r="I12" s="103">
        <v>16.559999999999999</v>
      </c>
      <c r="J12" s="79">
        <v>146.54</v>
      </c>
      <c r="K12" s="79"/>
      <c r="L12" s="103">
        <v>3600</v>
      </c>
      <c r="M12" s="103"/>
      <c r="N12" s="103">
        <v>1477.79</v>
      </c>
      <c r="O12" s="103">
        <v>32.44</v>
      </c>
      <c r="P12" s="103">
        <v>2855.28</v>
      </c>
      <c r="Q12" s="103">
        <v>3668.29</v>
      </c>
      <c r="R12" s="103">
        <v>2507.19</v>
      </c>
      <c r="S12" s="103">
        <v>3668.46</v>
      </c>
      <c r="T12" s="103">
        <v>54.54</v>
      </c>
      <c r="U12" s="103">
        <v>67.23</v>
      </c>
      <c r="V12" s="103">
        <v>269.77999999999997</v>
      </c>
      <c r="W12" s="103"/>
      <c r="X12" s="103"/>
      <c r="Y12" s="107"/>
      <c r="Z12" s="130">
        <v>0</v>
      </c>
      <c r="AA12" s="130">
        <v>16884</v>
      </c>
      <c r="AB12" s="101">
        <f>ROUND(3590.03*1.5,2)</f>
        <v>5385.05</v>
      </c>
    </row>
    <row r="13" spans="2:28" x14ac:dyDescent="0.3">
      <c r="B13" s="120" t="s">
        <v>25</v>
      </c>
      <c r="C13" s="123" t="s">
        <v>38</v>
      </c>
      <c r="D13" s="129"/>
      <c r="E13" s="129"/>
      <c r="F13" s="129"/>
      <c r="G13" s="131"/>
      <c r="H13" s="131"/>
      <c r="I13" s="131"/>
      <c r="J13" s="129"/>
      <c r="K13" s="129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07"/>
      <c r="Z13" s="130"/>
      <c r="AA13" s="130"/>
      <c r="AB13" s="101"/>
    </row>
    <row r="14" spans="2:28" x14ac:dyDescent="0.3">
      <c r="B14" s="120" t="s">
        <v>32</v>
      </c>
      <c r="C14" s="123" t="s">
        <v>38</v>
      </c>
      <c r="D14" s="132"/>
      <c r="E14" s="132"/>
      <c r="F14" s="132"/>
      <c r="G14" s="133"/>
      <c r="H14" s="133"/>
      <c r="I14" s="133"/>
      <c r="J14" s="132"/>
      <c r="K14" s="132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13"/>
      <c r="Z14" s="134"/>
      <c r="AA14" s="113"/>
      <c r="AB14" s="114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135" t="s">
        <v>43</v>
      </c>
      <c r="D16" s="135"/>
      <c r="E16" s="135"/>
      <c r="F16" s="135"/>
      <c r="J16" s="135"/>
      <c r="K16" s="135"/>
      <c r="L16" s="41"/>
      <c r="O16" s="90"/>
      <c r="P16" s="90"/>
    </row>
    <row r="17" spans="3:16" x14ac:dyDescent="0.3">
      <c r="C17" s="188" t="s">
        <v>44</v>
      </c>
      <c r="D17" s="188"/>
      <c r="E17" s="188"/>
      <c r="F17" s="188"/>
      <c r="O17" s="90"/>
    </row>
    <row r="18" spans="3:16" x14ac:dyDescent="0.3">
      <c r="C18" s="136" t="s">
        <v>45</v>
      </c>
    </row>
    <row r="20" spans="3:16" ht="30.75" x14ac:dyDescent="0.55000000000000004">
      <c r="L20" s="183" t="s">
        <v>91</v>
      </c>
      <c r="M20" s="183"/>
      <c r="N20" s="183"/>
      <c r="O20" s="183"/>
      <c r="P20" s="137"/>
    </row>
    <row r="21" spans="3:16" ht="50.25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16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</row>
    <row r="23" spans="3:16" x14ac:dyDescent="0.3">
      <c r="L23" s="37"/>
      <c r="M23" s="38"/>
      <c r="O23" s="36"/>
    </row>
    <row r="24" spans="3:16" ht="20.25" x14ac:dyDescent="0.35">
      <c r="L24" s="39">
        <f>SUM(E8:P8)</f>
        <v>67700.039999999979</v>
      </c>
      <c r="M24" s="40">
        <f>SUM(Q8:AB8)</f>
        <v>192382.31</v>
      </c>
      <c r="N24" s="41">
        <f>M24-L24</f>
        <v>124682.27000000002</v>
      </c>
      <c r="O24" s="42">
        <f>N24/100*50</f>
        <v>62341.135000000009</v>
      </c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>E8</f>
        <v>8486.2599999999984</v>
      </c>
      <c r="F47" s="41">
        <f t="shared" ref="F47:P47" si="2">F8</f>
        <v>12961.96</v>
      </c>
      <c r="G47" s="41">
        <f t="shared" si="2"/>
        <v>9586.43</v>
      </c>
      <c r="H47" s="41">
        <f t="shared" si="2"/>
        <v>7720.4400000000005</v>
      </c>
      <c r="I47" s="41">
        <f t="shared" si="2"/>
        <v>4213.67</v>
      </c>
      <c r="J47" s="41">
        <f t="shared" si="2"/>
        <v>1662.5</v>
      </c>
      <c r="K47" s="41">
        <f t="shared" si="2"/>
        <v>642.84</v>
      </c>
      <c r="L47" s="41">
        <f t="shared" si="2"/>
        <v>4216.2299999999996</v>
      </c>
      <c r="M47" s="41">
        <f t="shared" si="2"/>
        <v>693.19</v>
      </c>
      <c r="N47" s="41">
        <f t="shared" si="2"/>
        <v>3281.45</v>
      </c>
      <c r="O47" s="41">
        <f t="shared" si="2"/>
        <v>4517</v>
      </c>
      <c r="P47" s="41">
        <f t="shared" si="2"/>
        <v>9718.07</v>
      </c>
    </row>
    <row r="48" spans="4:16" x14ac:dyDescent="0.3">
      <c r="D48" s="31">
        <v>2022</v>
      </c>
      <c r="E48" s="41">
        <f>Q8</f>
        <v>28613.32</v>
      </c>
      <c r="F48" s="41">
        <f t="shared" ref="F48:P48" si="3">R8</f>
        <v>23215.37</v>
      </c>
      <c r="G48" s="41">
        <f t="shared" si="3"/>
        <v>20954.989999999998</v>
      </c>
      <c r="H48" s="41">
        <f t="shared" si="3"/>
        <v>17847.620000000003</v>
      </c>
      <c r="I48" s="41">
        <f t="shared" si="3"/>
        <v>10818.99</v>
      </c>
      <c r="J48" s="41">
        <f t="shared" si="3"/>
        <v>3331.7799999999997</v>
      </c>
      <c r="K48" s="41">
        <f t="shared" si="3"/>
        <v>2200.77</v>
      </c>
      <c r="L48" s="41">
        <f t="shared" si="3"/>
        <v>1245.02</v>
      </c>
      <c r="M48" s="41">
        <f t="shared" si="3"/>
        <v>1331.5</v>
      </c>
      <c r="N48" s="41">
        <f t="shared" si="3"/>
        <v>1705.4</v>
      </c>
      <c r="O48" s="41">
        <f t="shared" si="3"/>
        <v>20522.48</v>
      </c>
      <c r="P48" s="41">
        <f t="shared" si="3"/>
        <v>60595.07</v>
      </c>
    </row>
  </sheetData>
  <mergeCells count="11">
    <mergeCell ref="L21:M21"/>
    <mergeCell ref="L20:O20"/>
    <mergeCell ref="E21:F21"/>
    <mergeCell ref="H21:I21"/>
    <mergeCell ref="C17:F17"/>
    <mergeCell ref="B2:AB2"/>
    <mergeCell ref="B4:B5"/>
    <mergeCell ref="C4:C5"/>
    <mergeCell ref="D4:D5"/>
    <mergeCell ref="E4:P4"/>
    <mergeCell ref="Q4:AB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6A8A8-A3E4-44E1-A4C4-DE3909CCF3F1}">
  <dimension ref="A2:AB48"/>
  <sheetViews>
    <sheetView topLeftCell="B1" zoomScale="85" zoomScaleNormal="85" workbookViewId="0">
      <selection activeCell="Q4" sqref="Q4:AB4"/>
    </sheetView>
  </sheetViews>
  <sheetFormatPr defaultRowHeight="16.5" x14ac:dyDescent="0.3"/>
  <cols>
    <col min="1" max="1" width="4.85546875" style="31" hidden="1" customWidth="1"/>
    <col min="2" max="2" width="6.28515625" style="31" customWidth="1"/>
    <col min="3" max="3" width="32.7109375" style="31" customWidth="1"/>
    <col min="4" max="4" width="10" style="31" customWidth="1"/>
    <col min="5" max="5" width="9.7109375" style="31" customWidth="1"/>
    <col min="6" max="6" width="10.85546875" style="31" customWidth="1"/>
    <col min="7" max="11" width="9.7109375" style="31" customWidth="1"/>
    <col min="12" max="12" width="12.5703125" style="31" customWidth="1"/>
    <col min="13" max="13" width="13.5703125" style="31" customWidth="1"/>
    <col min="14" max="14" width="11.140625" style="31" customWidth="1"/>
    <col min="15" max="15" width="15.42578125" style="31" customWidth="1"/>
    <col min="16" max="16" width="9.7109375" style="31" customWidth="1"/>
    <col min="17" max="17" width="10.7109375" style="31" customWidth="1"/>
    <col min="18" max="18" width="11.85546875" style="31" customWidth="1"/>
    <col min="19" max="19" width="10.85546875" style="31" customWidth="1"/>
    <col min="20" max="28" width="9.7109375" style="31" customWidth="1"/>
    <col min="29" max="16384" width="9.140625" style="31"/>
  </cols>
  <sheetData>
    <row r="2" spans="2:28" ht="20.25" x14ac:dyDescent="0.35">
      <c r="B2" s="177" t="s">
        <v>81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7.9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70.900000000000006" customHeight="1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56" t="s">
        <v>29</v>
      </c>
      <c r="U5" s="56" t="s">
        <v>33</v>
      </c>
      <c r="V5" s="56" t="s">
        <v>61</v>
      </c>
      <c r="W5" s="56" t="s">
        <v>60</v>
      </c>
      <c r="X5" s="56" t="s">
        <v>59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ht="27" customHeight="1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ht="25.9" customHeight="1" x14ac:dyDescent="0.3">
      <c r="B7" s="63" t="s">
        <v>2</v>
      </c>
      <c r="C7" s="64" t="s">
        <v>46</v>
      </c>
      <c r="D7" s="65" t="s">
        <v>47</v>
      </c>
      <c r="E7" s="66">
        <f>E8</f>
        <v>19198.002</v>
      </c>
      <c r="F7" s="66">
        <f t="shared" ref="F7:AB7" si="0">F8</f>
        <v>17449.573999999997</v>
      </c>
      <c r="G7" s="66">
        <f t="shared" si="0"/>
        <v>14581.902099999999</v>
      </c>
      <c r="H7" s="66">
        <f t="shared" si="0"/>
        <v>9146.4139999999989</v>
      </c>
      <c r="I7" s="66">
        <f t="shared" si="0"/>
        <v>1200.902</v>
      </c>
      <c r="J7" s="66">
        <f t="shared" si="0"/>
        <v>0</v>
      </c>
      <c r="K7" s="66">
        <f t="shared" si="0"/>
        <v>0</v>
      </c>
      <c r="L7" s="66">
        <f t="shared" si="0"/>
        <v>0</v>
      </c>
      <c r="M7" s="66">
        <f t="shared" si="0"/>
        <v>310.12</v>
      </c>
      <c r="N7" s="66">
        <f t="shared" si="0"/>
        <v>7143.311999999999</v>
      </c>
      <c r="O7" s="66">
        <f t="shared" si="0"/>
        <v>12092.796499999999</v>
      </c>
      <c r="P7" s="66">
        <f t="shared" si="0"/>
        <v>26518.914799999999</v>
      </c>
      <c r="Q7" s="66">
        <f t="shared" si="0"/>
        <v>35316.853199999998</v>
      </c>
      <c r="R7" s="66">
        <f t="shared" si="0"/>
        <v>25460.240099999999</v>
      </c>
      <c r="S7" s="66">
        <f t="shared" si="0"/>
        <v>24436.030099999996</v>
      </c>
      <c r="T7" s="66">
        <f t="shared" si="0"/>
        <v>21142.2484</v>
      </c>
      <c r="U7" s="66">
        <f t="shared" si="0"/>
        <v>1318.51</v>
      </c>
      <c r="V7" s="66">
        <f t="shared" si="0"/>
        <v>0</v>
      </c>
      <c r="W7" s="66">
        <f t="shared" si="0"/>
        <v>0</v>
      </c>
      <c r="X7" s="66">
        <f t="shared" si="0"/>
        <v>0</v>
      </c>
      <c r="Y7" s="67">
        <f t="shared" si="0"/>
        <v>32.549999999999997</v>
      </c>
      <c r="Z7" s="67">
        <f t="shared" si="0"/>
        <v>13464.15</v>
      </c>
      <c r="AA7" s="67">
        <f t="shared" si="0"/>
        <v>14155.96</v>
      </c>
      <c r="AB7" s="100">
        <f t="shared" si="0"/>
        <v>121397.09999999999</v>
      </c>
    </row>
    <row r="8" spans="2:28" x14ac:dyDescent="0.3">
      <c r="B8" s="69" t="s">
        <v>5</v>
      </c>
      <c r="C8" s="70" t="s">
        <v>63</v>
      </c>
      <c r="D8" s="66"/>
      <c r="E8" s="72">
        <f>SUM(E10:E14)</f>
        <v>19198.002</v>
      </c>
      <c r="F8" s="72">
        <f t="shared" ref="F8:AB8" si="1">SUM(F10:F14)</f>
        <v>17449.573999999997</v>
      </c>
      <c r="G8" s="72">
        <f t="shared" si="1"/>
        <v>14581.902099999999</v>
      </c>
      <c r="H8" s="72">
        <f t="shared" si="1"/>
        <v>9146.4139999999989</v>
      </c>
      <c r="I8" s="72">
        <f t="shared" si="1"/>
        <v>1200.902</v>
      </c>
      <c r="J8" s="72">
        <f t="shared" si="1"/>
        <v>0</v>
      </c>
      <c r="K8" s="72">
        <f t="shared" si="1"/>
        <v>0</v>
      </c>
      <c r="L8" s="72">
        <f t="shared" si="1"/>
        <v>0</v>
      </c>
      <c r="M8" s="72">
        <f t="shared" si="1"/>
        <v>310.12</v>
      </c>
      <c r="N8" s="72">
        <f t="shared" si="1"/>
        <v>7143.311999999999</v>
      </c>
      <c r="O8" s="72">
        <f t="shared" si="1"/>
        <v>12092.796499999999</v>
      </c>
      <c r="P8" s="72">
        <f t="shared" si="1"/>
        <v>26518.914799999999</v>
      </c>
      <c r="Q8" s="72">
        <f t="shared" si="1"/>
        <v>35316.853199999998</v>
      </c>
      <c r="R8" s="72">
        <f t="shared" si="1"/>
        <v>25460.240099999999</v>
      </c>
      <c r="S8" s="72">
        <f t="shared" si="1"/>
        <v>24436.030099999996</v>
      </c>
      <c r="T8" s="72">
        <f t="shared" si="1"/>
        <v>21142.2484</v>
      </c>
      <c r="U8" s="72">
        <f t="shared" si="1"/>
        <v>1318.51</v>
      </c>
      <c r="V8" s="72">
        <f t="shared" si="1"/>
        <v>0</v>
      </c>
      <c r="W8" s="72">
        <f t="shared" si="1"/>
        <v>0</v>
      </c>
      <c r="X8" s="72">
        <f t="shared" si="1"/>
        <v>0</v>
      </c>
      <c r="Y8" s="73">
        <f t="shared" si="1"/>
        <v>32.549999999999997</v>
      </c>
      <c r="Z8" s="73">
        <f t="shared" si="1"/>
        <v>13464.15</v>
      </c>
      <c r="AA8" s="73">
        <f t="shared" si="1"/>
        <v>14155.96</v>
      </c>
      <c r="AB8" s="101">
        <f t="shared" si="1"/>
        <v>121397.09999999999</v>
      </c>
    </row>
    <row r="9" spans="2:28" hidden="1" x14ac:dyDescent="0.3">
      <c r="B9" s="69"/>
      <c r="C9" s="71" t="s">
        <v>62</v>
      </c>
      <c r="D9" s="72"/>
      <c r="E9" s="72"/>
      <c r="F9" s="72"/>
      <c r="G9" s="74"/>
      <c r="H9" s="74"/>
      <c r="I9" s="74"/>
      <c r="J9" s="74"/>
      <c r="K9" s="74"/>
      <c r="L9" s="74"/>
      <c r="M9" s="74"/>
      <c r="N9" s="74"/>
      <c r="O9" s="74"/>
      <c r="P9" s="74"/>
      <c r="Q9" s="75">
        <f t="shared" ref="Q9:AB9" si="2">Q8/E8</f>
        <v>1.839610872006368</v>
      </c>
      <c r="R9" s="75">
        <f t="shared" si="2"/>
        <v>1.4590751671072315</v>
      </c>
      <c r="S9" s="75">
        <f t="shared" si="2"/>
        <v>1.6757779562928212</v>
      </c>
      <c r="T9" s="75">
        <f t="shared" si="2"/>
        <v>2.3115341597264241</v>
      </c>
      <c r="U9" s="75">
        <f t="shared" si="2"/>
        <v>1.0979330536546694</v>
      </c>
      <c r="V9" s="75" t="e">
        <f t="shared" si="2"/>
        <v>#DIV/0!</v>
      </c>
      <c r="W9" s="75" t="e">
        <f t="shared" si="2"/>
        <v>#DIV/0!</v>
      </c>
      <c r="X9" s="76" t="e">
        <f t="shared" si="2"/>
        <v>#DIV/0!</v>
      </c>
      <c r="Y9" s="77">
        <f t="shared" si="2"/>
        <v>0.10495937056623242</v>
      </c>
      <c r="Z9" s="77">
        <f t="shared" si="2"/>
        <v>1.8848609720532998</v>
      </c>
      <c r="AA9" s="77">
        <f t="shared" si="2"/>
        <v>1.1706109500809014</v>
      </c>
      <c r="AB9" s="78">
        <f t="shared" si="2"/>
        <v>4.5777551953219442</v>
      </c>
    </row>
    <row r="10" spans="2:28" s="90" customFormat="1" ht="14.25" x14ac:dyDescent="0.25">
      <c r="B10" s="69" t="s">
        <v>6</v>
      </c>
      <c r="C10" s="71" t="s">
        <v>21</v>
      </c>
      <c r="D10" s="102"/>
      <c r="E10" s="79">
        <v>1660.02</v>
      </c>
      <c r="F10" s="81">
        <v>2059.1</v>
      </c>
      <c r="G10" s="81">
        <v>2054.7600000000002</v>
      </c>
      <c r="H10" s="81">
        <v>2107.36</v>
      </c>
      <c r="I10" s="81">
        <v>365.76</v>
      </c>
      <c r="J10" s="79"/>
      <c r="K10" s="79"/>
      <c r="L10" s="103"/>
      <c r="M10" s="81">
        <v>310.12</v>
      </c>
      <c r="N10" s="81">
        <v>939.4</v>
      </c>
      <c r="O10" s="81">
        <v>1235.8900000000001</v>
      </c>
      <c r="P10" s="81">
        <v>9458.06</v>
      </c>
      <c r="Q10" s="81">
        <v>15757.3</v>
      </c>
      <c r="R10" s="81">
        <v>8238.5400000000009</v>
      </c>
      <c r="S10" s="81">
        <v>6370.96</v>
      </c>
      <c r="T10" s="81">
        <v>8019.75</v>
      </c>
      <c r="U10" s="81">
        <v>1318.51</v>
      </c>
      <c r="V10" s="74"/>
      <c r="W10" s="74"/>
      <c r="X10" s="74"/>
      <c r="Y10" s="104">
        <v>32.549999999999997</v>
      </c>
      <c r="Z10" s="105">
        <v>32.549999999999997</v>
      </c>
      <c r="AA10" s="105">
        <v>1146.46</v>
      </c>
      <c r="AB10" s="106">
        <v>12388.2</v>
      </c>
    </row>
    <row r="11" spans="2:28" x14ac:dyDescent="0.3">
      <c r="B11" s="69" t="s">
        <v>7</v>
      </c>
      <c r="C11" s="71" t="s">
        <v>22</v>
      </c>
      <c r="D11" s="79"/>
      <c r="E11" s="79"/>
      <c r="F11" s="79"/>
      <c r="G11" s="103"/>
      <c r="H11" s="103"/>
      <c r="I11" s="103"/>
      <c r="J11" s="79"/>
      <c r="K11" s="79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7"/>
      <c r="Z11" s="107"/>
      <c r="AA11" s="107"/>
      <c r="AB11" s="101"/>
    </row>
    <row r="12" spans="2:28" s="90" customFormat="1" ht="14.25" x14ac:dyDescent="0.25">
      <c r="B12" s="108" t="s">
        <v>24</v>
      </c>
      <c r="C12" s="79" t="s">
        <v>23</v>
      </c>
      <c r="D12" s="102"/>
      <c r="E12" s="109">
        <f>14494.2*1.21</f>
        <v>17537.982</v>
      </c>
      <c r="F12" s="109">
        <f>12719.4*1.21</f>
        <v>15390.473999999998</v>
      </c>
      <c r="G12" s="109">
        <f>10353.01*1.21</f>
        <v>12527.142099999999</v>
      </c>
      <c r="H12" s="109">
        <f>5817.4*1.21</f>
        <v>7039.0539999999992</v>
      </c>
      <c r="I12" s="109">
        <f>690.2*1.21</f>
        <v>835.14200000000005</v>
      </c>
      <c r="J12" s="79"/>
      <c r="K12" s="79"/>
      <c r="L12" s="103"/>
      <c r="M12" s="103"/>
      <c r="N12" s="109">
        <f>5127.2*1.21</f>
        <v>6203.9119999999994</v>
      </c>
      <c r="O12" s="109">
        <f>8972.65*1.21</f>
        <v>10856.906499999999</v>
      </c>
      <c r="P12" s="109">
        <f>14099.88*1.21</f>
        <v>17060.854799999997</v>
      </c>
      <c r="Q12" s="109">
        <f>16164.92*1.21</f>
        <v>19559.553199999998</v>
      </c>
      <c r="R12" s="109">
        <f>14232.81*1.21</f>
        <v>17221.700099999998</v>
      </c>
      <c r="S12" s="109">
        <f>14929.81*1.21</f>
        <v>18065.070099999997</v>
      </c>
      <c r="T12" s="109">
        <f>10845.04*1.21</f>
        <v>13122.4984</v>
      </c>
      <c r="U12" s="103"/>
      <c r="V12" s="103"/>
      <c r="W12" s="103"/>
      <c r="X12" s="103"/>
      <c r="Y12" s="107"/>
      <c r="Z12" s="110">
        <v>13431.6</v>
      </c>
      <c r="AA12" s="110">
        <v>13009.5</v>
      </c>
      <c r="AB12" s="111">
        <v>109008.9</v>
      </c>
    </row>
    <row r="13" spans="2:28" x14ac:dyDescent="0.3">
      <c r="B13" s="69" t="s">
        <v>25</v>
      </c>
      <c r="C13" s="71" t="s">
        <v>38</v>
      </c>
      <c r="D13" s="79"/>
      <c r="E13" s="79"/>
      <c r="F13" s="79"/>
      <c r="G13" s="103"/>
      <c r="H13" s="103"/>
      <c r="I13" s="103"/>
      <c r="J13" s="79"/>
      <c r="K13" s="79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7"/>
      <c r="Z13" s="107"/>
      <c r="AA13" s="107"/>
      <c r="AB13" s="101"/>
    </row>
    <row r="14" spans="2:28" x14ac:dyDescent="0.3">
      <c r="B14" s="69" t="s">
        <v>32</v>
      </c>
      <c r="C14" s="71" t="s">
        <v>38</v>
      </c>
      <c r="D14" s="82"/>
      <c r="E14" s="82"/>
      <c r="F14" s="82"/>
      <c r="G14" s="112"/>
      <c r="H14" s="112"/>
      <c r="I14" s="112"/>
      <c r="J14" s="82"/>
      <c r="K14" s="8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3"/>
      <c r="Z14" s="113"/>
      <c r="AA14" s="113"/>
      <c r="AB14" s="114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92" t="s">
        <v>82</v>
      </c>
      <c r="D16" s="92"/>
      <c r="E16" s="92"/>
      <c r="F16" s="92"/>
      <c r="J16" s="92"/>
      <c r="K16" s="92"/>
      <c r="L16" s="41"/>
      <c r="O16" s="90"/>
      <c r="P16" s="90"/>
    </row>
    <row r="17" spans="3:27" x14ac:dyDescent="0.3">
      <c r="C17" s="189" t="s">
        <v>44</v>
      </c>
      <c r="D17" s="189"/>
      <c r="E17" s="189"/>
      <c r="F17" s="189"/>
      <c r="O17" s="90"/>
    </row>
    <row r="18" spans="3:27" x14ac:dyDescent="0.3">
      <c r="C18" s="93" t="s">
        <v>83</v>
      </c>
      <c r="AA18" s="44" t="s">
        <v>84</v>
      </c>
    </row>
    <row r="20" spans="3:27" ht="30.75" x14ac:dyDescent="0.55000000000000004">
      <c r="L20" s="183" t="s">
        <v>91</v>
      </c>
      <c r="M20" s="183"/>
      <c r="N20" s="183"/>
      <c r="O20" s="183"/>
    </row>
    <row r="21" spans="3:27" ht="33.75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27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</row>
    <row r="23" spans="3:27" x14ac:dyDescent="0.3">
      <c r="L23" s="37"/>
      <c r="M23" s="38"/>
      <c r="O23" s="36"/>
    </row>
    <row r="24" spans="3:27" ht="20.25" x14ac:dyDescent="0.35">
      <c r="L24" s="39">
        <f>SUM(E8:P8)</f>
        <v>107641.9374</v>
      </c>
      <c r="M24" s="40">
        <f>SUM(Q8:AB8)</f>
        <v>256723.64179999998</v>
      </c>
      <c r="N24" s="41">
        <f>M24-L24</f>
        <v>149081.70439999999</v>
      </c>
      <c r="O24" s="53">
        <f>N24/100*50</f>
        <v>74540.852199999994</v>
      </c>
    </row>
    <row r="25" spans="3:27" x14ac:dyDescent="0.3">
      <c r="N25" s="41"/>
    </row>
    <row r="26" spans="3:27" x14ac:dyDescent="0.3">
      <c r="N26" s="41"/>
    </row>
    <row r="27" spans="3:27" ht="31.5" customHeight="1" x14ac:dyDescent="0.3">
      <c r="K27" s="190"/>
      <c r="L27" s="190"/>
      <c r="M27" s="190"/>
      <c r="N27" s="99"/>
      <c r="AA27" s="41"/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>E8</f>
        <v>19198.002</v>
      </c>
      <c r="F47" s="41">
        <f t="shared" ref="F47:P47" si="3">F8</f>
        <v>17449.573999999997</v>
      </c>
      <c r="G47" s="41">
        <f t="shared" si="3"/>
        <v>14581.902099999999</v>
      </c>
      <c r="H47" s="41">
        <f t="shared" si="3"/>
        <v>9146.4139999999989</v>
      </c>
      <c r="I47" s="41">
        <f t="shared" si="3"/>
        <v>1200.902</v>
      </c>
      <c r="J47" s="41">
        <f t="shared" si="3"/>
        <v>0</v>
      </c>
      <c r="K47" s="41">
        <f t="shared" si="3"/>
        <v>0</v>
      </c>
      <c r="L47" s="41">
        <f t="shared" si="3"/>
        <v>0</v>
      </c>
      <c r="M47" s="41">
        <f t="shared" si="3"/>
        <v>310.12</v>
      </c>
      <c r="N47" s="41">
        <f t="shared" si="3"/>
        <v>7143.311999999999</v>
      </c>
      <c r="O47" s="41">
        <f t="shared" si="3"/>
        <v>12092.796499999999</v>
      </c>
      <c r="P47" s="41">
        <f t="shared" si="3"/>
        <v>26518.914799999999</v>
      </c>
    </row>
    <row r="48" spans="4:16" x14ac:dyDescent="0.3">
      <c r="D48" s="31">
        <v>2022</v>
      </c>
      <c r="E48" s="41">
        <f>Q8</f>
        <v>35316.853199999998</v>
      </c>
      <c r="F48" s="41">
        <f t="shared" ref="F48:P48" si="4">R8</f>
        <v>25460.240099999999</v>
      </c>
      <c r="G48" s="41">
        <f t="shared" si="4"/>
        <v>24436.030099999996</v>
      </c>
      <c r="H48" s="41">
        <f t="shared" si="4"/>
        <v>21142.2484</v>
      </c>
      <c r="I48" s="41">
        <f t="shared" si="4"/>
        <v>1318.51</v>
      </c>
      <c r="J48" s="41">
        <f t="shared" si="4"/>
        <v>0</v>
      </c>
      <c r="K48" s="41">
        <f t="shared" si="4"/>
        <v>0</v>
      </c>
      <c r="L48" s="41">
        <f t="shared" si="4"/>
        <v>0</v>
      </c>
      <c r="M48" s="41">
        <f t="shared" si="4"/>
        <v>32.549999999999997</v>
      </c>
      <c r="N48" s="41">
        <f t="shared" si="4"/>
        <v>13464.15</v>
      </c>
      <c r="O48" s="41">
        <f t="shared" si="4"/>
        <v>14155.96</v>
      </c>
      <c r="P48" s="41">
        <f t="shared" si="4"/>
        <v>121397.09999999999</v>
      </c>
    </row>
  </sheetData>
  <mergeCells count="12">
    <mergeCell ref="K27:M27"/>
    <mergeCell ref="C17:F17"/>
    <mergeCell ref="L20:O20"/>
    <mergeCell ref="E21:F21"/>
    <mergeCell ref="H21:I21"/>
    <mergeCell ref="L21:M21"/>
    <mergeCell ref="B2:AB2"/>
    <mergeCell ref="B4:B5"/>
    <mergeCell ref="C4:C5"/>
    <mergeCell ref="D4:D5"/>
    <mergeCell ref="E4:P4"/>
    <mergeCell ref="Q4:AB4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colBreaks count="1" manualBreakCount="1">
    <brk id="16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BF619-9472-45D8-82AF-F63C08F0E6AD}">
  <dimension ref="A2:AB48"/>
  <sheetViews>
    <sheetView topLeftCell="B1" zoomScale="85" zoomScaleNormal="85" workbookViewId="0">
      <selection activeCell="Q4" sqref="Q4:AB4"/>
    </sheetView>
  </sheetViews>
  <sheetFormatPr defaultRowHeight="16.5" x14ac:dyDescent="0.3"/>
  <cols>
    <col min="1" max="1" width="4.7109375" style="31" hidden="1" customWidth="1"/>
    <col min="2" max="2" width="6.28515625" style="31" customWidth="1"/>
    <col min="3" max="3" width="32.7109375" style="31" customWidth="1"/>
    <col min="4" max="4" width="10" style="31" customWidth="1"/>
    <col min="5" max="14" width="9.7109375" style="31" customWidth="1"/>
    <col min="15" max="15" width="14.28515625" style="31" customWidth="1"/>
    <col min="16" max="16" width="11.42578125" style="31" customWidth="1"/>
    <col min="17" max="17" width="9.7109375" style="31" customWidth="1"/>
    <col min="18" max="18" width="12" style="31" customWidth="1"/>
    <col min="19" max="28" width="9.7109375" style="31" customWidth="1"/>
    <col min="29" max="16384" width="9.140625" style="31"/>
  </cols>
  <sheetData>
    <row r="2" spans="2:28" ht="20.25" x14ac:dyDescent="0.35">
      <c r="B2" s="177" t="s">
        <v>85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</row>
    <row r="4" spans="2:28" ht="37.9" customHeight="1" x14ac:dyDescent="0.3">
      <c r="B4" s="178" t="s">
        <v>1</v>
      </c>
      <c r="C4" s="179" t="s">
        <v>49</v>
      </c>
      <c r="D4" s="179" t="s">
        <v>0</v>
      </c>
      <c r="E4" s="180" t="s">
        <v>36</v>
      </c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180" t="s">
        <v>98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2"/>
    </row>
    <row r="5" spans="2:28" ht="70.900000000000006" customHeight="1" x14ac:dyDescent="0.3">
      <c r="B5" s="178"/>
      <c r="C5" s="179"/>
      <c r="D5" s="179"/>
      <c r="E5" s="56" t="s">
        <v>26</v>
      </c>
      <c r="F5" s="56" t="s">
        <v>27</v>
      </c>
      <c r="G5" s="56" t="s">
        <v>28</v>
      </c>
      <c r="H5" s="56" t="s">
        <v>29</v>
      </c>
      <c r="I5" s="56" t="s">
        <v>33</v>
      </c>
      <c r="J5" s="56" t="s">
        <v>61</v>
      </c>
      <c r="K5" s="56" t="s">
        <v>60</v>
      </c>
      <c r="L5" s="56" t="s">
        <v>59</v>
      </c>
      <c r="M5" s="56" t="s">
        <v>58</v>
      </c>
      <c r="N5" s="56" t="s">
        <v>57</v>
      </c>
      <c r="O5" s="56" t="s">
        <v>56</v>
      </c>
      <c r="P5" s="56" t="s">
        <v>55</v>
      </c>
      <c r="Q5" s="56" t="s">
        <v>26</v>
      </c>
      <c r="R5" s="56" t="s">
        <v>27</v>
      </c>
      <c r="S5" s="56" t="s">
        <v>28</v>
      </c>
      <c r="T5" s="56" t="s">
        <v>29</v>
      </c>
      <c r="U5" s="56" t="s">
        <v>33</v>
      </c>
      <c r="V5" s="56" t="s">
        <v>61</v>
      </c>
      <c r="W5" s="56" t="s">
        <v>60</v>
      </c>
      <c r="X5" s="56" t="s">
        <v>59</v>
      </c>
      <c r="Y5" s="57" t="s">
        <v>58</v>
      </c>
      <c r="Z5" s="57" t="s">
        <v>57</v>
      </c>
      <c r="AA5" s="57" t="s">
        <v>56</v>
      </c>
      <c r="AB5" s="58" t="s">
        <v>55</v>
      </c>
    </row>
    <row r="6" spans="2:28" ht="27" customHeight="1" x14ac:dyDescent="0.3">
      <c r="B6" s="59" t="s">
        <v>10</v>
      </c>
      <c r="C6" s="59" t="s">
        <v>11</v>
      </c>
      <c r="D6" s="59" t="s">
        <v>12</v>
      </c>
      <c r="E6" s="60" t="s">
        <v>13</v>
      </c>
      <c r="F6" s="60" t="s">
        <v>14</v>
      </c>
      <c r="G6" s="60" t="s">
        <v>40</v>
      </c>
      <c r="H6" s="60" t="s">
        <v>15</v>
      </c>
      <c r="I6" s="60" t="s">
        <v>16</v>
      </c>
      <c r="J6" s="60" t="s">
        <v>13</v>
      </c>
      <c r="K6" s="60" t="s">
        <v>14</v>
      </c>
      <c r="L6" s="60" t="s">
        <v>40</v>
      </c>
      <c r="M6" s="60" t="s">
        <v>15</v>
      </c>
      <c r="N6" s="60" t="s">
        <v>16</v>
      </c>
      <c r="O6" s="60" t="s">
        <v>15</v>
      </c>
      <c r="P6" s="60" t="s">
        <v>16</v>
      </c>
      <c r="Q6" s="60" t="s">
        <v>30</v>
      </c>
      <c r="R6" s="60" t="s">
        <v>34</v>
      </c>
      <c r="S6" s="60" t="s">
        <v>17</v>
      </c>
      <c r="T6" s="60" t="s">
        <v>18</v>
      </c>
      <c r="U6" s="60" t="s">
        <v>31</v>
      </c>
      <c r="V6" s="60" t="s">
        <v>30</v>
      </c>
      <c r="W6" s="60" t="s">
        <v>34</v>
      </c>
      <c r="X6" s="60" t="s">
        <v>17</v>
      </c>
      <c r="Y6" s="61" t="s">
        <v>18</v>
      </c>
      <c r="Z6" s="61" t="s">
        <v>31</v>
      </c>
      <c r="AA6" s="61" t="s">
        <v>18</v>
      </c>
      <c r="AB6" s="62" t="s">
        <v>31</v>
      </c>
    </row>
    <row r="7" spans="2:28" ht="25.5" customHeight="1" x14ac:dyDescent="0.3">
      <c r="B7" s="63" t="s">
        <v>2</v>
      </c>
      <c r="C7" s="64" t="s">
        <v>46</v>
      </c>
      <c r="D7" s="65" t="s">
        <v>47</v>
      </c>
      <c r="E7" s="66">
        <f>E8</f>
        <v>4878.72</v>
      </c>
      <c r="F7" s="66">
        <f t="shared" ref="F7:AB7" si="0">F8</f>
        <v>3472.2559999999999</v>
      </c>
      <c r="G7" s="66">
        <f t="shared" si="0"/>
        <v>4721.8176000000003</v>
      </c>
      <c r="H7" s="66">
        <f t="shared" si="0"/>
        <v>3377.9967999999999</v>
      </c>
      <c r="I7" s="66">
        <f t="shared" si="0"/>
        <v>1664.3392000000001</v>
      </c>
      <c r="J7" s="66">
        <f t="shared" si="0"/>
        <v>0</v>
      </c>
      <c r="K7" s="66">
        <f t="shared" si="0"/>
        <v>0</v>
      </c>
      <c r="L7" s="66">
        <f t="shared" si="0"/>
        <v>0</v>
      </c>
      <c r="M7" s="66">
        <f t="shared" si="0"/>
        <v>0</v>
      </c>
      <c r="N7" s="66">
        <f t="shared" si="0"/>
        <v>0</v>
      </c>
      <c r="O7" s="66">
        <f t="shared" si="0"/>
        <v>1664.3392000000001</v>
      </c>
      <c r="P7" s="66">
        <f t="shared" si="0"/>
        <v>3593.7408</v>
      </c>
      <c r="Q7" s="66">
        <f t="shared" si="0"/>
        <v>7244.0064000000002</v>
      </c>
      <c r="R7" s="66">
        <f t="shared" si="0"/>
        <v>6766.9440000000004</v>
      </c>
      <c r="S7" s="66">
        <f t="shared" si="0"/>
        <v>5928.8064000000004</v>
      </c>
      <c r="T7" s="66">
        <f t="shared" si="0"/>
        <v>4552.2303999999995</v>
      </c>
      <c r="U7" s="66">
        <f t="shared" si="0"/>
        <v>2875.1743999999999</v>
      </c>
      <c r="V7" s="66">
        <f t="shared" si="0"/>
        <v>0</v>
      </c>
      <c r="W7" s="66">
        <f t="shared" si="0"/>
        <v>0</v>
      </c>
      <c r="X7" s="66">
        <f t="shared" si="0"/>
        <v>0</v>
      </c>
      <c r="Y7" s="67">
        <f t="shared" si="0"/>
        <v>0</v>
      </c>
      <c r="Z7" s="67">
        <f t="shared" si="0"/>
        <v>0</v>
      </c>
      <c r="AA7" s="67">
        <f t="shared" si="0"/>
        <v>17284.61</v>
      </c>
      <c r="AB7" s="68">
        <f t="shared" si="0"/>
        <v>12483.328000000001</v>
      </c>
    </row>
    <row r="8" spans="2:28" x14ac:dyDescent="0.3">
      <c r="B8" s="69" t="s">
        <v>5</v>
      </c>
      <c r="C8" s="71" t="s">
        <v>63</v>
      </c>
      <c r="D8" s="72"/>
      <c r="E8" s="73">
        <f>SUM(E10:E14)</f>
        <v>4878.72</v>
      </c>
      <c r="F8" s="73">
        <f t="shared" ref="F8:AB8" si="1">SUM(F10:F14)</f>
        <v>3472.2559999999999</v>
      </c>
      <c r="G8" s="73">
        <f t="shared" si="1"/>
        <v>4721.8176000000003</v>
      </c>
      <c r="H8" s="73">
        <f t="shared" si="1"/>
        <v>3377.9967999999999</v>
      </c>
      <c r="I8" s="73">
        <f t="shared" si="1"/>
        <v>1664.3392000000001</v>
      </c>
      <c r="J8" s="73">
        <f t="shared" si="1"/>
        <v>0</v>
      </c>
      <c r="K8" s="73">
        <f t="shared" si="1"/>
        <v>0</v>
      </c>
      <c r="L8" s="73">
        <f t="shared" si="1"/>
        <v>0</v>
      </c>
      <c r="M8" s="73">
        <f t="shared" si="1"/>
        <v>0</v>
      </c>
      <c r="N8" s="73">
        <f t="shared" si="1"/>
        <v>0</v>
      </c>
      <c r="O8" s="73">
        <f t="shared" si="1"/>
        <v>1664.3392000000001</v>
      </c>
      <c r="P8" s="73">
        <f t="shared" si="1"/>
        <v>3593.7408</v>
      </c>
      <c r="Q8" s="73">
        <f t="shared" si="1"/>
        <v>7244.0064000000002</v>
      </c>
      <c r="R8" s="73">
        <f t="shared" si="1"/>
        <v>6766.9440000000004</v>
      </c>
      <c r="S8" s="73">
        <f t="shared" si="1"/>
        <v>5928.8064000000004</v>
      </c>
      <c r="T8" s="73">
        <f t="shared" si="1"/>
        <v>4552.2303999999995</v>
      </c>
      <c r="U8" s="73">
        <f t="shared" si="1"/>
        <v>2875.1743999999999</v>
      </c>
      <c r="V8" s="73">
        <f t="shared" si="1"/>
        <v>0</v>
      </c>
      <c r="W8" s="73">
        <f t="shared" si="1"/>
        <v>0</v>
      </c>
      <c r="X8" s="73">
        <f t="shared" si="1"/>
        <v>0</v>
      </c>
      <c r="Y8" s="73">
        <f t="shared" si="1"/>
        <v>0</v>
      </c>
      <c r="Z8" s="73">
        <f t="shared" si="1"/>
        <v>0</v>
      </c>
      <c r="AA8" s="73">
        <f t="shared" si="1"/>
        <v>17284.61</v>
      </c>
      <c r="AB8" s="68">
        <f t="shared" si="1"/>
        <v>12483.328000000001</v>
      </c>
    </row>
    <row r="9" spans="2:28" ht="0.75" customHeight="1" x14ac:dyDescent="0.3">
      <c r="B9" s="69"/>
      <c r="C9" s="71" t="s">
        <v>62</v>
      </c>
      <c r="D9" s="72"/>
      <c r="E9" s="73"/>
      <c r="F9" s="72"/>
      <c r="G9" s="74"/>
      <c r="H9" s="74"/>
      <c r="I9" s="74"/>
      <c r="J9" s="74"/>
      <c r="K9" s="74"/>
      <c r="L9" s="74"/>
      <c r="M9" s="74"/>
      <c r="N9" s="74"/>
      <c r="O9" s="74"/>
      <c r="P9" s="74"/>
      <c r="Q9" s="75"/>
      <c r="R9" s="75"/>
      <c r="S9" s="75"/>
      <c r="T9" s="75"/>
      <c r="U9" s="75"/>
      <c r="V9" s="75"/>
      <c r="W9" s="75"/>
      <c r="X9" s="76"/>
      <c r="Y9" s="77"/>
      <c r="Z9" s="77"/>
      <c r="AA9" s="77"/>
      <c r="AB9" s="78"/>
    </row>
    <row r="10" spans="2:28" x14ac:dyDescent="0.3">
      <c r="B10" s="69" t="s">
        <v>6</v>
      </c>
      <c r="C10" s="71" t="s">
        <v>21</v>
      </c>
      <c r="D10" s="79"/>
      <c r="E10" s="73"/>
      <c r="F10" s="72"/>
      <c r="G10" s="74"/>
      <c r="H10" s="74"/>
      <c r="I10" s="74"/>
      <c r="J10" s="72"/>
      <c r="K10" s="72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80"/>
      <c r="Z10" s="80"/>
      <c r="AA10" s="80"/>
      <c r="AB10" s="68"/>
    </row>
    <row r="11" spans="2:28" x14ac:dyDescent="0.3">
      <c r="B11" s="69" t="s">
        <v>7</v>
      </c>
      <c r="C11" s="71" t="s">
        <v>22</v>
      </c>
      <c r="D11" s="79"/>
      <c r="E11" s="73"/>
      <c r="F11" s="72"/>
      <c r="G11" s="74"/>
      <c r="H11" s="74"/>
      <c r="I11" s="74"/>
      <c r="J11" s="72"/>
      <c r="K11" s="72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80"/>
      <c r="Z11" s="80"/>
      <c r="AA11" s="80"/>
      <c r="AB11" s="68"/>
    </row>
    <row r="12" spans="2:28" x14ac:dyDescent="0.3">
      <c r="B12" s="69" t="s">
        <v>24</v>
      </c>
      <c r="C12" s="79" t="s">
        <v>23</v>
      </c>
      <c r="D12" s="79"/>
      <c r="E12" s="73"/>
      <c r="F12" s="72"/>
      <c r="G12" s="74"/>
      <c r="H12" s="74"/>
      <c r="I12" s="74"/>
      <c r="J12" s="72"/>
      <c r="K12" s="72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80"/>
      <c r="Z12" s="80"/>
      <c r="AA12" s="80"/>
      <c r="AB12" s="68"/>
    </row>
    <row r="13" spans="2:28" x14ac:dyDescent="0.3">
      <c r="B13" s="69" t="s">
        <v>25</v>
      </c>
      <c r="C13" s="71" t="s">
        <v>86</v>
      </c>
      <c r="D13" s="79"/>
      <c r="E13" s="73">
        <v>4878.72</v>
      </c>
      <c r="F13" s="72">
        <v>3472.2559999999999</v>
      </c>
      <c r="G13" s="74">
        <v>4721.8176000000003</v>
      </c>
      <c r="H13" s="74">
        <v>3377.9967999999999</v>
      </c>
      <c r="I13" s="81">
        <v>1664.3392000000001</v>
      </c>
      <c r="J13" s="72">
        <v>0</v>
      </c>
      <c r="K13" s="72">
        <v>0</v>
      </c>
      <c r="L13" s="74">
        <v>0</v>
      </c>
      <c r="M13" s="74">
        <v>0</v>
      </c>
      <c r="N13" s="74">
        <v>0</v>
      </c>
      <c r="O13" s="74">
        <v>1664.3392000000001</v>
      </c>
      <c r="P13" s="81">
        <v>3593.7408</v>
      </c>
      <c r="Q13" s="74">
        <v>7244.0064000000002</v>
      </c>
      <c r="R13" s="81">
        <v>6766.9440000000004</v>
      </c>
      <c r="S13" s="74">
        <v>5928.8064000000004</v>
      </c>
      <c r="T13" s="74">
        <v>4552.2303999999995</v>
      </c>
      <c r="U13" s="74">
        <v>2875.1743999999999</v>
      </c>
      <c r="V13" s="74">
        <v>0</v>
      </c>
      <c r="W13" s="74">
        <v>0</v>
      </c>
      <c r="X13" s="74">
        <v>0</v>
      </c>
      <c r="Y13" s="80">
        <v>0</v>
      </c>
      <c r="Z13" s="80">
        <v>0</v>
      </c>
      <c r="AA13" s="80">
        <v>17284.61</v>
      </c>
      <c r="AB13" s="68">
        <v>12483.328000000001</v>
      </c>
    </row>
    <row r="14" spans="2:28" x14ac:dyDescent="0.3">
      <c r="B14" s="69" t="s">
        <v>32</v>
      </c>
      <c r="C14" s="71" t="s">
        <v>38</v>
      </c>
      <c r="D14" s="82"/>
      <c r="E14" s="83"/>
      <c r="F14" s="84"/>
      <c r="G14" s="85"/>
      <c r="H14" s="85"/>
      <c r="I14" s="85"/>
      <c r="J14" s="84"/>
      <c r="K14" s="84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6"/>
      <c r="Z14" s="86"/>
      <c r="AA14" s="86"/>
      <c r="AB14" s="87"/>
    </row>
    <row r="15" spans="2:28" x14ac:dyDescent="0.3">
      <c r="C15" s="88"/>
      <c r="D15" s="88"/>
      <c r="E15" s="88"/>
      <c r="F15" s="88"/>
      <c r="J15" s="88"/>
      <c r="K15" s="89"/>
      <c r="L15" s="41"/>
      <c r="O15" s="90"/>
      <c r="P15" s="90"/>
      <c r="X15" s="91"/>
    </row>
    <row r="16" spans="2:28" x14ac:dyDescent="0.3">
      <c r="C16" s="92" t="s">
        <v>82</v>
      </c>
      <c r="D16" s="92"/>
      <c r="E16" s="92"/>
      <c r="F16" s="92"/>
      <c r="J16" s="92"/>
      <c r="K16" s="92"/>
      <c r="L16" s="41"/>
      <c r="O16" s="90"/>
      <c r="P16" s="90"/>
    </row>
    <row r="17" spans="3:27" x14ac:dyDescent="0.3">
      <c r="C17" s="189" t="s">
        <v>44</v>
      </c>
      <c r="D17" s="189"/>
      <c r="E17" s="189"/>
      <c r="F17" s="189"/>
      <c r="O17" s="90"/>
      <c r="Y17" s="31" t="s">
        <v>87</v>
      </c>
    </row>
    <row r="18" spans="3:27" x14ac:dyDescent="0.3">
      <c r="C18" s="93" t="s">
        <v>88</v>
      </c>
      <c r="Y18" s="94" t="s">
        <v>90</v>
      </c>
    </row>
    <row r="19" spans="3:27" x14ac:dyDescent="0.3">
      <c r="Y19" s="94" t="s">
        <v>89</v>
      </c>
    </row>
    <row r="20" spans="3:27" ht="30.75" x14ac:dyDescent="0.55000000000000004">
      <c r="L20" s="183" t="s">
        <v>91</v>
      </c>
      <c r="M20" s="183"/>
      <c r="N20" s="183"/>
      <c r="O20" s="183"/>
    </row>
    <row r="21" spans="3:27" ht="50.25" thickBot="1" x14ac:dyDescent="0.35">
      <c r="E21" s="184"/>
      <c r="F21" s="184"/>
      <c r="G21" s="95"/>
      <c r="H21" s="185"/>
      <c r="I21" s="185"/>
      <c r="J21" s="96"/>
      <c r="L21" s="186"/>
      <c r="M21" s="187"/>
      <c r="N21" s="32" t="s">
        <v>92</v>
      </c>
      <c r="O21" s="33" t="s">
        <v>93</v>
      </c>
    </row>
    <row r="22" spans="3:27" ht="17.25" thickTop="1" x14ac:dyDescent="0.3">
      <c r="E22" s="97"/>
      <c r="F22" s="97"/>
      <c r="G22" s="98"/>
      <c r="H22" s="41"/>
      <c r="I22" s="41"/>
      <c r="L22" s="34">
        <v>2021</v>
      </c>
      <c r="M22" s="35">
        <v>2022</v>
      </c>
      <c r="O22" s="36"/>
      <c r="P22" s="41"/>
    </row>
    <row r="23" spans="3:27" x14ac:dyDescent="0.3">
      <c r="L23" s="37"/>
      <c r="M23" s="38"/>
      <c r="O23" s="36"/>
      <c r="P23" s="41"/>
      <c r="AA23" s="44"/>
    </row>
    <row r="24" spans="3:27" ht="20.25" x14ac:dyDescent="0.35">
      <c r="L24" s="39">
        <f>SUM(E8:P8)</f>
        <v>23373.209599999998</v>
      </c>
      <c r="M24" s="40">
        <f>SUM(Q8:AB8)</f>
        <v>57135.099600000009</v>
      </c>
      <c r="N24" s="41">
        <f>M24-L24</f>
        <v>33761.890000000014</v>
      </c>
      <c r="O24" s="53">
        <f>N24/100*50</f>
        <v>16880.945000000007</v>
      </c>
      <c r="P24" s="99"/>
    </row>
    <row r="46" spans="4:16" ht="43.5" x14ac:dyDescent="0.3">
      <c r="E46" s="56" t="s">
        <v>26</v>
      </c>
      <c r="F46" s="56" t="s">
        <v>27</v>
      </c>
      <c r="G46" s="56" t="s">
        <v>28</v>
      </c>
      <c r="H46" s="56" t="s">
        <v>29</v>
      </c>
      <c r="I46" s="56" t="s">
        <v>33</v>
      </c>
      <c r="J46" s="56" t="s">
        <v>61</v>
      </c>
      <c r="K46" s="56" t="s">
        <v>60</v>
      </c>
      <c r="L46" s="56" t="s">
        <v>59</v>
      </c>
      <c r="M46" s="56" t="s">
        <v>58</v>
      </c>
      <c r="N46" s="56" t="s">
        <v>57</v>
      </c>
      <c r="O46" s="56" t="s">
        <v>56</v>
      </c>
      <c r="P46" s="56" t="s">
        <v>55</v>
      </c>
    </row>
    <row r="47" spans="4:16" x14ac:dyDescent="0.3">
      <c r="D47" s="31">
        <v>2021</v>
      </c>
      <c r="E47" s="41">
        <f t="shared" ref="E47:P47" si="2">E8</f>
        <v>4878.72</v>
      </c>
      <c r="F47" s="41">
        <f t="shared" si="2"/>
        <v>3472.2559999999999</v>
      </c>
      <c r="G47" s="41">
        <f t="shared" si="2"/>
        <v>4721.8176000000003</v>
      </c>
      <c r="H47" s="41">
        <f t="shared" si="2"/>
        <v>3377.9967999999999</v>
      </c>
      <c r="I47" s="41">
        <f t="shared" si="2"/>
        <v>1664.3392000000001</v>
      </c>
      <c r="J47" s="41">
        <f t="shared" si="2"/>
        <v>0</v>
      </c>
      <c r="K47" s="41">
        <f t="shared" si="2"/>
        <v>0</v>
      </c>
      <c r="L47" s="41">
        <f t="shared" si="2"/>
        <v>0</v>
      </c>
      <c r="M47" s="41">
        <f t="shared" si="2"/>
        <v>0</v>
      </c>
      <c r="N47" s="41">
        <f t="shared" si="2"/>
        <v>0</v>
      </c>
      <c r="O47" s="41">
        <f t="shared" si="2"/>
        <v>1664.3392000000001</v>
      </c>
      <c r="P47" s="41">
        <f t="shared" si="2"/>
        <v>3593.7408</v>
      </c>
    </row>
    <row r="48" spans="4:16" x14ac:dyDescent="0.3">
      <c r="D48" s="31">
        <v>2022</v>
      </c>
      <c r="E48" s="41">
        <f t="shared" ref="E48:P48" si="3">Q8</f>
        <v>7244.0064000000002</v>
      </c>
      <c r="F48" s="41">
        <f t="shared" si="3"/>
        <v>6766.9440000000004</v>
      </c>
      <c r="G48" s="41">
        <f t="shared" si="3"/>
        <v>5928.8064000000004</v>
      </c>
      <c r="H48" s="41">
        <f t="shared" si="3"/>
        <v>4552.2303999999995</v>
      </c>
      <c r="I48" s="41">
        <f t="shared" si="3"/>
        <v>2875.1743999999999</v>
      </c>
      <c r="J48" s="41">
        <f t="shared" si="3"/>
        <v>0</v>
      </c>
      <c r="K48" s="41">
        <f t="shared" si="3"/>
        <v>0</v>
      </c>
      <c r="L48" s="41">
        <f t="shared" si="3"/>
        <v>0</v>
      </c>
      <c r="M48" s="41">
        <f t="shared" si="3"/>
        <v>0</v>
      </c>
      <c r="N48" s="41">
        <f t="shared" si="3"/>
        <v>0</v>
      </c>
      <c r="O48" s="41">
        <f t="shared" si="3"/>
        <v>17284.61</v>
      </c>
      <c r="P48" s="41">
        <f t="shared" si="3"/>
        <v>12483.328000000001</v>
      </c>
    </row>
  </sheetData>
  <mergeCells count="11">
    <mergeCell ref="C17:F17"/>
    <mergeCell ref="L20:O20"/>
    <mergeCell ref="E21:F21"/>
    <mergeCell ref="H21:I21"/>
    <mergeCell ref="L21:M21"/>
    <mergeCell ref="B2:AB2"/>
    <mergeCell ref="B4:B5"/>
    <mergeCell ref="C4:C5"/>
    <mergeCell ref="D4:D5"/>
    <mergeCell ref="E4:P4"/>
    <mergeCell ref="Q4:AB4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colBreaks count="1" manualBreakCount="1">
    <brk id="1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IZM</vt:lpstr>
      <vt:lpstr>KOPSAVILKUMS</vt:lpstr>
      <vt:lpstr>Silava</vt:lpstr>
      <vt:lpstr>DI</vt:lpstr>
      <vt:lpstr>AREI</vt:lpstr>
      <vt:lpstr>BIOR</vt:lpstr>
      <vt:lpstr>BDV</vt:lpstr>
      <vt:lpstr>MaK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Strazdiņa</dc:creator>
  <cp:lastModifiedBy>Jānis Šnakšis</cp:lastModifiedBy>
  <cp:lastPrinted>2022-04-08T20:12:27Z</cp:lastPrinted>
  <dcterms:created xsi:type="dcterms:W3CDTF">2022-03-03T14:02:27Z</dcterms:created>
  <dcterms:modified xsi:type="dcterms:W3CDTF">2022-12-06T10:15:30Z</dcterms:modified>
</cp:coreProperties>
</file>