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filterPrivacy="1"/>
  <xr:revisionPtr revIDLastSave="0" documentId="13_ncr:1_{3CB6B8AC-3C74-4CB2-A371-1772322CD16E}" xr6:coauthVersionLast="36" xr6:coauthVersionMax="47" xr10:uidLastSave="{00000000-0000-0000-0000-000000000000}"/>
  <bookViews>
    <workbookView xWindow="-110" yWindow="-110" windowWidth="25820" windowHeight="13900" tabRatio="700" xr2:uid="{00000000-000D-0000-FFFF-FFFF00000000}"/>
  </bookViews>
  <sheets>
    <sheet name="Ietekme_LM_2026_" sheetId="19" r:id="rId1"/>
    <sheet name="1.tab." sheetId="37" r:id="rId2"/>
    <sheet name="2.tab." sheetId="24" r:id="rId3"/>
    <sheet name="3.tab." sheetId="25" r:id="rId4"/>
    <sheet name="4.tab." sheetId="33" r:id="rId5"/>
    <sheet name="5.tab." sheetId="27" r:id="rId6"/>
    <sheet name="6.tab." sheetId="28" r:id="rId7"/>
    <sheet name="7.tab." sheetId="32" r:id="rId8"/>
    <sheet name="8.tab." sheetId="31" r:id="rId9"/>
    <sheet name="9.tab." sheetId="30" r:id="rId10"/>
  </sheets>
  <externalReferences>
    <externalReference r:id="rId11"/>
  </externalReferences>
  <definedNames>
    <definedName name="_xlnm._FilterDatabase" localSheetId="0" hidden="1">Ietekme_LM_2026_!$B$7:$F$238</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67" i="27" l="1"/>
  <c r="H66" i="27"/>
  <c r="H65" i="27"/>
  <c r="H64" i="27"/>
  <c r="V31" i="25"/>
  <c r="U31" i="25"/>
  <c r="U29" i="25"/>
  <c r="D132" i="19"/>
  <c r="D143" i="19" s="1"/>
  <c r="D152" i="19" s="1"/>
  <c r="D97" i="19"/>
  <c r="D107" i="19" s="1"/>
  <c r="E236" i="19"/>
  <c r="E231" i="19" s="1"/>
  <c r="T28" i="37" l="1"/>
  <c r="U30" i="25"/>
  <c r="V30" i="25"/>
  <c r="V29" i="25"/>
  <c r="V142" i="33"/>
  <c r="V136" i="33"/>
  <c r="V138" i="33"/>
  <c r="V139" i="33"/>
  <c r="V134" i="33"/>
  <c r="AB98" i="27"/>
  <c r="AC98" i="27" s="1"/>
  <c r="E35" i="27" l="1"/>
  <c r="F39" i="27"/>
  <c r="U35" i="28"/>
  <c r="U40" i="32"/>
  <c r="T42" i="32"/>
  <c r="U42" i="32"/>
  <c r="T44" i="32"/>
  <c r="U44" i="32"/>
  <c r="U45" i="32"/>
  <c r="T39" i="32"/>
  <c r="U39" i="32"/>
  <c r="U33" i="31" l="1"/>
  <c r="U34" i="31"/>
  <c r="U32" i="31"/>
  <c r="T33" i="31"/>
  <c r="T34" i="31"/>
  <c r="T32" i="31"/>
  <c r="U63" i="33" l="1"/>
  <c r="W63" i="33" s="1"/>
  <c r="Y63" i="33" l="1"/>
  <c r="X63" i="33"/>
  <c r="V63" i="33"/>
  <c r="G81" i="33"/>
  <c r="F81" i="33"/>
  <c r="C93" i="33" l="1"/>
  <c r="Z63" i="33"/>
  <c r="U36" i="28"/>
  <c r="W36" i="28" s="1"/>
  <c r="X36" i="28" l="1"/>
  <c r="Y36" i="28"/>
  <c r="V36" i="28"/>
  <c r="E93" i="33"/>
  <c r="D93" i="33"/>
  <c r="E50" i="28"/>
  <c r="G50" i="28" s="1"/>
  <c r="I50" i="28" s="1"/>
  <c r="K50" i="28" s="1"/>
  <c r="W34" i="28"/>
  <c r="G93" i="33" l="1"/>
  <c r="F93" i="33"/>
  <c r="C54" i="28"/>
  <c r="Z36" i="28"/>
  <c r="U29" i="30"/>
  <c r="W29" i="30" s="1"/>
  <c r="Y29" i="30" s="1"/>
  <c r="C39" i="30" s="1"/>
  <c r="E39" i="30" s="1"/>
  <c r="G39" i="30" s="1"/>
  <c r="I39" i="30" s="1"/>
  <c r="K39" i="30" s="1"/>
  <c r="M39" i="30" s="1"/>
  <c r="O39" i="30" s="1"/>
  <c r="Q39" i="30" l="1"/>
  <c r="S39" i="30" s="1"/>
  <c r="U39" i="30" s="1"/>
  <c r="W39" i="30" s="1"/>
  <c r="Y39" i="30" s="1"/>
  <c r="D54" i="28"/>
  <c r="E54" i="28"/>
  <c r="I93" i="33"/>
  <c r="H93" i="33"/>
  <c r="U29" i="37"/>
  <c r="T29" i="37"/>
  <c r="V29" i="37" s="1"/>
  <c r="X29" i="37" s="1"/>
  <c r="U28" i="37"/>
  <c r="V28" i="37"/>
  <c r="X28" i="37" s="1"/>
  <c r="S27" i="37"/>
  <c r="Q27" i="37"/>
  <c r="O27" i="37"/>
  <c r="M27" i="37"/>
  <c r="K27" i="37"/>
  <c r="I27" i="37"/>
  <c r="G27" i="37"/>
  <c r="E27" i="37"/>
  <c r="C27" i="37"/>
  <c r="Z20" i="37"/>
  <c r="J20" i="37"/>
  <c r="T20" i="37" s="1"/>
  <c r="V20" i="37" s="1"/>
  <c r="X20" i="37" s="1"/>
  <c r="Z19" i="37"/>
  <c r="Y18" i="37"/>
  <c r="W18" i="37"/>
  <c r="U18" i="37"/>
  <c r="S18" i="37"/>
  <c r="Q18" i="37"/>
  <c r="O18" i="37"/>
  <c r="M18" i="37"/>
  <c r="K18" i="37"/>
  <c r="I18" i="37"/>
  <c r="G18" i="37"/>
  <c r="E18" i="37"/>
  <c r="C18" i="37"/>
  <c r="Z11" i="37"/>
  <c r="Z10" i="37"/>
  <c r="Z9" i="37"/>
  <c r="Y9" i="37"/>
  <c r="W9" i="37"/>
  <c r="U9" i="37"/>
  <c r="S9" i="37"/>
  <c r="Q9" i="37"/>
  <c r="O9" i="37"/>
  <c r="M9" i="37"/>
  <c r="K9" i="37"/>
  <c r="I9" i="37"/>
  <c r="G9" i="37"/>
  <c r="E9" i="37"/>
  <c r="C9" i="37"/>
  <c r="A3" i="37"/>
  <c r="Z18" i="37" l="1"/>
  <c r="F54" i="28"/>
  <c r="G54" i="28"/>
  <c r="K93" i="33"/>
  <c r="J93" i="33"/>
  <c r="U27" i="37"/>
  <c r="W28" i="37"/>
  <c r="Y28" i="37" s="1"/>
  <c r="W29" i="37"/>
  <c r="Y29" i="37" s="1"/>
  <c r="M93" i="33" l="1"/>
  <c r="L93" i="33"/>
  <c r="I54" i="28"/>
  <c r="H54" i="28"/>
  <c r="W27" i="37"/>
  <c r="Z29" i="37"/>
  <c r="K54" i="28" l="1"/>
  <c r="J54" i="28"/>
  <c r="N93" i="33"/>
  <c r="O93" i="33"/>
  <c r="Y27" i="37"/>
  <c r="E25" i="19" s="1"/>
  <c r="Z28" i="37"/>
  <c r="E19" i="19" l="1"/>
  <c r="P93" i="33"/>
  <c r="Q93" i="33"/>
  <c r="M54" i="28"/>
  <c r="L54" i="28"/>
  <c r="Z27" i="37"/>
  <c r="N54" i="28" l="1"/>
  <c r="O54" i="28"/>
  <c r="R93" i="33"/>
  <c r="S93" i="33"/>
  <c r="R35" i="27"/>
  <c r="T93" i="33" l="1"/>
  <c r="U93" i="33"/>
  <c r="P54" i="28"/>
  <c r="Q54" i="28"/>
  <c r="A3" i="33"/>
  <c r="AA20" i="30"/>
  <c r="AA10" i="30"/>
  <c r="A3" i="30"/>
  <c r="V34" i="31"/>
  <c r="X34" i="31" s="1"/>
  <c r="B45" i="31" s="1"/>
  <c r="D45" i="31" s="1"/>
  <c r="F45" i="31" s="1"/>
  <c r="H45" i="31" s="1"/>
  <c r="J45" i="31" s="1"/>
  <c r="L45" i="31" s="1"/>
  <c r="N45" i="31" s="1"/>
  <c r="P45" i="31" s="1"/>
  <c r="R45" i="31" s="1"/>
  <c r="T45" i="31" s="1"/>
  <c r="V45" i="31" s="1"/>
  <c r="X45" i="31" s="1"/>
  <c r="W33" i="31"/>
  <c r="Y33" i="31" s="1"/>
  <c r="C44" i="31" s="1"/>
  <c r="E44" i="31" s="1"/>
  <c r="G44" i="31" s="1"/>
  <c r="V33" i="31"/>
  <c r="X33" i="31" s="1"/>
  <c r="B44" i="31" s="1"/>
  <c r="D44" i="31" s="1"/>
  <c r="F44" i="31" s="1"/>
  <c r="H44" i="31" s="1"/>
  <c r="J44" i="31" s="1"/>
  <c r="L44" i="31" s="1"/>
  <c r="N44" i="31" s="1"/>
  <c r="P44" i="31" s="1"/>
  <c r="R44" i="31" s="1"/>
  <c r="T44" i="31" s="1"/>
  <c r="V44" i="31" s="1"/>
  <c r="X44" i="31" s="1"/>
  <c r="V32" i="31"/>
  <c r="X32" i="31" s="1"/>
  <c r="B43" i="31" s="1"/>
  <c r="D43" i="31" s="1"/>
  <c r="F43" i="31" s="1"/>
  <c r="H43" i="31" s="1"/>
  <c r="J43" i="31" s="1"/>
  <c r="L43" i="31" s="1"/>
  <c r="N43" i="31" s="1"/>
  <c r="P43" i="31" s="1"/>
  <c r="R43" i="31" s="1"/>
  <c r="T43" i="31" s="1"/>
  <c r="V43" i="31" s="1"/>
  <c r="X43" i="31" s="1"/>
  <c r="Z23" i="31"/>
  <c r="Z22" i="31"/>
  <c r="Z21" i="31"/>
  <c r="Z12" i="31"/>
  <c r="Z11" i="31"/>
  <c r="Z10" i="31"/>
  <c r="Z13" i="31" s="1"/>
  <c r="A3" i="31"/>
  <c r="N45" i="32"/>
  <c r="P45" i="32" s="1"/>
  <c r="R45" i="32" s="1"/>
  <c r="V45" i="32" s="1"/>
  <c r="X45" i="32" s="1"/>
  <c r="V44" i="32"/>
  <c r="X44" i="32" s="1"/>
  <c r="M43" i="32"/>
  <c r="L43" i="32"/>
  <c r="V42" i="32"/>
  <c r="X42" i="32" s="1"/>
  <c r="M41" i="32"/>
  <c r="L41" i="32"/>
  <c r="W40" i="32"/>
  <c r="Y40" i="32" s="1"/>
  <c r="L40" i="32"/>
  <c r="W39" i="32"/>
  <c r="Y39" i="32" s="1"/>
  <c r="V39" i="32"/>
  <c r="X39" i="32" s="1"/>
  <c r="Z31" i="32"/>
  <c r="T31" i="32"/>
  <c r="V31" i="32" s="1"/>
  <c r="X31" i="32" s="1"/>
  <c r="Z30" i="32"/>
  <c r="Y29" i="32"/>
  <c r="Z29" i="32" s="1"/>
  <c r="X29" i="32"/>
  <c r="W28" i="32"/>
  <c r="Z28" i="32" s="1"/>
  <c r="V28" i="32"/>
  <c r="U27" i="32"/>
  <c r="T27" i="32"/>
  <c r="V27" i="32" s="1"/>
  <c r="X27" i="32" s="1"/>
  <c r="U26" i="32"/>
  <c r="T26" i="32"/>
  <c r="V26" i="32" s="1"/>
  <c r="X26" i="32" s="1"/>
  <c r="Z25" i="32"/>
  <c r="Y17" i="32"/>
  <c r="W17" i="32"/>
  <c r="U17" i="32"/>
  <c r="T17" i="32"/>
  <c r="V17" i="32" s="1"/>
  <c r="X17" i="32" s="1"/>
  <c r="S17" i="32"/>
  <c r="Q17" i="32"/>
  <c r="O17" i="32"/>
  <c r="M17" i="32"/>
  <c r="K17" i="32"/>
  <c r="I17" i="32"/>
  <c r="G17" i="32"/>
  <c r="E17" i="32"/>
  <c r="C17" i="32"/>
  <c r="Z16" i="32"/>
  <c r="Z15" i="32"/>
  <c r="Z14" i="32"/>
  <c r="Z13" i="32"/>
  <c r="Z12" i="32"/>
  <c r="Z11" i="32"/>
  <c r="A3" i="32"/>
  <c r="E55" i="28"/>
  <c r="D55" i="28"/>
  <c r="M50" i="28"/>
  <c r="L50" i="28"/>
  <c r="J50" i="28"/>
  <c r="H50" i="28"/>
  <c r="F50" i="28"/>
  <c r="D50" i="28"/>
  <c r="L38" i="28"/>
  <c r="J38" i="28"/>
  <c r="H38" i="28"/>
  <c r="F38" i="28"/>
  <c r="D38" i="28"/>
  <c r="E37" i="28"/>
  <c r="Z26" i="28"/>
  <c r="X26" i="28"/>
  <c r="V26" i="28"/>
  <c r="T26" i="28"/>
  <c r="R26" i="28"/>
  <c r="P26" i="28"/>
  <c r="N26" i="28"/>
  <c r="L26" i="28"/>
  <c r="J26" i="28"/>
  <c r="H26" i="28"/>
  <c r="F26" i="28"/>
  <c r="D26" i="28"/>
  <c r="AA25" i="28"/>
  <c r="W25" i="28"/>
  <c r="Y25" i="28" s="1"/>
  <c r="E25" i="28"/>
  <c r="AA24" i="28"/>
  <c r="AA23" i="28"/>
  <c r="AA22" i="28"/>
  <c r="Z14" i="28"/>
  <c r="X14" i="28"/>
  <c r="V14" i="28"/>
  <c r="T14" i="28"/>
  <c r="R14" i="28"/>
  <c r="P14" i="28"/>
  <c r="N14" i="28"/>
  <c r="L14" i="28"/>
  <c r="J14" i="28"/>
  <c r="H14" i="28"/>
  <c r="F14" i="28"/>
  <c r="D14" i="28"/>
  <c r="AA13" i="28"/>
  <c r="AA12" i="28"/>
  <c r="AA11" i="28"/>
  <c r="AA10" i="28"/>
  <c r="A3" i="28"/>
  <c r="AA101" i="27"/>
  <c r="Y101" i="27"/>
  <c r="W101" i="27"/>
  <c r="U101" i="27"/>
  <c r="S101" i="27"/>
  <c r="Q101" i="27"/>
  <c r="O101" i="27"/>
  <c r="M101" i="27"/>
  <c r="K101" i="27"/>
  <c r="I101" i="27"/>
  <c r="G101" i="27"/>
  <c r="E101" i="27"/>
  <c r="AB100" i="27"/>
  <c r="AC100" i="27" s="1"/>
  <c r="AB99" i="27"/>
  <c r="AC99" i="27" s="1"/>
  <c r="AA91" i="27"/>
  <c r="Y91" i="27"/>
  <c r="W91" i="27"/>
  <c r="U91" i="27"/>
  <c r="S91" i="27"/>
  <c r="Q91" i="27"/>
  <c r="O91" i="27"/>
  <c r="M91" i="27"/>
  <c r="K91" i="27"/>
  <c r="I91" i="27"/>
  <c r="G91" i="27"/>
  <c r="E91" i="27"/>
  <c r="AB90" i="27"/>
  <c r="AB89" i="27"/>
  <c r="AB88" i="27"/>
  <c r="AA81" i="27"/>
  <c r="Y81" i="27"/>
  <c r="W81" i="27"/>
  <c r="U81" i="27"/>
  <c r="S81" i="27"/>
  <c r="Q81" i="27"/>
  <c r="O81" i="27"/>
  <c r="M81" i="27"/>
  <c r="K81" i="27"/>
  <c r="I81" i="27"/>
  <c r="G81" i="27"/>
  <c r="E81" i="27"/>
  <c r="AB80" i="27"/>
  <c r="AB79" i="27"/>
  <c r="AB78" i="27"/>
  <c r="AB81" i="27" s="1"/>
  <c r="E67" i="27"/>
  <c r="E66" i="27"/>
  <c r="E65" i="27"/>
  <c r="F64" i="27"/>
  <c r="E64" i="27"/>
  <c r="F60" i="27"/>
  <c r="H55" i="27"/>
  <c r="H59" i="27" s="1"/>
  <c r="G55" i="27"/>
  <c r="G59" i="27" s="1"/>
  <c r="X39" i="27"/>
  <c r="U39" i="27"/>
  <c r="S39" i="27"/>
  <c r="R39" i="27"/>
  <c r="M39" i="27"/>
  <c r="I39" i="27"/>
  <c r="E39" i="27"/>
  <c r="G39" i="27" s="1"/>
  <c r="M33" i="27"/>
  <c r="K33" i="27"/>
  <c r="I33" i="27"/>
  <c r="G33" i="27"/>
  <c r="E33" i="27"/>
  <c r="W32" i="27"/>
  <c r="Y32" i="27" s="1"/>
  <c r="AA32" i="27" s="1"/>
  <c r="W31" i="27"/>
  <c r="Y31" i="27" s="1"/>
  <c r="AA31" i="27" s="1"/>
  <c r="AB23" i="27"/>
  <c r="AA23" i="27"/>
  <c r="Y23" i="27"/>
  <c r="W23" i="27"/>
  <c r="U23" i="27"/>
  <c r="S23" i="27"/>
  <c r="Q23" i="27"/>
  <c r="O23" i="27"/>
  <c r="M23" i="27"/>
  <c r="K23" i="27"/>
  <c r="I23" i="27"/>
  <c r="G23" i="27"/>
  <c r="E23" i="27"/>
  <c r="AD22" i="27"/>
  <c r="AB22" i="27"/>
  <c r="AB21" i="27"/>
  <c r="AB20" i="27"/>
  <c r="AA13" i="27"/>
  <c r="Y13" i="27"/>
  <c r="W13" i="27"/>
  <c r="U13" i="27"/>
  <c r="S13" i="27"/>
  <c r="Q13" i="27"/>
  <c r="O13" i="27"/>
  <c r="M13" i="27"/>
  <c r="K13" i="27"/>
  <c r="I13" i="27"/>
  <c r="G13" i="27"/>
  <c r="E13" i="27"/>
  <c r="AD12" i="27"/>
  <c r="AB12" i="27"/>
  <c r="AE12" i="27" s="1"/>
  <c r="E69" i="27" s="1"/>
  <c r="AB11" i="27"/>
  <c r="AB10" i="27"/>
  <c r="X142" i="33"/>
  <c r="Z142" i="33" s="1"/>
  <c r="G142" i="33"/>
  <c r="P141" i="33"/>
  <c r="O141" i="33"/>
  <c r="Q141" i="33" s="1"/>
  <c r="S141" i="33" s="1"/>
  <c r="Y141" i="33" s="1"/>
  <c r="P140" i="33"/>
  <c r="O140" i="33"/>
  <c r="Q140" i="33" s="1"/>
  <c r="S140" i="33" s="1"/>
  <c r="Y140" i="33" s="1"/>
  <c r="X139" i="33"/>
  <c r="Z139" i="33" s="1"/>
  <c r="Y139" i="33"/>
  <c r="Y138" i="33"/>
  <c r="Y137" i="33"/>
  <c r="X136" i="33"/>
  <c r="Z136" i="33" s="1"/>
  <c r="Y136" i="33"/>
  <c r="Y135" i="33"/>
  <c r="X134" i="33"/>
  <c r="Z134" i="33" s="1"/>
  <c r="Y134" i="33"/>
  <c r="AA127" i="33"/>
  <c r="AA126" i="33"/>
  <c r="AB141" i="33" s="1"/>
  <c r="AA125" i="33"/>
  <c r="AB140" i="33" s="1"/>
  <c r="AA124" i="33"/>
  <c r="AA123" i="33"/>
  <c r="AA122" i="33"/>
  <c r="AA121" i="33"/>
  <c r="AA120" i="33"/>
  <c r="AA119" i="33"/>
  <c r="AA112" i="33"/>
  <c r="AA111" i="33"/>
  <c r="AA110" i="33"/>
  <c r="AA109" i="33"/>
  <c r="AA108" i="33"/>
  <c r="AA107" i="33"/>
  <c r="AA106" i="33"/>
  <c r="H81" i="33"/>
  <c r="H80" i="33"/>
  <c r="H79" i="33"/>
  <c r="H78" i="33"/>
  <c r="H77" i="33"/>
  <c r="H76" i="33"/>
  <c r="H75" i="33"/>
  <c r="H74" i="33"/>
  <c r="H73" i="33"/>
  <c r="H72" i="33"/>
  <c r="H71" i="33"/>
  <c r="G51" i="33"/>
  <c r="F51" i="33"/>
  <c r="H50" i="33"/>
  <c r="H49" i="33"/>
  <c r="H48" i="33"/>
  <c r="H47" i="33"/>
  <c r="H46" i="33"/>
  <c r="H45" i="33"/>
  <c r="H44" i="33"/>
  <c r="H43" i="33"/>
  <c r="H42" i="33"/>
  <c r="H41" i="33"/>
  <c r="AA37" i="33"/>
  <c r="AA36" i="33"/>
  <c r="AA35" i="33"/>
  <c r="AA34" i="33"/>
  <c r="G27" i="33"/>
  <c r="F27" i="33"/>
  <c r="H26" i="33"/>
  <c r="H25" i="33"/>
  <c r="H24" i="33"/>
  <c r="H23" i="33"/>
  <c r="H22" i="33"/>
  <c r="H21" i="33"/>
  <c r="H20" i="33"/>
  <c r="H19" i="33"/>
  <c r="H18" i="33"/>
  <c r="H17" i="33"/>
  <c r="AA13" i="33"/>
  <c r="AA12" i="33"/>
  <c r="AA11" i="33"/>
  <c r="AA10" i="33"/>
  <c r="L32" i="25"/>
  <c r="K32" i="25"/>
  <c r="J32" i="25"/>
  <c r="I32" i="25"/>
  <c r="H32" i="25"/>
  <c r="G32" i="25"/>
  <c r="F32" i="25"/>
  <c r="E32" i="25"/>
  <c r="D32" i="25"/>
  <c r="C32" i="25"/>
  <c r="W31" i="25"/>
  <c r="Y31" i="25" s="1"/>
  <c r="X31" i="25"/>
  <c r="Z31" i="25" s="1"/>
  <c r="AA31" i="25" s="1"/>
  <c r="N32" i="25"/>
  <c r="M32" i="25"/>
  <c r="X29" i="25"/>
  <c r="W29" i="25"/>
  <c r="Z22" i="25"/>
  <c r="Y22" i="25"/>
  <c r="X22" i="25"/>
  <c r="W22" i="25"/>
  <c r="V22" i="25"/>
  <c r="U22" i="25"/>
  <c r="T22" i="25"/>
  <c r="S22" i="25"/>
  <c r="R22" i="25"/>
  <c r="Q22" i="25"/>
  <c r="P22" i="25"/>
  <c r="O22" i="25"/>
  <c r="N22" i="25"/>
  <c r="M22" i="25"/>
  <c r="L22" i="25"/>
  <c r="K22" i="25"/>
  <c r="J22" i="25"/>
  <c r="I22" i="25"/>
  <c r="H22" i="25"/>
  <c r="G22" i="25"/>
  <c r="F22" i="25"/>
  <c r="E22" i="25"/>
  <c r="D22" i="25"/>
  <c r="C22" i="25"/>
  <c r="AA21" i="25"/>
  <c r="AA20" i="25"/>
  <c r="AA19" i="25"/>
  <c r="Z12" i="25"/>
  <c r="Y12" i="25"/>
  <c r="X12" i="25"/>
  <c r="W12" i="25"/>
  <c r="V12" i="25"/>
  <c r="U12" i="25"/>
  <c r="T12" i="25"/>
  <c r="S12" i="25"/>
  <c r="R12" i="25"/>
  <c r="Q12" i="25"/>
  <c r="P12" i="25"/>
  <c r="O12" i="25"/>
  <c r="N12" i="25"/>
  <c r="M12" i="25"/>
  <c r="L12" i="25"/>
  <c r="K12" i="25"/>
  <c r="J12" i="25"/>
  <c r="I12" i="25"/>
  <c r="H12" i="25"/>
  <c r="G12" i="25"/>
  <c r="F12" i="25"/>
  <c r="E12" i="25"/>
  <c r="D12" i="25"/>
  <c r="C12" i="25"/>
  <c r="AA11" i="25"/>
  <c r="AA10" i="25"/>
  <c r="AA9" i="25"/>
  <c r="AA12" i="25" s="1"/>
  <c r="A3" i="25"/>
  <c r="Z56" i="24"/>
  <c r="X56" i="24"/>
  <c r="V56" i="24"/>
  <c r="T56" i="24"/>
  <c r="R56" i="24"/>
  <c r="P56" i="24"/>
  <c r="N56" i="24"/>
  <c r="L56" i="24"/>
  <c r="J56" i="24"/>
  <c r="H56" i="24"/>
  <c r="F56" i="24"/>
  <c r="D56" i="24"/>
  <c r="AA53" i="24"/>
  <c r="AB53" i="24" s="1"/>
  <c r="AA51" i="24"/>
  <c r="AB51" i="24" s="1"/>
  <c r="AA49" i="24"/>
  <c r="AB49" i="24" s="1"/>
  <c r="AA47" i="24"/>
  <c r="AB47" i="24" s="1"/>
  <c r="AA45" i="24"/>
  <c r="AB45" i="24" s="1"/>
  <c r="Z37" i="24"/>
  <c r="X37" i="24"/>
  <c r="V37" i="24"/>
  <c r="T37" i="24"/>
  <c r="R37" i="24"/>
  <c r="P37" i="24"/>
  <c r="N37" i="24"/>
  <c r="L37" i="24"/>
  <c r="J37" i="24"/>
  <c r="H37" i="24"/>
  <c r="F37" i="24"/>
  <c r="D37" i="24"/>
  <c r="AA32" i="24"/>
  <c r="AA30" i="24"/>
  <c r="AA28" i="24"/>
  <c r="AA26" i="24"/>
  <c r="AA37" i="24" s="1"/>
  <c r="Z18" i="24"/>
  <c r="X18" i="24"/>
  <c r="V18" i="24"/>
  <c r="T18" i="24"/>
  <c r="R18" i="24"/>
  <c r="P18" i="24"/>
  <c r="N18" i="24"/>
  <c r="L18" i="24"/>
  <c r="J18" i="24"/>
  <c r="H18" i="24"/>
  <c r="F18" i="24"/>
  <c r="D18" i="24"/>
  <c r="AA15" i="24"/>
  <c r="AA13" i="24"/>
  <c r="AA11" i="24"/>
  <c r="AA9" i="24"/>
  <c r="AA18" i="24" s="1"/>
  <c r="A3" i="24"/>
  <c r="E207" i="19"/>
  <c r="E73" i="19"/>
  <c r="E11" i="19" s="1"/>
  <c r="E71" i="19"/>
  <c r="E70" i="19"/>
  <c r="E31" i="19"/>
  <c r="AB13" i="27" l="1"/>
  <c r="AA22" i="25"/>
  <c r="U142" i="33"/>
  <c r="W142" i="33" s="1"/>
  <c r="Y142" i="33" s="1"/>
  <c r="R140" i="33"/>
  <c r="T140" i="33" s="1"/>
  <c r="V140" i="33"/>
  <c r="N43" i="32"/>
  <c r="P43" i="32" s="1"/>
  <c r="R43" i="32" s="1"/>
  <c r="T43" i="32"/>
  <c r="O43" i="32"/>
  <c r="Q43" i="32" s="1"/>
  <c r="S43" i="32" s="1"/>
  <c r="T40" i="32"/>
  <c r="V40" i="32" s="1"/>
  <c r="X40" i="32" s="1"/>
  <c r="N41" i="32"/>
  <c r="P41" i="32" s="1"/>
  <c r="R41" i="32" s="1"/>
  <c r="T41" i="32"/>
  <c r="E184" i="19"/>
  <c r="T39" i="27"/>
  <c r="S54" i="28"/>
  <c r="R54" i="28"/>
  <c r="AC101" i="27"/>
  <c r="E152" i="19" s="1"/>
  <c r="E68" i="27"/>
  <c r="E70" i="27"/>
  <c r="V93" i="33"/>
  <c r="W93" i="33"/>
  <c r="AA14" i="33"/>
  <c r="AB101" i="27"/>
  <c r="Z29" i="25"/>
  <c r="I44" i="31"/>
  <c r="K44" i="31" s="1"/>
  <c r="M44" i="31" s="1"/>
  <c r="O44" i="31" s="1"/>
  <c r="Q44" i="31" s="1"/>
  <c r="S44" i="31" s="1"/>
  <c r="U44" i="31" s="1"/>
  <c r="W44" i="31" s="1"/>
  <c r="Y44" i="31" s="1"/>
  <c r="Y29" i="25"/>
  <c r="W32" i="31"/>
  <c r="Y32" i="31" s="1"/>
  <c r="AB56" i="24"/>
  <c r="G64" i="27"/>
  <c r="W30" i="25"/>
  <c r="Y30" i="25" s="1"/>
  <c r="V32" i="27"/>
  <c r="F66" i="27"/>
  <c r="F67" i="27"/>
  <c r="Z18" i="32"/>
  <c r="Z33" i="31"/>
  <c r="V31" i="27"/>
  <c r="AB32" i="27"/>
  <c r="H60" i="27"/>
  <c r="W45" i="32"/>
  <c r="Y45" i="32" s="1"/>
  <c r="V30" i="27"/>
  <c r="O41" i="32"/>
  <c r="Q41" i="32" s="1"/>
  <c r="S41" i="32" s="1"/>
  <c r="AE22" i="27"/>
  <c r="F69" i="27" s="1"/>
  <c r="F65" i="27"/>
  <c r="W26" i="32"/>
  <c r="Y26" i="32" s="1"/>
  <c r="AA43" i="32"/>
  <c r="O33" i="27"/>
  <c r="AB91" i="27"/>
  <c r="Z17" i="32"/>
  <c r="W27" i="32"/>
  <c r="Y27" i="32" s="1"/>
  <c r="Z39" i="32"/>
  <c r="W42" i="32"/>
  <c r="Y42" i="32" s="1"/>
  <c r="Z24" i="31"/>
  <c r="O32" i="25"/>
  <c r="Q32" i="25"/>
  <c r="W44" i="32"/>
  <c r="Y44" i="32" s="1"/>
  <c r="Z40" i="32"/>
  <c r="G60" i="27"/>
  <c r="G65" i="27" s="1"/>
  <c r="W34" i="31"/>
  <c r="Y34" i="31" s="1"/>
  <c r="C45" i="31" s="1"/>
  <c r="E45" i="31" s="1"/>
  <c r="G45" i="31" s="1"/>
  <c r="P32" i="25"/>
  <c r="S32" i="25"/>
  <c r="AB31" i="27"/>
  <c r="AA56" i="24"/>
  <c r="AA38" i="33"/>
  <c r="H27" i="33"/>
  <c r="G55" i="28"/>
  <c r="I55" i="28" s="1"/>
  <c r="AA14" i="28"/>
  <c r="AA26" i="28"/>
  <c r="G37" i="28"/>
  <c r="I37" i="28" s="1"/>
  <c r="K37" i="28" s="1"/>
  <c r="M37" i="28" s="1"/>
  <c r="O37" i="28" s="1"/>
  <c r="O50" i="28"/>
  <c r="P50" i="28" s="1"/>
  <c r="N50" i="28"/>
  <c r="G25" i="28"/>
  <c r="F55" i="28"/>
  <c r="X135" i="33"/>
  <c r="Z135" i="33" s="1"/>
  <c r="H51" i="33"/>
  <c r="AA136" i="33"/>
  <c r="AB136" i="33" s="1"/>
  <c r="X137" i="33"/>
  <c r="Z137" i="33" s="1"/>
  <c r="AA142" i="33"/>
  <c r="X138" i="33"/>
  <c r="Z138" i="33" s="1"/>
  <c r="AA134" i="33"/>
  <c r="AB134" i="33" s="1"/>
  <c r="R141" i="33"/>
  <c r="T141" i="33" s="1"/>
  <c r="AA139" i="33"/>
  <c r="F68" i="27" l="1"/>
  <c r="U43" i="32"/>
  <c r="W43" i="32" s="1"/>
  <c r="V43" i="32"/>
  <c r="X43" i="32" s="1"/>
  <c r="X31" i="27"/>
  <c r="Z31" i="27" s="1"/>
  <c r="D47" i="27"/>
  <c r="U41" i="32"/>
  <c r="W41" i="32" s="1"/>
  <c r="X30" i="27"/>
  <c r="Z30" i="27" s="1"/>
  <c r="D46" i="27"/>
  <c r="F46" i="27" s="1"/>
  <c r="V141" i="33"/>
  <c r="X141" i="33" s="1"/>
  <c r="Z141" i="33" s="1"/>
  <c r="X32" i="27"/>
  <c r="Z32" i="27" s="1"/>
  <c r="D48" i="27"/>
  <c r="C43" i="31"/>
  <c r="E43" i="31" s="1"/>
  <c r="G43" i="31" s="1"/>
  <c r="I43" i="31" s="1"/>
  <c r="K43" i="31" s="1"/>
  <c r="M43" i="31" s="1"/>
  <c r="O43" i="31" s="1"/>
  <c r="Q43" i="31" s="1"/>
  <c r="S43" i="31" s="1"/>
  <c r="U43" i="31" s="1"/>
  <c r="W43" i="31" s="1"/>
  <c r="Y43" i="31" s="1"/>
  <c r="V41" i="32"/>
  <c r="X41" i="32" s="1"/>
  <c r="X140" i="33"/>
  <c r="E149" i="19"/>
  <c r="X93" i="33"/>
  <c r="Y93" i="33"/>
  <c r="Z93" i="33" s="1"/>
  <c r="H55" i="28"/>
  <c r="T54" i="28"/>
  <c r="U54" i="28"/>
  <c r="G67" i="27"/>
  <c r="G66" i="27"/>
  <c r="AA135" i="33"/>
  <c r="AB135" i="33" s="1"/>
  <c r="U32" i="25"/>
  <c r="W32" i="25"/>
  <c r="Y32" i="25"/>
  <c r="Z45" i="32"/>
  <c r="AA45" i="32" s="1"/>
  <c r="Z44" i="31"/>
  <c r="Z32" i="31"/>
  <c r="AB142" i="33"/>
  <c r="I45" i="31"/>
  <c r="K45" i="31" s="1"/>
  <c r="M45" i="31" s="1"/>
  <c r="O45" i="31" s="1"/>
  <c r="Q45" i="31" s="1"/>
  <c r="S45" i="31" s="1"/>
  <c r="U45" i="31" s="1"/>
  <c r="W45" i="31" s="1"/>
  <c r="Y45" i="31" s="1"/>
  <c r="R32" i="25"/>
  <c r="AB139" i="33"/>
  <c r="AA40" i="32"/>
  <c r="T32" i="25"/>
  <c r="Q33" i="27"/>
  <c r="Z26" i="32"/>
  <c r="F70" i="27"/>
  <c r="AA39" i="32"/>
  <c r="Z34" i="31"/>
  <c r="Z44" i="32"/>
  <c r="Z42" i="32"/>
  <c r="H68" i="27"/>
  <c r="G68" i="27"/>
  <c r="AA29" i="25"/>
  <c r="Z27" i="32"/>
  <c r="E46" i="19"/>
  <c r="N37" i="28"/>
  <c r="N38" i="28" s="1"/>
  <c r="Q50" i="28"/>
  <c r="S50" i="28" s="1"/>
  <c r="P38" i="28"/>
  <c r="Q37" i="28"/>
  <c r="J55" i="28"/>
  <c r="K55" i="28"/>
  <c r="AA138" i="33"/>
  <c r="U61" i="33"/>
  <c r="AA137" i="33"/>
  <c r="AB137" i="33" s="1"/>
  <c r="V39" i="27" l="1"/>
  <c r="W39" i="27" s="1"/>
  <c r="Y41" i="32"/>
  <c r="Z41" i="32"/>
  <c r="Y43" i="32"/>
  <c r="Z43" i="32"/>
  <c r="AA35" i="25"/>
  <c r="AD32" i="27"/>
  <c r="AE32" i="27" s="1"/>
  <c r="G69" i="27" s="1"/>
  <c r="AA141" i="33"/>
  <c r="Z140" i="33"/>
  <c r="AA140" i="33"/>
  <c r="Z39" i="27"/>
  <c r="Y39" i="27" s="1"/>
  <c r="E47" i="27" s="1"/>
  <c r="G47" i="27" s="1"/>
  <c r="I47" i="27" s="1"/>
  <c r="E8" i="19"/>
  <c r="G70" i="27"/>
  <c r="H70" i="27" s="1"/>
  <c r="H69" i="27" s="1"/>
  <c r="W54" i="28"/>
  <c r="V54" i="28"/>
  <c r="Z46" i="32"/>
  <c r="Z45" i="31"/>
  <c r="Z43" i="31"/>
  <c r="AB138" i="33"/>
  <c r="E107" i="19" s="1"/>
  <c r="Z32" i="32"/>
  <c r="F47" i="27"/>
  <c r="AA41" i="32"/>
  <c r="AA42" i="32"/>
  <c r="R50" i="28"/>
  <c r="E86" i="19"/>
  <c r="L46" i="27"/>
  <c r="H46" i="27"/>
  <c r="X30" i="25"/>
  <c r="V32" i="25"/>
  <c r="E47" i="19"/>
  <c r="E9" i="19" s="1"/>
  <c r="F48" i="27"/>
  <c r="Z35" i="31"/>
  <c r="AA44" i="32"/>
  <c r="S33" i="27"/>
  <c r="V35" i="28"/>
  <c r="M55" i="28"/>
  <c r="L55" i="28"/>
  <c r="T50" i="28"/>
  <c r="U50" i="28"/>
  <c r="V34" i="28"/>
  <c r="S37" i="28"/>
  <c r="U62" i="33"/>
  <c r="W61" i="33"/>
  <c r="V61" i="33"/>
  <c r="U60" i="33"/>
  <c r="V60" i="33" s="1"/>
  <c r="E48" i="27" l="1"/>
  <c r="G48" i="27" s="1"/>
  <c r="I48" i="27" s="1"/>
  <c r="K48" i="27" s="1"/>
  <c r="M48" i="27" s="1"/>
  <c r="O48" i="27" s="1"/>
  <c r="Q48" i="27" s="1"/>
  <c r="S48" i="27" s="1"/>
  <c r="U48" i="27" s="1"/>
  <c r="W48" i="27" s="1"/>
  <c r="Y48" i="27" s="1"/>
  <c r="AA48" i="27" s="1"/>
  <c r="AB48" i="27" s="1"/>
  <c r="E104" i="19"/>
  <c r="X54" i="28"/>
  <c r="Y54" i="28"/>
  <c r="Z54" i="28" s="1"/>
  <c r="E72" i="19"/>
  <c r="Z46" i="31"/>
  <c r="E201" i="19" s="1"/>
  <c r="N46" i="27"/>
  <c r="Z30" i="25"/>
  <c r="X32" i="25"/>
  <c r="E75" i="19"/>
  <c r="E80" i="19"/>
  <c r="U33" i="27"/>
  <c r="W30" i="27"/>
  <c r="L48" i="27"/>
  <c r="N48" i="27" s="1"/>
  <c r="P48" i="27" s="1"/>
  <c r="R48" i="27" s="1"/>
  <c r="T48" i="27" s="1"/>
  <c r="V48" i="27" s="1"/>
  <c r="X48" i="27" s="1"/>
  <c r="Z48" i="27" s="1"/>
  <c r="H48" i="27"/>
  <c r="J48" i="27" s="1"/>
  <c r="K47" i="27"/>
  <c r="M47" i="27" s="1"/>
  <c r="O47" i="27" s="1"/>
  <c r="Q47" i="27" s="1"/>
  <c r="S47" i="27" s="1"/>
  <c r="U47" i="27" s="1"/>
  <c r="W47" i="27" s="1"/>
  <c r="Y47" i="27" s="1"/>
  <c r="AA47" i="27" s="1"/>
  <c r="L47" i="27"/>
  <c r="N47" i="27" s="1"/>
  <c r="P47" i="27" s="1"/>
  <c r="R47" i="27" s="1"/>
  <c r="T47" i="27" s="1"/>
  <c r="V47" i="27" s="1"/>
  <c r="X47" i="27" s="1"/>
  <c r="Z47" i="27" s="1"/>
  <c r="H47" i="27"/>
  <c r="J47" i="27" s="1"/>
  <c r="E45" i="19"/>
  <c r="AA46" i="32"/>
  <c r="E178" i="19" s="1"/>
  <c r="J46" i="27"/>
  <c r="Y34" i="28"/>
  <c r="Z34" i="28" s="1"/>
  <c r="X34" i="28"/>
  <c r="W50" i="28"/>
  <c r="V50" i="28"/>
  <c r="T37" i="28"/>
  <c r="T38" i="28" s="1"/>
  <c r="U37" i="28"/>
  <c r="O55" i="28"/>
  <c r="N55" i="28"/>
  <c r="W35" i="28"/>
  <c r="X35" i="28" s="1"/>
  <c r="R38" i="28"/>
  <c r="V29" i="30"/>
  <c r="W62" i="33"/>
  <c r="V62" i="33"/>
  <c r="W60" i="33"/>
  <c r="X60" i="33" s="1"/>
  <c r="Y61" i="33"/>
  <c r="X61" i="33"/>
  <c r="E172" i="19" l="1"/>
  <c r="E195" i="19"/>
  <c r="AD48" i="27"/>
  <c r="AB47" i="27"/>
  <c r="E132" i="19" s="1"/>
  <c r="W33" i="27"/>
  <c r="Y30" i="27"/>
  <c r="AA30" i="25"/>
  <c r="AA32" i="25" s="1"/>
  <c r="AA34" i="25" s="1"/>
  <c r="AA36" i="25" s="1"/>
  <c r="Z32" i="25"/>
  <c r="AE48" i="27"/>
  <c r="E143" i="19"/>
  <c r="P46" i="27"/>
  <c r="W37" i="28"/>
  <c r="V37" i="28"/>
  <c r="V38" i="28" s="1"/>
  <c r="Y35" i="28"/>
  <c r="Z35" i="28" s="1"/>
  <c r="Q55" i="28"/>
  <c r="P55" i="28"/>
  <c r="Y50" i="28"/>
  <c r="Z50" i="28" s="1"/>
  <c r="X50" i="28"/>
  <c r="AA34" i="28"/>
  <c r="X29" i="30"/>
  <c r="Z61" i="33"/>
  <c r="AA61" i="33" s="1"/>
  <c r="C91" i="33"/>
  <c r="Y62" i="33"/>
  <c r="X62" i="33"/>
  <c r="AA63" i="33"/>
  <c r="Y60" i="33"/>
  <c r="Z60" i="33" s="1"/>
  <c r="E137" i="19" l="1"/>
  <c r="E126" i="19"/>
  <c r="R46" i="27"/>
  <c r="Y33" i="27"/>
  <c r="AA30" i="27"/>
  <c r="J39" i="27" s="1"/>
  <c r="K39" i="27" s="1"/>
  <c r="O39" i="27" s="1"/>
  <c r="N39" i="27" s="1"/>
  <c r="E46" i="27" s="1"/>
  <c r="S55" i="28"/>
  <c r="R55" i="28"/>
  <c r="AA50" i="28"/>
  <c r="AB35" i="28"/>
  <c r="C51" i="28"/>
  <c r="Y37" i="28"/>
  <c r="Z37" i="28" s="1"/>
  <c r="X37" i="28"/>
  <c r="AA36" i="28"/>
  <c r="Z29" i="30"/>
  <c r="AA29" i="30" s="1"/>
  <c r="C90" i="33"/>
  <c r="D90" i="33" s="1"/>
  <c r="AA60" i="33"/>
  <c r="C92" i="33"/>
  <c r="Z62" i="33"/>
  <c r="AA62" i="33" s="1"/>
  <c r="E91" i="33"/>
  <c r="D91" i="33"/>
  <c r="E49" i="27" l="1"/>
  <c r="G46" i="27"/>
  <c r="G49" i="27" s="1"/>
  <c r="I46" i="27"/>
  <c r="M46" i="27"/>
  <c r="M49" i="27" s="1"/>
  <c r="K46" i="27"/>
  <c r="K49" i="27" s="1"/>
  <c r="O46" i="27"/>
  <c r="O49" i="27" s="1"/>
  <c r="AA33" i="27"/>
  <c r="AB30" i="27"/>
  <c r="E61" i="19"/>
  <c r="S46" i="27"/>
  <c r="S49" i="27" s="1"/>
  <c r="T46" i="27"/>
  <c r="Q46" i="27"/>
  <c r="Q49" i="27" s="1"/>
  <c r="T55" i="28"/>
  <c r="U55" i="28"/>
  <c r="AA37" i="28"/>
  <c r="X38" i="28"/>
  <c r="C53" i="28"/>
  <c r="D53" i="28" s="1"/>
  <c r="C52" i="28"/>
  <c r="D52" i="28" s="1"/>
  <c r="E51" i="28"/>
  <c r="Z38" i="28"/>
  <c r="AA35" i="28"/>
  <c r="D39" i="30"/>
  <c r="AA64" i="33"/>
  <c r="G91" i="33"/>
  <c r="F91" i="33"/>
  <c r="E92" i="33"/>
  <c r="D92" i="33"/>
  <c r="E90" i="33"/>
  <c r="F90" i="33" s="1"/>
  <c r="E10" i="19" l="1"/>
  <c r="I49" i="27"/>
  <c r="U46" i="27"/>
  <c r="U49" i="27" s="1"/>
  <c r="V46" i="27"/>
  <c r="E58" i="19"/>
  <c r="AB33" i="27"/>
  <c r="AA38" i="28"/>
  <c r="E53" i="28"/>
  <c r="F53" i="28" s="1"/>
  <c r="E52" i="28"/>
  <c r="G51" i="28"/>
  <c r="D51" i="28"/>
  <c r="D56" i="28" s="1"/>
  <c r="V55" i="28"/>
  <c r="W55" i="28"/>
  <c r="F39" i="30"/>
  <c r="G92" i="33"/>
  <c r="F92" i="33"/>
  <c r="I91" i="33"/>
  <c r="H91" i="33"/>
  <c r="G90" i="33"/>
  <c r="H90" i="33" s="1"/>
  <c r="F52" i="28" l="1"/>
  <c r="F51" i="28" s="1"/>
  <c r="F56" i="28" s="1"/>
  <c r="X46" i="27"/>
  <c r="W46" i="27"/>
  <c r="W49" i="27" s="1"/>
  <c r="X55" i="28"/>
  <c r="Y55" i="28"/>
  <c r="Z55" i="28" s="1"/>
  <c r="G52" i="28"/>
  <c r="H52" i="28" s="1"/>
  <c r="I51" i="28"/>
  <c r="G53" i="28"/>
  <c r="H53" i="28" s="1"/>
  <c r="AA55" i="28"/>
  <c r="H39" i="30"/>
  <c r="I90" i="33"/>
  <c r="J90" i="33" s="1"/>
  <c r="J91" i="33"/>
  <c r="K91" i="33"/>
  <c r="I92" i="33"/>
  <c r="H92" i="33"/>
  <c r="Y46" i="27" l="1"/>
  <c r="Z46" i="27"/>
  <c r="AA46" i="27" s="1"/>
  <c r="I52" i="28"/>
  <c r="J52" i="28" s="1"/>
  <c r="I53" i="28"/>
  <c r="J53" i="28" s="1"/>
  <c r="K51" i="28"/>
  <c r="H51" i="28"/>
  <c r="J39" i="30"/>
  <c r="K92" i="33"/>
  <c r="J92" i="33"/>
  <c r="L91" i="33"/>
  <c r="M91" i="33"/>
  <c r="K90" i="33"/>
  <c r="L90" i="33" s="1"/>
  <c r="Y49" i="27" l="1"/>
  <c r="AB46" i="27"/>
  <c r="M51" i="28"/>
  <c r="K53" i="28"/>
  <c r="L53" i="28" s="1"/>
  <c r="K52" i="28"/>
  <c r="H56" i="28"/>
  <c r="J51" i="28"/>
  <c r="J56" i="28" s="1"/>
  <c r="L39" i="30"/>
  <c r="M92" i="33"/>
  <c r="L92" i="33"/>
  <c r="M90" i="33"/>
  <c r="N90" i="33" s="1"/>
  <c r="O91" i="33"/>
  <c r="N91" i="33"/>
  <c r="L52" i="28" l="1"/>
  <c r="L51" i="28" s="1"/>
  <c r="L56" i="28" s="1"/>
  <c r="AB49" i="27"/>
  <c r="E121" i="19"/>
  <c r="O51" i="28"/>
  <c r="M53" i="28"/>
  <c r="N53" i="28" s="1"/>
  <c r="M52" i="28"/>
  <c r="N39" i="30"/>
  <c r="O90" i="33"/>
  <c r="P90" i="33" s="1"/>
  <c r="Q91" i="33"/>
  <c r="P91" i="33"/>
  <c r="O92" i="33"/>
  <c r="N92" i="33"/>
  <c r="E13" i="19" l="1"/>
  <c r="N52" i="28"/>
  <c r="N51" i="28" s="1"/>
  <c r="N56" i="28" s="1"/>
  <c r="E115" i="19"/>
  <c r="O53" i="28"/>
  <c r="P53" i="28" s="1"/>
  <c r="O52" i="28"/>
  <c r="Q51" i="28"/>
  <c r="P39" i="30"/>
  <c r="R91" i="33"/>
  <c r="S91" i="33"/>
  <c r="Q92" i="33"/>
  <c r="P92" i="33"/>
  <c r="Q90" i="33"/>
  <c r="R90" i="33" s="1"/>
  <c r="P52" i="28" l="1"/>
  <c r="P51" i="28" s="1"/>
  <c r="P56" i="28" s="1"/>
  <c r="Q52" i="28"/>
  <c r="R52" i="28" s="1"/>
  <c r="S51" i="28"/>
  <c r="Q53" i="28"/>
  <c r="R53" i="28" s="1"/>
  <c r="R39" i="30"/>
  <c r="U91" i="33"/>
  <c r="T91" i="33"/>
  <c r="S90" i="33"/>
  <c r="T90" i="33" s="1"/>
  <c r="S92" i="33"/>
  <c r="R92" i="33"/>
  <c r="R51" i="28" l="1"/>
  <c r="R56" i="28" s="1"/>
  <c r="S52" i="28"/>
  <c r="T52" i="28" s="1"/>
  <c r="S53" i="28"/>
  <c r="T53" i="28" s="1"/>
  <c r="U51" i="28"/>
  <c r="T39" i="30"/>
  <c r="U92" i="33"/>
  <c r="T92" i="33"/>
  <c r="W91" i="33"/>
  <c r="V91" i="33"/>
  <c r="U90" i="33"/>
  <c r="V90" i="33" s="1"/>
  <c r="U53" i="28" l="1"/>
  <c r="V53" i="28" s="1"/>
  <c r="W51" i="28"/>
  <c r="U52" i="28"/>
  <c r="V52" i="28" s="1"/>
  <c r="T51" i="28"/>
  <c r="V39" i="30"/>
  <c r="W90" i="33"/>
  <c r="X90" i="33" s="1"/>
  <c r="Y91" i="33"/>
  <c r="Z91" i="33" s="1"/>
  <c r="X91" i="33"/>
  <c r="W92" i="33"/>
  <c r="V92" i="33"/>
  <c r="AA91" i="33" l="1"/>
  <c r="AA93" i="33"/>
  <c r="T56" i="28"/>
  <c r="V51" i="28"/>
  <c r="V56" i="28" s="1"/>
  <c r="W53" i="28"/>
  <c r="X53" i="28" s="1"/>
  <c r="W52" i="28"/>
  <c r="Y51" i="28"/>
  <c r="Z39" i="30"/>
  <c r="X39" i="30"/>
  <c r="Y92" i="33"/>
  <c r="Z92" i="33" s="1"/>
  <c r="X92" i="33"/>
  <c r="AA92" i="33" s="1"/>
  <c r="Y90" i="33"/>
  <c r="Z90" i="33" s="1"/>
  <c r="AA90" i="33" s="1"/>
  <c r="AA39" i="30" l="1"/>
  <c r="AA94" i="33"/>
  <c r="X52" i="28"/>
  <c r="X51" i="28" s="1"/>
  <c r="X56" i="28" s="1"/>
  <c r="AA54" i="28"/>
  <c r="Y53" i="28"/>
  <c r="Z53" i="28" s="1"/>
  <c r="Y52" i="28"/>
  <c r="E224" i="19"/>
  <c r="E219" i="19" l="1"/>
  <c r="E97" i="19"/>
  <c r="Z52" i="28"/>
  <c r="Z51" i="28" s="1"/>
  <c r="E92" i="19" l="1"/>
  <c r="E74" i="19"/>
  <c r="Z56" i="28"/>
  <c r="AA51" i="28"/>
  <c r="AA56" i="28" s="1"/>
  <c r="E166" i="19" l="1"/>
  <c r="E12" i="19" s="1"/>
  <c r="E7" i="19" s="1"/>
  <c r="E69" i="19"/>
  <c r="E161"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M15" authorId="0" shapeId="0" xr:uid="{D295FADC-8E15-49D7-BE97-E5785A8CC626}">
      <text>
        <r>
          <rPr>
            <b/>
            <sz val="9"/>
            <rFont val="Tahoma"/>
            <family val="2"/>
            <charset val="186"/>
          </rPr>
          <t>Author:</t>
        </r>
        <r>
          <rPr>
            <sz val="9"/>
            <rFont val="Tahoma"/>
            <family val="2"/>
            <charset val="186"/>
          </rPr>
          <t xml:space="preserve">
Likuma maiņa, klients, tiek skaitīts atsevišķi.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G40" authorId="0" shapeId="0" xr:uid="{FF390983-4A34-4044-8EEC-46663E74DA5B}">
      <text>
        <r>
          <rPr>
            <b/>
            <sz val="9"/>
            <rFont val="Tahoma"/>
            <family val="2"/>
            <charset val="186"/>
          </rPr>
          <t>Author:</t>
        </r>
        <r>
          <rPr>
            <sz val="9"/>
            <rFont val="Tahoma"/>
            <family val="2"/>
            <charset val="186"/>
          </rPr>
          <t xml:space="preserve">
No 01.01.2025. 2%p no ienākumu mediānas</t>
        </r>
      </text>
    </comment>
    <comment ref="G142" authorId="0" shapeId="0" xr:uid="{56BF3C83-5DDC-4143-82BC-D69E49672A85}">
      <text>
        <r>
          <rPr>
            <b/>
            <sz val="9"/>
            <rFont val="Tahoma"/>
            <family val="2"/>
            <charset val="186"/>
          </rPr>
          <t>Author:</t>
        </r>
        <r>
          <rPr>
            <sz val="9"/>
            <rFont val="Tahoma"/>
            <family val="2"/>
            <charset val="186"/>
          </rPr>
          <t xml:space="preserve">
Te papildus pārrēķins par janvāri un februāri</t>
        </r>
      </text>
    </comment>
    <comment ref="H142" authorId="0" shapeId="0" xr:uid="{0FB252C1-1919-40AB-8ED8-172678C6552A}">
      <text>
        <r>
          <rPr>
            <b/>
            <sz val="9"/>
            <rFont val="Tahoma"/>
            <family val="2"/>
            <charset val="186"/>
          </rPr>
          <t>Author:</t>
        </r>
        <r>
          <rPr>
            <sz val="9"/>
            <rFont val="Tahoma"/>
            <family val="2"/>
            <charset val="186"/>
          </rPr>
          <t xml:space="preserve">
Te papildus klāt pārrēķins par janvāri un februāri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21" authorId="0" shapeId="0" xr:uid="{7BE2A136-E5B3-49BE-BCB3-E5C960C00CDD}">
      <text>
        <r>
          <rPr>
            <b/>
            <sz val="9"/>
            <rFont val="Tahoma"/>
            <family val="2"/>
            <charset val="186"/>
          </rPr>
          <t>Author:</t>
        </r>
        <r>
          <rPr>
            <sz val="9"/>
            <rFont val="Tahoma"/>
            <family val="2"/>
            <charset val="186"/>
          </rPr>
          <t xml:space="preserve">
apmērs noteikts Ukrainas civiliedzīvotāju atbalsta likums</t>
        </r>
      </text>
    </comment>
    <comment ref="B31" authorId="0" shapeId="0" xr:uid="{1C721B1F-0DDB-42F4-9B54-AD4DE1A55457}">
      <text>
        <r>
          <rPr>
            <b/>
            <sz val="9"/>
            <rFont val="Tahoma"/>
            <family val="2"/>
            <charset val="186"/>
          </rPr>
          <t>Author:</t>
        </r>
        <r>
          <rPr>
            <sz val="9"/>
            <rFont val="Tahoma"/>
            <family val="2"/>
            <charset val="186"/>
          </rPr>
          <t xml:space="preserve">
Ņemot vērā to, ka trūcīgas mājsaimniecības slieksnis ir piesaistīts ienākumu mediānai un tas ik gadu mainās, UCAL panta redakcija paredz, ka tas ir sasaistīts ar SPSPL un nebūtu vajadzība katru gadu šo jautājumu noregulēt UCAL no jauna. </t>
        </r>
      </text>
    </comment>
    <comment ref="R36" authorId="0" shapeId="0" xr:uid="{B49923BF-70E0-4644-B56A-21F13BD62C3D}">
      <text>
        <r>
          <rPr>
            <b/>
            <sz val="9"/>
            <rFont val="Tahoma"/>
            <family val="2"/>
            <charset val="186"/>
          </rPr>
          <t>Author:</t>
        </r>
        <r>
          <rPr>
            <sz val="9"/>
            <rFont val="Tahoma"/>
            <family val="2"/>
            <charset val="186"/>
          </rPr>
          <t xml:space="preserve">
pabalsts krīzes situācijā</t>
        </r>
      </text>
    </comment>
    <comment ref="I37" authorId="0" shapeId="0" xr:uid="{9BCC1100-249E-4F5F-AAB8-7CC0B9425F36}">
      <text>
        <r>
          <rPr>
            <b/>
            <sz val="9"/>
            <rFont val="Tahoma"/>
            <family val="2"/>
            <charset val="186"/>
          </rPr>
          <t>Author:</t>
        </r>
        <r>
          <rPr>
            <sz val="9"/>
            <rFont val="Tahoma"/>
            <family val="2"/>
            <charset val="186"/>
          </rPr>
          <t xml:space="preserve">
22% no ienākumu mediānas</t>
        </r>
      </text>
    </comment>
    <comment ref="U37" authorId="0" shapeId="0" xr:uid="{A4F1A676-7C85-42C6-AFF4-3AF676427809}">
      <text>
        <r>
          <rPr>
            <b/>
            <sz val="9"/>
            <rFont val="Tahoma"/>
            <family val="2"/>
            <charset val="186"/>
          </rPr>
          <t>Author:</t>
        </r>
        <r>
          <rPr>
            <sz val="9"/>
            <rFont val="Tahoma"/>
            <family val="2"/>
            <charset val="186"/>
          </rPr>
          <t xml:space="preserve">
Apmēr 50% no mediānas</t>
        </r>
      </text>
    </comment>
    <comment ref="F39" authorId="0" shapeId="0" xr:uid="{2F902DC1-8B80-42C5-827A-9210E6667AC3}">
      <text>
        <r>
          <rPr>
            <b/>
            <sz val="9"/>
            <rFont val="Tahoma"/>
            <family val="2"/>
            <charset val="186"/>
          </rPr>
          <t>Author:</t>
        </r>
        <r>
          <rPr>
            <sz val="9"/>
            <rFont val="Tahoma"/>
            <family val="2"/>
            <charset val="186"/>
          </rPr>
          <t xml:space="preserve">
vidējais apmērs uz 1 pers. 2024. gadā</t>
        </r>
      </text>
    </comment>
    <comment ref="G39" authorId="0" shapeId="0" xr:uid="{884FE73C-A848-4255-BF29-37D843217212}">
      <text>
        <r>
          <rPr>
            <b/>
            <sz val="9"/>
            <rFont val="Tahoma"/>
            <family val="2"/>
            <charset val="186"/>
          </rPr>
          <t>Author:</t>
        </r>
        <r>
          <rPr>
            <sz val="9"/>
            <rFont val="Tahoma"/>
            <family val="2"/>
            <charset val="186"/>
          </rPr>
          <t xml:space="preserve">
%</t>
        </r>
      </text>
    </comment>
    <comment ref="J39" authorId="0" shapeId="0" xr:uid="{F3062AD6-3DE7-470C-ABF4-6275C3297F00}">
      <text>
        <r>
          <rPr>
            <b/>
            <sz val="9"/>
            <rFont val="Tahoma"/>
            <family val="2"/>
            <charset val="186"/>
          </rPr>
          <t>Author:</t>
        </r>
        <r>
          <rPr>
            <sz val="9"/>
            <rFont val="Tahoma"/>
            <family val="2"/>
            <charset val="186"/>
          </rPr>
          <t xml:space="preserve">
plānotais vidējais apmērs uz 1 pers. 2025. gadā</t>
        </r>
      </text>
    </comment>
    <comment ref="K39" authorId="0" shapeId="0" xr:uid="{BA458BD3-8500-4CF0-A1B6-776787418A8A}">
      <text>
        <r>
          <rPr>
            <b/>
            <sz val="9"/>
            <rFont val="Tahoma"/>
            <family val="2"/>
            <charset val="186"/>
          </rPr>
          <t>Author:</t>
        </r>
        <r>
          <rPr>
            <sz val="9"/>
            <rFont val="Tahoma"/>
            <family val="2"/>
            <charset val="186"/>
          </rPr>
          <t xml:space="preserve">
%</t>
        </r>
      </text>
    </comment>
    <comment ref="N39" authorId="0" shapeId="0" xr:uid="{51261B7B-BC62-4E68-8D93-83E944832555}">
      <text>
        <r>
          <rPr>
            <b/>
            <sz val="9"/>
            <rFont val="Tahoma"/>
            <family val="2"/>
            <charset val="186"/>
          </rPr>
          <t>Author:</t>
        </r>
        <r>
          <rPr>
            <sz val="9"/>
            <rFont val="Tahoma"/>
            <family val="2"/>
            <charset val="186"/>
          </rPr>
          <t xml:space="preserve">
plānotais vidējais apmērs uz 1 pers. 2026. gadā</t>
        </r>
      </text>
    </comment>
    <comment ref="O39" authorId="0" shapeId="0" xr:uid="{C1E25664-901E-4BF9-9271-4B0E96EE7498}">
      <text>
        <r>
          <rPr>
            <b/>
            <sz val="9"/>
            <rFont val="Tahoma"/>
            <family val="2"/>
            <charset val="186"/>
          </rPr>
          <t>Author:</t>
        </r>
        <r>
          <rPr>
            <sz val="9"/>
            <rFont val="Tahoma"/>
            <family val="2"/>
            <charset val="186"/>
          </rPr>
          <t xml:space="preserve">
%</t>
        </r>
      </text>
    </comment>
    <comment ref="S39" authorId="0" shapeId="0" xr:uid="{7AF81D4B-0188-40BA-8CC1-218899AD0A4C}">
      <text>
        <r>
          <rPr>
            <b/>
            <sz val="9"/>
            <rFont val="Tahoma"/>
            <family val="2"/>
            <charset val="186"/>
          </rPr>
          <t>Author:</t>
        </r>
        <r>
          <rPr>
            <sz val="9"/>
            <rFont val="Tahoma"/>
            <family val="2"/>
            <charset val="186"/>
          </rPr>
          <t xml:space="preserve">
vidējais apmērs uz 1 pers. 2024. gadā</t>
        </r>
      </text>
    </comment>
    <comment ref="T39" authorId="0" shapeId="0" xr:uid="{A73F11BC-B389-4157-9611-53EE305FFBEF}">
      <text>
        <r>
          <rPr>
            <b/>
            <sz val="9"/>
            <rFont val="Tahoma"/>
            <family val="2"/>
            <charset val="186"/>
          </rPr>
          <t>Author:</t>
        </r>
        <r>
          <rPr>
            <sz val="9"/>
            <rFont val="Tahoma"/>
            <family val="2"/>
            <charset val="186"/>
          </rPr>
          <t xml:space="preserve">
%</t>
        </r>
      </text>
    </comment>
    <comment ref="V39" authorId="0" shapeId="0" xr:uid="{77D139FF-245A-4FA9-BD62-F2D871B94E01}">
      <text>
        <r>
          <rPr>
            <b/>
            <sz val="9"/>
            <rFont val="Tahoma"/>
            <family val="2"/>
            <charset val="186"/>
          </rPr>
          <t>Author:</t>
        </r>
        <r>
          <rPr>
            <sz val="9"/>
            <rFont val="Tahoma"/>
            <family val="2"/>
            <charset val="186"/>
          </rPr>
          <t xml:space="preserve">
plānotais vidējais apmērs uz 1 pers. 2025. gadā</t>
        </r>
      </text>
    </comment>
    <comment ref="W39" authorId="0" shapeId="0" xr:uid="{2E9F6983-28E1-485D-8D1A-8F33A3B73739}">
      <text>
        <r>
          <rPr>
            <b/>
            <sz val="9"/>
            <rFont val="Tahoma"/>
            <family val="2"/>
            <charset val="186"/>
          </rPr>
          <t>Author:</t>
        </r>
        <r>
          <rPr>
            <sz val="9"/>
            <rFont val="Tahoma"/>
            <family val="2"/>
            <charset val="186"/>
          </rPr>
          <t xml:space="preserve">
%</t>
        </r>
      </text>
    </comment>
    <comment ref="Y39" authorId="0" shapeId="0" xr:uid="{AE5511CE-518E-4B1B-9C17-A61459868C10}">
      <text>
        <r>
          <rPr>
            <b/>
            <sz val="9"/>
            <rFont val="Tahoma"/>
            <family val="2"/>
            <charset val="186"/>
          </rPr>
          <t>Author:</t>
        </r>
        <r>
          <rPr>
            <sz val="9"/>
            <rFont val="Tahoma"/>
            <family val="2"/>
            <charset val="186"/>
          </rPr>
          <t xml:space="preserve">
plānotais vidējais apmērs uz 1 pers. 2026. gadā</t>
        </r>
      </text>
    </comment>
    <comment ref="Z39" authorId="0" shapeId="0" xr:uid="{D0F351E6-E7BE-44B4-8026-66FF6A242DD8}">
      <text>
        <r>
          <rPr>
            <b/>
            <sz val="9"/>
            <rFont val="Tahoma"/>
            <family val="2"/>
            <charset val="186"/>
          </rPr>
          <t>Author:</t>
        </r>
        <r>
          <rPr>
            <sz val="9"/>
            <rFont val="Tahoma"/>
            <family val="2"/>
            <charset val="186"/>
          </rPr>
          <t xml:space="preserve">
%</t>
        </r>
      </text>
    </comment>
    <comment ref="B47" authorId="0" shapeId="0" xr:uid="{8A3D355C-210E-4EB2-B768-4FA15FA82C9F}">
      <text>
        <r>
          <rPr>
            <b/>
            <sz val="9"/>
            <rFont val="Tahoma"/>
            <family val="2"/>
            <charset val="186"/>
          </rPr>
          <t>Author:</t>
        </r>
        <r>
          <rPr>
            <sz val="9"/>
            <rFont val="Tahoma"/>
            <family val="2"/>
            <charset val="186"/>
          </rPr>
          <t xml:space="preserve">
Ņemot vērā to, ka trūcīgas mājsaimniecības slieksnis ir piesaistīts ienākumu mediānai un tas ik gadu mainās, UCAL panta redakcija paredz, ka tas ir sasaistīts ar SPSPL un nebūtu vajadzība katru gadu šo jautājumu noregulēt UCAL no jauna. </t>
        </r>
      </text>
    </comment>
    <comment ref="D64" authorId="0" shapeId="0" xr:uid="{24D91F12-E539-4DAA-A695-DEF11D1C782F}">
      <text>
        <r>
          <rPr>
            <b/>
            <sz val="9"/>
            <rFont val="Tahoma"/>
            <family val="2"/>
            <charset val="186"/>
          </rPr>
          <t>Author:</t>
        </r>
        <r>
          <rPr>
            <sz val="9"/>
            <rFont val="Tahoma"/>
            <family val="2"/>
            <charset val="186"/>
          </rPr>
          <t xml:space="preserve">
personas mājaismniecībā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31" authorId="0" shapeId="0" xr:uid="{1AA99672-474E-4516-B7EA-C297247C932C}">
      <text>
        <r>
          <rPr>
            <b/>
            <sz val="9"/>
            <rFont val="Tahoma"/>
            <family val="2"/>
            <charset val="186"/>
          </rPr>
          <t>Author:</t>
        </r>
        <r>
          <rPr>
            <sz val="9"/>
            <rFont val="Tahoma"/>
            <family val="2"/>
            <charset val="186"/>
          </rPr>
          <t xml:space="preserve">
Asistenta pakalpojums 2. pielikuma 4. tab.</t>
        </r>
      </text>
    </comment>
    <comment ref="A45" authorId="0" shapeId="0" xr:uid="{6B6A67A0-ADB1-4381-99C5-1A3E9C5CADF0}">
      <text>
        <r>
          <rPr>
            <b/>
            <sz val="9"/>
            <rFont val="Tahoma"/>
            <family val="2"/>
            <charset val="186"/>
          </rPr>
          <t>Author:</t>
        </r>
        <r>
          <rPr>
            <sz val="9"/>
            <rFont val="Tahoma"/>
            <family val="2"/>
            <charset val="186"/>
          </rPr>
          <t xml:space="preserve">
Asistenta pakalpojums 2. pielikuma 3. tab.</t>
        </r>
      </text>
    </comment>
  </commentList>
</comments>
</file>

<file path=xl/sharedStrings.xml><?xml version="1.0" encoding="utf-8"?>
<sst xmlns="http://schemas.openxmlformats.org/spreadsheetml/2006/main" count="3788" uniqueCount="394">
  <si>
    <t>Pašvaldības</t>
  </si>
  <si>
    <t>Sabiedrības integrācijas fonds</t>
  </si>
  <si>
    <t>Labklājības ministrija</t>
  </si>
  <si>
    <t>4.2.</t>
  </si>
  <si>
    <t>4.3.</t>
  </si>
  <si>
    <t>Sociālās integrācijas valsts aģentūra</t>
  </si>
  <si>
    <t>4.4.</t>
  </si>
  <si>
    <t>Vaivaru Tehnisko palīglīdzekļu centrs, Latvijas Neredzīgo biedrība, Latvijas Neredzīgo savienība</t>
  </si>
  <si>
    <t>Sociālo pakalpojumu sniedzēji</t>
  </si>
  <si>
    <t>Mājokļa pabalsts pēc aprēķina, ja ir noslēgts īres līgums</t>
  </si>
  <si>
    <t>4.10.</t>
  </si>
  <si>
    <t>Valsts sociālās apdrošināšanas aģentūra</t>
  </si>
  <si>
    <t>Gads</t>
  </si>
  <si>
    <t xml:space="preserve">Pārskata periods </t>
  </si>
  <si>
    <t>marts</t>
  </si>
  <si>
    <t>aprīlis</t>
  </si>
  <si>
    <t>maijs</t>
  </si>
  <si>
    <t>jūnijs</t>
  </si>
  <si>
    <t>jūlijs</t>
  </si>
  <si>
    <t>augusts</t>
  </si>
  <si>
    <t>septembris</t>
  </si>
  <si>
    <t>oktobris</t>
  </si>
  <si>
    <t>novembris</t>
  </si>
  <si>
    <t>decembris</t>
  </si>
  <si>
    <t>(euro,centi)</t>
  </si>
  <si>
    <t>Rādītāja nosaukums</t>
  </si>
  <si>
    <t>Saņēmēju skaits</t>
  </si>
  <si>
    <t>Faktiskie izdevumi pārskata periodā</t>
  </si>
  <si>
    <t>Plānotie izdevumi pārskata periodā</t>
  </si>
  <si>
    <t>A</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</si>
  <si>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</si>
  <si>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</si>
  <si>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x</t>
  </si>
  <si>
    <t>Atlīdzība par ārkārtas aizbildņa pienākumu pildīšanu (UCAL 19.panta pirmā un otrā daļa)</t>
  </si>
  <si>
    <t>Pabalsts nepavadīta bērna uzturam (UCAL 19.panta pirmā, trešā un septītā daļa)</t>
  </si>
  <si>
    <t>Pabalsts apģērba un mīkstā inventāra iegādei (UCAL 19.panta pirmā un piektā daļa)</t>
  </si>
  <si>
    <t>KOPĀ</t>
  </si>
  <si>
    <t>EKK</t>
  </si>
  <si>
    <t>X</t>
  </si>
  <si>
    <t xml:space="preserve">A </t>
  </si>
  <si>
    <t>Pabalsts atsevišķu izdevumu apmaksai (UCAL 7.panta trešā daļa)</t>
  </si>
  <si>
    <t>Pakalpojums pārvietošanās atbalstam (UCAL 13.panta pirmās daļas 1.punkts)</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</si>
  <si>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</si>
  <si>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</si>
  <si>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UCAL 7.panta trešā daļa un SPSPL 35.panta pirmās daļas 1.punkts un 36.panta ceturtā daļa</t>
  </si>
  <si>
    <t>UCAL 7.panta trešā daļa un SPSPL 35,panta pirmā, trešā un ceturtā daļa un SPSPL 36,panta piektā daļa</t>
  </si>
  <si>
    <t>UCAL 7.panta trešā daļa un 3 prim daļa</t>
  </si>
  <si>
    <t>UCAL 19. panta pirmā, otrā, trešā, piektā un septītā daļa</t>
  </si>
  <si>
    <t>20.01.00 "Valsts sociālie pabalsti"</t>
  </si>
  <si>
    <t>Februāris</t>
  </si>
  <si>
    <t>Marts</t>
  </si>
  <si>
    <t>Aprīlis</t>
  </si>
  <si>
    <t>Maijs</t>
  </si>
  <si>
    <t>Jūnijs</t>
  </si>
  <si>
    <t>Jūlijs</t>
  </si>
  <si>
    <t>mēr- vienība</t>
  </si>
  <si>
    <t>skaits</t>
  </si>
  <si>
    <t>B</t>
  </si>
  <si>
    <t>Tiflotehnikas nodrošināšana</t>
  </si>
  <si>
    <t>Izsniegto tehnisko palīglīdzekļu skaits</t>
  </si>
  <si>
    <t>05.01.00 "Sociālās rehabilitācijas valsts programmas"</t>
  </si>
  <si>
    <t>UCAL 7.panta pirmā daļa 4.punkts</t>
  </si>
  <si>
    <t>Surdotehnikas nodrošināšana</t>
  </si>
  <si>
    <t>Pārējo tehnisko palīglīdzekļu nodrošināšana</t>
  </si>
  <si>
    <t>stunda</t>
  </si>
  <si>
    <t xml:space="preserve">UCAL 7.panta trešā daļa </t>
  </si>
  <si>
    <t>Sociālās rehabilitācijas pakalpojumu sniegšana bērniem, kas cietuši no prettiesiskām darbībām institūcijās 30 vai 60 dienu kurss</t>
  </si>
  <si>
    <t>klientu dienas (bērniem)</t>
  </si>
  <si>
    <t>klientu dienas (pavadoņiem)</t>
  </si>
  <si>
    <t>konsultācijas</t>
  </si>
  <si>
    <t>personas</t>
  </si>
  <si>
    <t>05.03.00 "Aprūpe valsts sociālās aprūpes institūcijās"</t>
  </si>
  <si>
    <t>līdz 30 dienām ilgs sociālās rehabilitācijas pakalpojums SIVA, ja personai atbilstoši pašvaldības sociālā dienesta novērtējumam psihoemocionālā stāvokļa dēļ ir nepieciešams diennakts pakalpojums (pabeigtie kursi)</t>
  </si>
  <si>
    <t>kursi</t>
  </si>
  <si>
    <t>05.37.00 "Sociālās integrācijas valsts aģentūras administrēšana un profesionālās un sociālās rehabilitācijas pakalpojumu nodrošināšana"</t>
  </si>
  <si>
    <t>1000</t>
  </si>
  <si>
    <t>UCAL 7.panta pirmā daļa 3.punkts</t>
  </si>
  <si>
    <t>2000</t>
  </si>
  <si>
    <t>līdz 30 dienām ilgs sociālās rehabilitācijas pakalpojums SIVA, ja personai atbilstoši pašvaldības sociālā dienesta novērtējumam psihoemocionālā stāvokļa dēļ ir nepieciešams diennakts pakalpojums (pakalpojumu neturpinās)</t>
  </si>
  <si>
    <t>dienas</t>
  </si>
  <si>
    <t>bērnu skaits</t>
  </si>
  <si>
    <t>Augusts</t>
  </si>
  <si>
    <t>2023</t>
  </si>
  <si>
    <t>Surdotulka saskarsmei nodrošināšana</t>
  </si>
  <si>
    <t>UCAL 7.panta 3.daļas 9.punkts un 11.daļa.</t>
  </si>
  <si>
    <t>UCAL 7.panta 3.daļa</t>
  </si>
  <si>
    <t xml:space="preserve">UCAL 7.panta 13.daļa </t>
  </si>
  <si>
    <t>janvāris</t>
  </si>
  <si>
    <t>februāris</t>
  </si>
  <si>
    <t>Janvāris</t>
  </si>
  <si>
    <t>Septembris</t>
  </si>
  <si>
    <t>Oktobris</t>
  </si>
  <si>
    <t>Novembris</t>
  </si>
  <si>
    <t>Decembris</t>
  </si>
  <si>
    <t>EKK 6000</t>
  </si>
  <si>
    <t>*</t>
  </si>
  <si>
    <t>22.03.00 "Valsts atbalsts ārpusģimenes aprūpei"</t>
  </si>
  <si>
    <t>Plānotie zdevumi pārskata periodā</t>
  </si>
  <si>
    <t>UCAL 7.panta pirmās daļas 2.punkts</t>
  </si>
  <si>
    <t xml:space="preserve">UCAL 19.panta devītā daļa. </t>
  </si>
  <si>
    <t>Apraksts</t>
  </si>
  <si>
    <t>Aprēķins</t>
  </si>
  <si>
    <t xml:space="preserve">Pamatojums </t>
  </si>
  <si>
    <t>EKK 1000</t>
  </si>
  <si>
    <t xml:space="preserve">Atlīdzība </t>
  </si>
  <si>
    <t>EKK 2000</t>
  </si>
  <si>
    <t xml:space="preserve">Preces un pakalpojumi </t>
  </si>
  <si>
    <t>EKK 3000</t>
  </si>
  <si>
    <t>Subsīdijas un dotācijas</t>
  </si>
  <si>
    <t>EKK 5000</t>
  </si>
  <si>
    <t>Pamatkapitāla veidošana</t>
  </si>
  <si>
    <t>Sociāla rakstura maksājumi un kompensācijas</t>
  </si>
  <si>
    <t>EKK 7000</t>
  </si>
  <si>
    <t>Transferti, starptautiskā sadarbība</t>
  </si>
  <si>
    <t xml:space="preserve"> KOPĀ:</t>
  </si>
  <si>
    <t>4.13. KOPĀ:</t>
  </si>
  <si>
    <t>Valsts sociālās aprūpes centri</t>
  </si>
  <si>
    <t>KOPĀ*:</t>
  </si>
  <si>
    <t>papildu nepieciešamo izdevumu aprēķins*</t>
  </si>
  <si>
    <t>74.resora "Gadskārtējā valsts budžeta izpildes procesā pārdalāmais finansējums" 80.00.00 programmas "Nesadalītais finansējums Eiropas Savienības politiku instrumentu un pārējās ārvalstu finanšu palīdzības līdzfinansēto projektu un pasākumu īstenošanai"**</t>
  </si>
  <si>
    <t>Preces un pakalpojumi***</t>
  </si>
  <si>
    <t>4.11.</t>
  </si>
  <si>
    <t>4.12.</t>
  </si>
  <si>
    <t>2.pielikums rīkojuma projekta</t>
  </si>
  <si>
    <t>Detalizēti aprēķini 2. pielikuma 1.tabulā</t>
  </si>
  <si>
    <t>Detalizēti aprēķini 2. pielikuma 2.tabulā</t>
  </si>
  <si>
    <t>Detalizēti aprēķini 2. pielikuma 3.tabulā</t>
  </si>
  <si>
    <t>Detalizēti aprēķini 2. pielikuma 4.tabulā</t>
  </si>
  <si>
    <t>Detalizēti aprēķini 2. pielikuma 5.tabulā</t>
  </si>
  <si>
    <t>Detalizēti aprēķini 2. pielikuma 6.tabulā</t>
  </si>
  <si>
    <t>Detalizēti aprēķini 2. pielikuma 7.tabulā</t>
  </si>
  <si>
    <t>2.pielikuma 8.tabula</t>
  </si>
  <si>
    <t>2.pielikuma 7.tabula</t>
  </si>
  <si>
    <t>2.pielikuma 6.tabula</t>
  </si>
  <si>
    <t>2.pielikuma 5.tabula</t>
  </si>
  <si>
    <t>2.pielikuma 4.tabula</t>
  </si>
  <si>
    <t>2.pielikuma 3.tabula</t>
  </si>
  <si>
    <t>2.pielikuma 2.tabula</t>
  </si>
  <si>
    <t>2.pielikuma 1.tabula</t>
  </si>
  <si>
    <t>Ārpusģimenes aprūpes atbalsta centri</t>
  </si>
  <si>
    <t>2024</t>
  </si>
  <si>
    <t>*ieskaitot pašvaldību nodrošinātus atbalsta pasākumus, kuru izdevumus pašvaldībām no budžeta resora "74. Gadskārtējā valsts budžeta izpildes procesā pārdalāmais finansējums" atsevišķās programmas 17. 00. 00 “Finansējums Ukrainas civiliedzīvotāju atbalsta likumā noteikto pasākumu īstenošanai”  piešķirtiem finanšu līdzekļiem sedz VARAM.</t>
  </si>
  <si>
    <t>4 (25;29;29;28)</t>
  </si>
  <si>
    <t>1 (29)</t>
  </si>
  <si>
    <t>1 (27)</t>
  </si>
  <si>
    <t>līdz 60 dienām ilgs sociālās rehabilitācijas pakalpojums SIVA, ja personai atbilstoši pašvaldības sociālā dienesta novērtējumam psihoemocionālā stāvokļa dēļ ir nepieciešams diennakts pakalpojums (pabeigtie kursi)</t>
  </si>
  <si>
    <t>līdz 60 dienām ilgs sociālās rehabilitācijas pakalpojums SIVA, ja personai atbilstoši pašvaldības sociālā dienesta novērtējumam psihoemocionālā stāvokļa dēļ ir nepieciešams diennakts pakalpojums (pakalpojumu neturpinās)</t>
  </si>
  <si>
    <t>4 (5; 8; 5; 8)</t>
  </si>
  <si>
    <t>1 (33)</t>
  </si>
  <si>
    <t>2 (58; 25)</t>
  </si>
  <si>
    <t>3 (58, 58, 29+24)</t>
  </si>
  <si>
    <t>*Finansējums apmērs un sadalījums starp EKK 1000 un EKK 2000 tiks pieprasīts atbilstoši faktiskajai nepieciešamībai.</t>
  </si>
  <si>
    <t>Atlīdzība*</t>
  </si>
  <si>
    <t>Preces un pakalpojumi*</t>
  </si>
  <si>
    <t>1.grupa/ strādā</t>
  </si>
  <si>
    <t>1.grupa/ nestrādā</t>
  </si>
  <si>
    <t>1.grupa/ invaliditāte kopš bērnības (strādā)</t>
  </si>
  <si>
    <t>1.grupa/ invaliditāte kopš bērnības (nestrādā)</t>
  </si>
  <si>
    <t>2.grupa/ strādā</t>
  </si>
  <si>
    <t>2.grupa/ nestrādā</t>
  </si>
  <si>
    <t>2.grupa/ invaliditāte kopš bērnības (strādā)</t>
  </si>
  <si>
    <t>2.grupa/ invaliditāte kopš bērnības (nestrādā)</t>
  </si>
  <si>
    <t>3.grupa/ neatkarīgi no nodarbinātības</t>
  </si>
  <si>
    <t>3.grupa/  invaliditāte kopš bērnības ( neatkarīgi no nodarbinātības)</t>
  </si>
  <si>
    <t>līdz 31.12. 2023.</t>
  </si>
  <si>
    <t>no 01.01. 2024.</t>
  </si>
  <si>
    <t>Valsts sociālā nodrošinājuma pabalsta apmēri</t>
  </si>
  <si>
    <t>Pieaugums, %</t>
  </si>
  <si>
    <t>I Pabalsti (VSAA) 2023</t>
  </si>
  <si>
    <t>transporta izdevumi</t>
  </si>
  <si>
    <t>Sociālās rehabilitācijas pakalpojumi personām ar redzes invaliditāti</t>
  </si>
  <si>
    <t>Sociālās rehabilitācijas pakalpojumi personām ar dzirdes invaliditāti</t>
  </si>
  <si>
    <t>Psihosociālās rehabilitācijas pakalpojums personām ar onkoloģisku slimību un to tuviniekiem</t>
  </si>
  <si>
    <t>konsultācijas kursa ietvaros</t>
  </si>
  <si>
    <t>Pakalpojumi*</t>
  </si>
  <si>
    <t>VSAA/ 2023</t>
  </si>
  <si>
    <t>VSAA/ 2024</t>
  </si>
  <si>
    <t>Valsts sociālā nodrošinājuma pabalsts vecuma gadījumā*</t>
  </si>
  <si>
    <t>Atsauces uz UCAL skat. 2. pielikuma 7.tabulā</t>
  </si>
  <si>
    <t>**Pārvietošanās atbalstā iekļauts guļošu personu pārvietošana uz ārstniecības iestādem</t>
  </si>
  <si>
    <t xml:space="preserve"> Asistenta pakalpojums</t>
  </si>
  <si>
    <t>4.1.</t>
  </si>
  <si>
    <t>4.7.2.</t>
  </si>
  <si>
    <t>4.7.3.</t>
  </si>
  <si>
    <t>4.7.4.</t>
  </si>
  <si>
    <t>4.8.</t>
  </si>
  <si>
    <t>4.9.</t>
  </si>
  <si>
    <t>Pašvaldības (VARAM)</t>
  </si>
  <si>
    <t>KOPĀ:</t>
  </si>
  <si>
    <t>2025</t>
  </si>
  <si>
    <t>Faktiskie  izdevumi pārskata periodā</t>
  </si>
  <si>
    <t>Citi pašvaldības piešķirtie sociālā atbalsta pasākumi (UCAL 7.panta trešā daļa un 19.panta sestā daļa), t.sk. sociālās aprūpes pakalpojuma nodrošināšana dzīvesvietā Ukrainas civiliedzīvotājiem ar smagiem vai ļoti smagiem funkcionāliem traucējumiem, kuri ierobežo personas spējas patstāvīgi pārvietoties un sevi aprūpēt (13. panta pirmās daļas 1. punkts)</t>
  </si>
  <si>
    <t>Saņēmēju skaits ****</t>
  </si>
  <si>
    <t>Plānotās vidējās TPL vienas vienības izmaksas, euro*</t>
  </si>
  <si>
    <t xml:space="preserve">Sociālās rehabilitācijas pakalpojumu sniegšana bērniem, kas cietuši no prettiesiskām darbībām, dzīvesvietā (līdz 20 konsultācijām) </t>
  </si>
  <si>
    <t>VSAA/ 2025</t>
  </si>
  <si>
    <t>līdz 31.12. 2024.</t>
  </si>
  <si>
    <t>no 01.01. 2025.</t>
  </si>
  <si>
    <t>I Pabalsti (VSAA) 2025</t>
  </si>
  <si>
    <t xml:space="preserve">Skaits </t>
  </si>
  <si>
    <t>05.01.00</t>
  </si>
  <si>
    <t>Skaits</t>
  </si>
  <si>
    <t>VARAM/pašvaldības</t>
  </si>
  <si>
    <t>1 (30)</t>
  </si>
  <si>
    <t>2 (60+60)</t>
  </si>
  <si>
    <t>1 (60)</t>
  </si>
  <si>
    <t>2 (8+8)</t>
  </si>
  <si>
    <t>Pārejas pakalpojuma dienas no 2023. gada, personas kā unikālās (kursi) 2024.gadā netiek skaitītas, tikai pakalpojuma dienas. (5+26+24+26)</t>
  </si>
  <si>
    <t>Pārejas pakalpojuma dienas no 2023. gada, personas kā unikālās (kursi) 2024.gadā netiek skaitītas, tikai pakalpojuma dienas. (50)</t>
  </si>
  <si>
    <t>1(26)</t>
  </si>
  <si>
    <t>2 (30+30)</t>
  </si>
  <si>
    <t>personas****</t>
  </si>
  <si>
    <r>
      <t>Bērna piedzimšanas pabalsts</t>
    </r>
    <r>
      <rPr>
        <vertAlign val="superscript"/>
        <sz val="10"/>
        <rFont val="Times New Roman"/>
        <family val="1"/>
        <charset val="186"/>
      </rPr>
      <t>1</t>
    </r>
  </si>
  <si>
    <r>
      <t>Bērna kopšanas pabalsts</t>
    </r>
    <r>
      <rPr>
        <vertAlign val="superscript"/>
        <sz val="10"/>
        <rFont val="Times New Roman"/>
        <family val="1"/>
        <charset val="186"/>
      </rPr>
      <t>1</t>
    </r>
  </si>
  <si>
    <r>
      <t>Ģimenes valsts pabalsts</t>
    </r>
    <r>
      <rPr>
        <vertAlign val="superscript"/>
        <sz val="10"/>
        <rFont val="Times New Roman"/>
        <family val="1"/>
        <charset val="186"/>
      </rPr>
      <t>1</t>
    </r>
  </si>
  <si>
    <r>
      <t>Valsts atbalsts ar celiakiju slimiem bērniem</t>
    </r>
    <r>
      <rPr>
        <vertAlign val="superscript"/>
        <sz val="10"/>
        <rFont val="Times New Roman"/>
        <family val="1"/>
        <charset val="186"/>
      </rPr>
      <t>1</t>
    </r>
  </si>
  <si>
    <r>
      <t>Bērna kopšanas pabalsts</t>
    </r>
    <r>
      <rPr>
        <vertAlign val="superscript"/>
        <sz val="10"/>
        <rFont val="Times New Roman"/>
        <family val="1"/>
        <charset val="186"/>
      </rPr>
      <t>2</t>
    </r>
  </si>
  <si>
    <r>
      <t>Ģimenes valsts pabalsts</t>
    </r>
    <r>
      <rPr>
        <vertAlign val="superscript"/>
        <sz val="10"/>
        <rFont val="Times New Roman"/>
        <family val="1"/>
        <charset val="186"/>
      </rPr>
      <t>3</t>
    </r>
  </si>
  <si>
    <r>
      <t>Valsts atbalsts ar celiakiju slimiem bērniem</t>
    </r>
    <r>
      <rPr>
        <vertAlign val="superscript"/>
        <sz val="10"/>
        <rFont val="Times New Roman"/>
        <family val="1"/>
        <charset val="186"/>
      </rPr>
      <t>4</t>
    </r>
  </si>
  <si>
    <r>
      <t>Valsts sociālā nodrošinājuma pabalsts personām ar invaliditāti</t>
    </r>
    <r>
      <rPr>
        <vertAlign val="superscript"/>
        <sz val="10"/>
        <rFont val="Times New Roman"/>
        <family val="1"/>
        <charset val="186"/>
      </rPr>
      <t>1</t>
    </r>
  </si>
  <si>
    <r>
      <t>Piemaksa pie ģimenes valsts pabalsta par bērnu ar invaliditāti</t>
    </r>
    <r>
      <rPr>
        <vertAlign val="superscript"/>
        <sz val="10"/>
        <rFont val="Times New Roman"/>
        <family val="1"/>
        <charset val="186"/>
      </rPr>
      <t>1</t>
    </r>
  </si>
  <si>
    <r>
      <t>Bērna ar invaliditāti kopšanas pabalsts</t>
    </r>
    <r>
      <rPr>
        <vertAlign val="superscript"/>
        <sz val="10"/>
        <rFont val="Times New Roman"/>
        <family val="1"/>
        <charset val="186"/>
      </rPr>
      <t>1</t>
    </r>
  </si>
  <si>
    <r>
      <t>Pabalsts personai ar invaliditāti, kurai nepieciešama kopšana (ar noteiktu invaliditāti Latvijā)</t>
    </r>
    <r>
      <rPr>
        <vertAlign val="superscript"/>
        <sz val="10"/>
        <rFont val="Times New Roman"/>
        <family val="1"/>
        <charset val="186"/>
      </rPr>
      <t>1</t>
    </r>
  </si>
  <si>
    <r>
      <t>Piemaksa pie ģimenes valsts pabalsta par bērnu ar invaliditāti</t>
    </r>
    <r>
      <rPr>
        <vertAlign val="superscript"/>
        <sz val="10"/>
        <rFont val="Times New Roman"/>
        <family val="1"/>
        <charset val="186"/>
      </rPr>
      <t>2</t>
    </r>
  </si>
  <si>
    <r>
      <t>Bērna ar invaliditāti kopšanas pabalsts</t>
    </r>
    <r>
      <rPr>
        <vertAlign val="superscript"/>
        <sz val="10"/>
        <rFont val="Times New Roman"/>
        <family val="1"/>
        <charset val="186"/>
      </rPr>
      <t>3</t>
    </r>
  </si>
  <si>
    <r>
      <t>Pabalsts personai ar invaliditāti, kurai nepieciešama kopšana (ar noteiktu invaliditāti Latvijā)</t>
    </r>
    <r>
      <rPr>
        <vertAlign val="superscript"/>
        <sz val="10"/>
        <rFont val="Times New Roman"/>
        <family val="1"/>
        <charset val="186"/>
      </rPr>
      <t>4</t>
    </r>
  </si>
  <si>
    <r>
      <t xml:space="preserve">Garantētais minimālais ienākums (GMI) – pabalsts 109 </t>
    </r>
    <r>
      <rPr>
        <i/>
        <sz val="11"/>
        <rFont val="Times New Roman"/>
        <family val="1"/>
        <charset val="186"/>
      </rPr>
      <t>euro</t>
    </r>
    <r>
      <rPr>
        <sz val="11"/>
        <rFont val="Times New Roman"/>
        <family val="1"/>
        <charset val="186"/>
      </rPr>
      <t xml:space="preserve"> apmērā pirmajai personai un 76 </t>
    </r>
    <r>
      <rPr>
        <i/>
        <sz val="11"/>
        <rFont val="Times New Roman"/>
        <family val="1"/>
        <charset val="186"/>
      </rPr>
      <t>euro</t>
    </r>
    <r>
      <rPr>
        <sz val="11"/>
        <rFont val="Times New Roman"/>
        <family val="1"/>
        <charset val="186"/>
      </rPr>
      <t xml:space="preserve"> apmērā katrai nākamajai personai mājsaimniecībā. 
No 01.07.2023. pabalsts 125 euro apmērā pirmajai personai un 87.50 euro apmērā katrai nākamajai personai mājsaimniecībā</t>
    </r>
  </si>
  <si>
    <r>
      <t xml:space="preserve">Vienreizējais pabalsts krīzes situācijā 272 </t>
    </r>
    <r>
      <rPr>
        <i/>
        <sz val="11"/>
        <rFont val="Times New Roman"/>
        <family val="1"/>
        <charset val="186"/>
      </rPr>
      <t>euro</t>
    </r>
    <r>
      <rPr>
        <sz val="11"/>
        <rFont val="Times New Roman"/>
        <family val="1"/>
        <charset val="186"/>
      </rPr>
      <t xml:space="preserve"> apmērā pilngadīgai personai un 190 </t>
    </r>
    <r>
      <rPr>
        <i/>
        <sz val="11"/>
        <rFont val="Times New Roman"/>
        <family val="1"/>
        <charset val="186"/>
      </rPr>
      <t>euro</t>
    </r>
    <r>
      <rPr>
        <sz val="11"/>
        <rFont val="Times New Roman"/>
        <family val="1"/>
        <charset val="186"/>
      </rPr>
      <t xml:space="preserve"> apmērā par katru bērnu. 
No 01.07.2023. 313 euro apmērā pilngadīgai personai un 219 euro apmērā par katru bērnu.</t>
    </r>
  </si>
  <si>
    <r>
      <t xml:space="preserve">Garantētais minimālais ienākums (GMI) – pabalsts 137 </t>
    </r>
    <r>
      <rPr>
        <i/>
        <sz val="11"/>
        <rFont val="Times New Roman"/>
        <family val="1"/>
        <charset val="186"/>
      </rPr>
      <t>euro</t>
    </r>
    <r>
      <rPr>
        <sz val="11"/>
        <rFont val="Times New Roman"/>
        <family val="1"/>
        <charset val="186"/>
      </rPr>
      <t xml:space="preserve"> apmērā pirmajai personai un 96 </t>
    </r>
    <r>
      <rPr>
        <i/>
        <sz val="11"/>
        <rFont val="Times New Roman"/>
        <family val="1"/>
        <charset val="186"/>
      </rPr>
      <t>euro</t>
    </r>
    <r>
      <rPr>
        <sz val="11"/>
        <rFont val="Times New Roman"/>
        <family val="1"/>
        <charset val="186"/>
      </rPr>
      <t xml:space="preserve"> apmērā katrai nākamajai personai mājsaimniecībā.</t>
    </r>
  </si>
  <si>
    <r>
      <t xml:space="preserve">Vienreizējais pabalsts krīzes situācijā 343 </t>
    </r>
    <r>
      <rPr>
        <i/>
        <sz val="11"/>
        <rFont val="Times New Roman"/>
        <family val="1"/>
        <charset val="186"/>
      </rPr>
      <t>euro</t>
    </r>
    <r>
      <rPr>
        <sz val="11"/>
        <rFont val="Times New Roman"/>
        <family val="1"/>
        <charset val="186"/>
      </rPr>
      <t xml:space="preserve"> apmērā pilngadīgai personai un 240 </t>
    </r>
    <r>
      <rPr>
        <i/>
        <sz val="11"/>
        <rFont val="Times New Roman"/>
        <family val="1"/>
        <charset val="186"/>
      </rPr>
      <t>euro</t>
    </r>
    <r>
      <rPr>
        <sz val="11"/>
        <rFont val="Times New Roman"/>
        <family val="1"/>
        <charset val="186"/>
      </rPr>
      <t xml:space="preserve"> apmērā par katru bērnu. </t>
    </r>
  </si>
  <si>
    <t xml:space="preserve"> Asistenta un pavadoņa pakalpojums</t>
  </si>
  <si>
    <t>līdz 30 dienām ilgs sociālās rehabilitācijas pakalpojums SIVA,ja personai atbilstoši pašvaldības sociālā dienesta vai sociālo pakalpojumu sniedzēju reģistrā, ārstniecības iestāžu reģistrā vai izglītības iestāžu reģistrā reģistrēta pakalpojumu sniedzēja novērtējumam psihoemocionālā stāvokļa dēļ ir nepieciešams diennakts pakalpojums (pabeigtie kursi)</t>
  </si>
  <si>
    <t>līdz 30 dienām ilgs sociālās rehabilitācijas pakalpojums SIVA, ja personai atbilstoši pašvaldības sociālā dienesta vai sociālo pakalpojumu sniedzēju reģistrā, ārstniecības iestāžu reģistrā vai izglītības iestāžu reģistrā reģistrēta pakalpojumu sniedzēja novērtējumam psihoemocionālā stāvokļa dēļ ir nepieciešams diennakts pakalpojums (pakalpojumu neturpinās)</t>
  </si>
  <si>
    <t>līdz 30 dienām ilgs sociālās rehabilitācijas pakalpojums SIVA, ja persona, kura valsts apmaksātās medicīniskās transportēšanas ietvaros pārvesta no Ukrainas ārstniecības iestādes uz stacionāro ārstniecības iestādi Latvijā un saņem veselības aprūpes pakalpojumus atbilstoši medicīniskās transportēšanas mērķim (pabeigtie kursi)</t>
  </si>
  <si>
    <t>līdz 60 dienām ilgs sociālās rehabilitācijas pakalpojums SIVA, ja persona, kura valsts apmaksātās medicīniskās transportēšanas ietvaros pārvesta no Ukrainas ārstniecības iestādes uz stacionāro ārstniecības iestādi Latvijā un saņem veselības aprūpes pakalpojumus atbilstoši medicīniskās transportēšanas mērķim (pabeigtie kursi)</t>
  </si>
  <si>
    <t>līdz 60 dienām  ilgs sociālās rehabilitācijas pakalpojums SIVA, ja persona, kura valsts apmaksātās medicīniskās transportēšanas ietvaros pārvesta no Ukrainas ārstniecības iestādes uz stacionāro ārstniecības iestādi Latvijā un saņem veselības aprūpes pakalpojumus atbilstoši medicīniskās transportēšanas mērķim (pakalpojumu neturpinās)</t>
  </si>
  <si>
    <t>1(13)</t>
  </si>
  <si>
    <t>2 (60)</t>
  </si>
  <si>
    <t>2(58)</t>
  </si>
  <si>
    <t>2 (21+21)</t>
  </si>
  <si>
    <t>2026. gadā</t>
  </si>
  <si>
    <t>pasākumu plāna atbalsta sniegšanai Ukrainas civiliedzīvotājiem Latvijas Republikā 2026.gadā sākotnējās 
ietekmes novērtējuma ziņojumam (anotācijai)</t>
  </si>
  <si>
    <t>VSAA/ 2026</t>
  </si>
  <si>
    <t>Pasākumu plāns atbalsta sniegšanai Ukrainas civiliedzīvotājiem Latvijas Republikā 2026.gadā</t>
  </si>
  <si>
    <t>2026</t>
  </si>
  <si>
    <t>2026***</t>
  </si>
  <si>
    <t>Bērna piedzimšanas pabalsts</t>
  </si>
  <si>
    <t>Bērna kopšanas pabalsts</t>
  </si>
  <si>
    <t>Ģimenes valsts pabalsts</t>
  </si>
  <si>
    <t>Valsts atbalsts ar celiakiju slimiem bērniem</t>
  </si>
  <si>
    <t>2026**</t>
  </si>
  <si>
    <t>Valsts sociālā nodrošinājuma pabalsts personām ar invaliditāti</t>
  </si>
  <si>
    <t>Piemaksa pie ģimenes valsts pabalsta par bērnu ar invaliditāti</t>
  </si>
  <si>
    <t>Bērna ar invaliditāti kopšanas pabalsts</t>
  </si>
  <si>
    <t>Pabalsts personai ar invaliditāti, kurai nepieciešama kopšana (ar noteiktu invaliditāti Latvijā)</t>
  </si>
  <si>
    <t>līdz 31.12. 2025.</t>
  </si>
  <si>
    <t>no 01.01. 2026.</t>
  </si>
  <si>
    <t>I Pabalsti (VSAA) 2026</t>
  </si>
  <si>
    <t>Plānotais TPL apjoms 2026. gadā**</t>
  </si>
  <si>
    <t>Plānotie izdevumi 2026. gadā***</t>
  </si>
  <si>
    <t>Surdotulka izglītības ieguvei nodrošināšana</t>
  </si>
  <si>
    <r>
      <t xml:space="preserve">Garantētais minimālais ienākums (GMI) – pabalsts 166 </t>
    </r>
    <r>
      <rPr>
        <i/>
        <sz val="11"/>
        <rFont val="Times New Roman"/>
        <family val="1"/>
        <charset val="186"/>
      </rPr>
      <t>euro</t>
    </r>
    <r>
      <rPr>
        <sz val="11"/>
        <rFont val="Times New Roman"/>
        <family val="1"/>
        <charset val="186"/>
      </rPr>
      <t xml:space="preserve"> apmērā pirmajai personai un 116 </t>
    </r>
    <r>
      <rPr>
        <i/>
        <sz val="11"/>
        <rFont val="Times New Roman"/>
        <family val="1"/>
        <charset val="186"/>
      </rPr>
      <t>euro</t>
    </r>
    <r>
      <rPr>
        <sz val="11"/>
        <rFont val="Times New Roman"/>
        <family val="1"/>
        <charset val="186"/>
      </rPr>
      <t xml:space="preserve"> apmērā katrai nākamajai personai mājsaimniecībā.</t>
    </r>
  </si>
  <si>
    <r>
      <t xml:space="preserve">Vienreizējais pabalsts krīzes situācijā 377 </t>
    </r>
    <r>
      <rPr>
        <i/>
        <sz val="11"/>
        <rFont val="Times New Roman"/>
        <family val="1"/>
        <charset val="186"/>
      </rPr>
      <t>euro</t>
    </r>
    <r>
      <rPr>
        <sz val="11"/>
        <rFont val="Times New Roman"/>
        <family val="1"/>
        <charset val="186"/>
      </rPr>
      <t xml:space="preserve"> apmērā pilngadīgai personai un 264 </t>
    </r>
    <r>
      <rPr>
        <i/>
        <sz val="11"/>
        <rFont val="Times New Roman"/>
        <family val="1"/>
        <charset val="186"/>
      </rPr>
      <t>euro</t>
    </r>
    <r>
      <rPr>
        <sz val="11"/>
        <rFont val="Times New Roman"/>
        <family val="1"/>
        <charset val="186"/>
      </rPr>
      <t xml:space="preserve"> apmērā par katru bērnu. </t>
    </r>
  </si>
  <si>
    <t>1(30+30)</t>
  </si>
  <si>
    <t>2(60)</t>
  </si>
  <si>
    <t>0 (17)</t>
  </si>
  <si>
    <t>t.sk. līdz bēna 1,5 gadiem</t>
  </si>
  <si>
    <t xml:space="preserve">       no bērna 1,5 gadiem līdz 2 gadiem</t>
  </si>
  <si>
    <r>
      <rPr>
        <vertAlign val="superscript"/>
        <sz val="10"/>
        <rFont val="Times New Roman"/>
        <family val="1"/>
        <charset val="186"/>
      </rPr>
      <t>4</t>
    </r>
    <r>
      <rPr>
        <sz val="10"/>
        <rFont val="Times New Roman"/>
        <family val="1"/>
        <charset val="186"/>
      </rPr>
      <t xml:space="preserve"> tiek pieņemts, ka vidējais bērnu skaits 2025.gadā būs 1 bērns mēnesī. Vidējais apmērs noteikts atbilstoši normatīvajos aktos noteiktajam vidējam apmēram - 160 </t>
    </r>
    <r>
      <rPr>
        <i/>
        <sz val="10"/>
        <rFont val="Times New Roman"/>
        <family val="1"/>
        <charset val="186"/>
      </rPr>
      <t>euro</t>
    </r>
    <r>
      <rPr>
        <sz val="10"/>
        <rFont val="Times New Roman"/>
        <family val="1"/>
        <charset val="186"/>
      </rPr>
      <t>.</t>
    </r>
  </si>
  <si>
    <r>
      <rPr>
        <vertAlign val="superscript"/>
        <sz val="10"/>
        <rFont val="Times New Roman"/>
        <family val="1"/>
        <charset val="186"/>
      </rPr>
      <t>4</t>
    </r>
    <r>
      <rPr>
        <sz val="10"/>
        <rFont val="Times New Roman"/>
        <family val="1"/>
        <charset val="186"/>
      </rPr>
      <t xml:space="preserve"> tiek pieņemts, ka vidējais bērnu skaits 2026.gadā būs 1 bērns mēnesī. Vidējais apmērs noteikts atbilstoši normatīvajos aktos noteiktajam vidējam apmēram - 160 </t>
    </r>
    <r>
      <rPr>
        <i/>
        <sz val="10"/>
        <rFont val="Times New Roman"/>
        <family val="1"/>
        <charset val="186"/>
      </rPr>
      <t>euro</t>
    </r>
    <r>
      <rPr>
        <sz val="10"/>
        <rFont val="Times New Roman"/>
        <family val="1"/>
        <charset val="186"/>
      </rPr>
      <t>.</t>
    </r>
  </si>
  <si>
    <t>jūnijs*</t>
  </si>
  <si>
    <t xml:space="preserve">*Plāns balstīts uz faktisko izpildi 2024. un 2025. gadā. 2026. gadā faktiski izmaksātie pabalsti un nodrošinātie pakalpojumi var atsķirties (papildus var tikt nodrošināts vēl kāds atbalsta veids) atbilstoši individuālajām personu vajadzībām. Likuma 7.panta trešā daļa paredz, ka Ukrainas civiliedzīvotājiem ir tādas pašas tiesības uz sociālajiem pakalpojumiem un sociālo palīdzību, kādas Sociālo pakalpojumu un sociālās palīdzības likumā noteiktas Latvijas pilsoņiem un Latvijas nepilsoņiem. Vienlaicīgi pašvaldībās Ukrainas civiliedzīvotājiem ir tādas pašas tiesības uz sociālajiem pakalpojumiem un sociālo palīdzību, kādas pašvaldību saistošajos noteikumos noteiktas pašvaldības iedzīvotājiem. </t>
  </si>
  <si>
    <t>Pakalpojums pārvietošanās atbalstam (UCAL 13.panta pirmās daļas 1.punkts)**</t>
  </si>
  <si>
    <t>Sociālās rehabilitācijas pakalpojums vardarbībā cietušiem bērniem (UCAL 7.panta pirmā prim un trešā daļa)</t>
  </si>
  <si>
    <r>
      <t>Sociālās rehabilitācijas pakalpojums vardarbībā cietušām pilngadīgām personām (UCAL 7.panta pirmā prim un trešā daļa)</t>
    </r>
    <r>
      <rPr>
        <vertAlign val="superscript"/>
        <sz val="10"/>
        <rFont val="Times New Roman"/>
        <family val="1"/>
        <charset val="186"/>
      </rPr>
      <t xml:space="preserve"> </t>
    </r>
  </si>
  <si>
    <r>
      <t>Ilgstošas sociālās aprūpes un sociālās rehabilitācijas pakalpojumi pilngadīgām personām (UCAL 7.panta pirmā prim un trešā daļa)</t>
    </r>
    <r>
      <rPr>
        <vertAlign val="superscript"/>
        <sz val="10"/>
        <rFont val="Times New Roman"/>
        <family val="1"/>
        <charset val="186"/>
      </rPr>
      <t xml:space="preserve"> </t>
    </r>
  </si>
  <si>
    <t>Sociālās rehabilitācijas pakalpojums vardarbībā cietušiem bērniem (UCAL 7.panta pirmā prim un trešā daļa)***</t>
  </si>
  <si>
    <t>Ilgstošas sociālās aprūpes un sociālās rehabilitācijas pakalpojumi pilngadīgām personām (UCAL 7.panta pirmā prim un trešā daļa)***</t>
  </si>
  <si>
    <t>***2025. gadā izdevumi netiek plānoti, bet nevar izslēgt, ka šādi izdevumi būs 2026. gadā. Izdevumu plāns 2026. gadam atbilstoši 2024. gada faktiskajiem izdevumiem.</t>
  </si>
  <si>
    <t>2026****</t>
  </si>
  <si>
    <t>Plāns balstīts uz faktisko izpildi 2024. un 2025.gadā. 2026. gadā faktiski izmaksātie pabalsti un nodrošinātie pakalpojumi var atsķirties (papildus var tikt nodrošināts vēl kāds atbalsta veids) atbilstoši individuālajām personu vajadzībām. Likuma 7.panta trešā daļa paredz, ka Ukrainas civiliedzīvotājiem ir tādas pašas tiesības uz sociālajiem pakalpojumiem un sociālo palīdzību, kādas Sociālo pakalpojumu un sociālās palīdzības likumā noteiktas Latvijas pilsoņiem un Latvijas nepilsoņiem.</t>
  </si>
  <si>
    <r>
      <t xml:space="preserve">Garantētais minimālais ienākums (GMI) – pabalsts 187 </t>
    </r>
    <r>
      <rPr>
        <i/>
        <sz val="11"/>
        <rFont val="Times New Roman"/>
        <family val="1"/>
        <charset val="186"/>
      </rPr>
      <t>euro</t>
    </r>
    <r>
      <rPr>
        <sz val="11"/>
        <rFont val="Times New Roman"/>
        <family val="1"/>
        <charset val="186"/>
      </rPr>
      <t xml:space="preserve"> apmērā pirmajai personai un 131 </t>
    </r>
    <r>
      <rPr>
        <i/>
        <sz val="11"/>
        <rFont val="Times New Roman"/>
        <family val="1"/>
        <charset val="186"/>
      </rPr>
      <t>euro</t>
    </r>
    <r>
      <rPr>
        <sz val="11"/>
        <rFont val="Times New Roman"/>
        <family val="1"/>
        <charset val="186"/>
      </rPr>
      <t xml:space="preserve"> apmērā katrai nākamajai personai mājsaimniecībā.***</t>
    </r>
  </si>
  <si>
    <t>*** Ņemot vērā minimālo ienākumu slieksni 2026. gadā (2023. gada ienākumu mediāna 850.02 euro), 22%.</t>
  </si>
  <si>
    <r>
      <t xml:space="preserve">Vienreizējais pabalsts krīzes situācijā 425 </t>
    </r>
    <r>
      <rPr>
        <i/>
        <sz val="11"/>
        <rFont val="Times New Roman"/>
        <family val="1"/>
        <charset val="186"/>
      </rPr>
      <t>euro</t>
    </r>
    <r>
      <rPr>
        <sz val="11"/>
        <rFont val="Times New Roman"/>
        <family val="1"/>
        <charset val="186"/>
      </rPr>
      <t xml:space="preserve"> apmērā pilngadīgai personai un 298 </t>
    </r>
    <r>
      <rPr>
        <i/>
        <sz val="11"/>
        <rFont val="Times New Roman"/>
        <family val="1"/>
        <charset val="186"/>
      </rPr>
      <t>euro</t>
    </r>
    <r>
      <rPr>
        <sz val="11"/>
        <rFont val="Times New Roman"/>
        <family val="1"/>
        <charset val="186"/>
      </rPr>
      <t xml:space="preserve"> apmērā par katru bērnu. ***</t>
    </r>
  </si>
  <si>
    <t>Mājokļa pabalsts pēc aprēķina, ja ir noslēgts īres līgums****</t>
  </si>
  <si>
    <t>2025 fakts</t>
  </si>
  <si>
    <t>2026 prognoze</t>
  </si>
  <si>
    <t>Kura gada mediāna?</t>
  </si>
  <si>
    <t>Mediāna</t>
  </si>
  <si>
    <t>koeficients</t>
  </si>
  <si>
    <t>euro</t>
  </si>
  <si>
    <t>1.personai</t>
  </si>
  <si>
    <t>nākamajai</t>
  </si>
  <si>
    <t>Piemērs:</t>
  </si>
  <si>
    <t>Atsevišķi dzīvojošai pensijas vecuma personai vai atsevišķi dzīvojošai personai ar invaliditāti  (koeficients 2.1)</t>
  </si>
  <si>
    <t>Personām ar ienākumiem mājokļa pabalsta aprēķinā GMI līmenis/slieksnis tiek reizināts ar attiecīgiem koeficientiem, kuri ir noteikti SPSPL 35. panta piektajā daļā.</t>
  </si>
  <si>
    <t>Mājsaimniecībai, kurā ir tikai pensijas vecuma personas vai personas ar invaliditāti  (koeficients 1.7)</t>
  </si>
  <si>
    <t>Mājsaimniecībai, kurā ir pensijas vecuma personas vai personas ar invaliditāti un bērni           (koeficients 1.7)</t>
  </si>
  <si>
    <t>Pārējām mājsaimniecībām   (koeficients 1.3)</t>
  </si>
  <si>
    <t>Faktiski izmaksātais, euro</t>
  </si>
  <si>
    <t>Vidēji uz 1 personu, euro</t>
  </si>
  <si>
    <t>Faktiski izmaksātais, %</t>
  </si>
  <si>
    <t>****GMI  apmēri 2023.-2026.gadā</t>
  </si>
  <si>
    <t>2026*****</t>
  </si>
  <si>
    <r>
      <rPr>
        <i/>
        <vertAlign val="superscript"/>
        <sz val="10"/>
        <rFont val="Times New Roman"/>
        <family val="1"/>
        <charset val="186"/>
      </rPr>
      <t>2</t>
    </r>
    <r>
      <rPr>
        <i/>
        <sz val="10"/>
        <rFont val="Times New Roman"/>
        <family val="1"/>
        <charset val="186"/>
      </rPr>
      <t xml:space="preserve"> tiek pieņemts, ka saņēmēju skaits pieaugs par 1 personām ik mēnesi līdz gada beigām. Vidējais apmērs noteikts atbilstoši normatīvajos aktos noteiktajam vidējam apmēram  - 160 euro.</t>
    </r>
  </si>
  <si>
    <r>
      <rPr>
        <i/>
        <vertAlign val="superscript"/>
        <sz val="10"/>
        <rFont val="Times New Roman"/>
        <family val="1"/>
        <charset val="186"/>
      </rPr>
      <t>3</t>
    </r>
    <r>
      <rPr>
        <i/>
        <sz val="10"/>
        <rFont val="Times New Roman"/>
        <family val="1"/>
        <charset val="186"/>
      </rPr>
      <t xml:space="preserve"> tiek pieņemts, ka saņēmēju skaits pieaugs par 1 personu ik mēnesi līdz gada beigām, Vidējais apmērs noteikts atbilstoši normatīvajos aktos noteiktajam vidējam apmēram (ar 01.01.2025.) - 413,43 euro;</t>
    </r>
  </si>
  <si>
    <r>
      <rPr>
        <i/>
        <vertAlign val="superscript"/>
        <sz val="10"/>
        <rFont val="Times New Roman"/>
        <family val="1"/>
        <charset val="186"/>
      </rPr>
      <t>2</t>
    </r>
    <r>
      <rPr>
        <i/>
        <sz val="10"/>
        <rFont val="Times New Roman"/>
        <family val="1"/>
        <charset val="186"/>
      </rPr>
      <t xml:space="preserve"> tiek pieņemts, ka saņēmēju skaits pieaugs par 1 personām ik mēnesi līdz gada beigām. Vidējais apmērs noteikts atbilstoši normatīvajos aktos noteiktajam vidējam apmēram  - 160 euro;</t>
    </r>
  </si>
  <si>
    <t>Psihosociālās rehabilitācijas pakalpojums personām ar onkoloģisku slimību un to tuviniekiem (izdevumi plānoti atbilstoši 2024. gada izpildei)</t>
  </si>
  <si>
    <r>
      <t>UCAL 7.</t>
    </r>
    <r>
      <rPr>
        <vertAlign val="superscript"/>
        <sz val="8"/>
        <rFont val="Times New Roman"/>
        <family val="1"/>
        <charset val="186"/>
      </rPr>
      <t>2</t>
    </r>
    <r>
      <rPr>
        <sz val="8"/>
        <rFont val="Times New Roman"/>
        <family val="1"/>
        <charset val="186"/>
      </rPr>
      <t xml:space="preserve"> panta  9.daļa un 11.daļa </t>
    </r>
  </si>
  <si>
    <t>Atlīdzība par ārkārtas aizbildņa pienākumu pildīšanu (UCAL 19.panta pirmā un otrā daļa)**</t>
  </si>
  <si>
    <t>Pabalsts nepavadīta bērna uzturam (UCAL 19.panta pirmā, trešā un septītā daļa)**</t>
  </si>
  <si>
    <t>**2026. gadā nav plānots UCAL 19. pantā mainīt noteikto apmēru:
(2) Atlīdzība par ārkārtas aizbildņa pienākumu pildīšanu ir 171 euro mēnesī neatkarīgi no nepavadīto bērnu skaita.
(3) Pabalsts nepavadīta bērna uzturam mēnesī ir:
1) 215 euro par nepavadītu bērnu līdz septiņu gadu vecumam;
2) 258 euro par nepavadītu bērnu vecumā no septiņiem līdz 18 gadiem.</t>
  </si>
  <si>
    <t>2025*</t>
  </si>
  <si>
    <t>*plāns atbilstoši SIVA iesniegtajam plānam.</t>
  </si>
  <si>
    <t>** Primāri finansē no 74.resora "Gadskārtējā valsts budžeta izpildes procesā pārdalāmais finansējums" 80.00.00 programmas "Nesadalītais finansējums Eiropas Savienības politiku instrumentu un pārējās ārvalstu finanšu palīdzības līdzfinansēto projektu un pasākumu īstenošanai". Nepieciešamības gadījumā tiks sagatavots pieprasījums par papildu līdzekļu piešķiršanu no 74. resorā atsevišķā programmā plānotā finansējuma.</t>
  </si>
  <si>
    <r>
      <rPr>
        <b/>
        <sz val="9"/>
        <rFont val="Times New Roman"/>
        <family val="1"/>
        <charset val="186"/>
      </rPr>
      <t>Indikatīvi nepieciešamais finansējums 2026. gadā atbalsta nodrošināšanai UA civiliedzīvotājiem 1 381 689 euro.</t>
    </r>
    <r>
      <rPr>
        <sz val="9"/>
        <rFont val="Times New Roman"/>
        <family val="1"/>
        <charset val="186"/>
      </rPr>
      <t xml:space="preserve">
Prognozētais atbalsta apjoms 10 488 unikālajām personām:
 57 % no unikālo personu kopskaita (IeM prognozētie 6 000 personu - no jaunā iebraukušie 2026. gadā) saņem programmas atbalstu trīs mēnešus kā krīzes situācijā nonākušās mājsaimniecības;
 43 % no unikālo personu kopskaita (4 488 personas) 2026. gadā turpina saņemt programmas atbalstu vidēji trīs ceturkšņus gada laikā.
Aprēķins – indikatīvs personu skaits x paku skaits x cena x 14 % vienotās likmes maksājums par izdali/ papildpasākumiem:
 pārtikas pakas: (6 000 personu x 2 pakas + 4 488 personas x 6 pakas) x 25,37 euro x 1,14 = 1 125 868 euro.
 higiēnas pakas: (6 000 personu x 1 paka + 4 488 personas x 3 pakas) x 6,05 euro x 1,14 = 134 243 euro.
 bērnu pārtikas pakas: (95 bērni x 2 pakas + 71 bērns x 6 pakas) x 43,74 euro x 1,14 = 30 716 euro.
 bērnu higiēnas pakas: (113 bērni x 1 paka + 84 bērni x 3 pakas) x 52,98 euro x 1,14 = 22 045 euro.
 mācību piederumu pakas: 2 357 skolēni x 1 paka x 24,32 euro x 1,14 = 65 347 euro.
 pārtikas pakas zupas virtuvēm: 30 pakas x 101,47 euro x 1,14 = 3 470 euro.</t>
    </r>
  </si>
  <si>
    <t>***Finansējums apmērs un sadalījums starp EKK2000 tiks pieprasīts atbilstoši faktiskajai nepieciešamībai.</t>
  </si>
  <si>
    <t>4.1. Atbalsta sniegšana Eiropas Sociālā fonda Plus programmas materiālās nenodrošinātības mazināšanai 2021.-2027.gadam ietvaros</t>
  </si>
  <si>
    <t>4.2. Sociālās rehabilitācijas pakalpojuma sniegšana Sociālās integrācijas valsts aģentūrā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t>
  </si>
  <si>
    <t>4.3. Valsts finansēto tehnisko palīglīdzekļu nodrošināšana</t>
  </si>
  <si>
    <t>4.4. Atbalsta sniegšana Ukrainas civiliedzīvotājiem, kuriem Latvijā noteikta invaliditāte (pabalsti un pakalpojumi)</t>
  </si>
  <si>
    <t>Piemaksa pie mēnešalgas un virsstundu darbs bāriņtiesu un sociālo dienestu darbiniekiem, kuri iesaistīti atbalsta sniegšanā Ukrainas civiliedzīvotājiem</t>
  </si>
  <si>
    <t>Piemaksa pie mēnešalgas</t>
  </si>
  <si>
    <t>Virsstundu darbs</t>
  </si>
  <si>
    <t>*tiek pieņemts saņēmēju skaita pieaugums ik mēnesi par 14 personām  (kas atbilst vidējam saņēmēju skaita pieaugumam mēnesī laika periodā no 2024.gada oktobra līdz 2025.gada septembrim), vidējais apmērs noteikts atbilstoši normatīvajos aktos noteiktajam vidējam apmēram - janvārī - 137 euro; ar 1.februāri - 166 euro.</t>
  </si>
  <si>
    <t>*tiek pieņemts saņēmēju skaita pieaugums ik mēnesi par 14 personām  (kas atbilst vidējam saņēmēju skaita pieaugumam mēnesī laika periodā no 2024.gada oktobra līdz 2025.gada septembrim), vidējais apmērs noteikts atbilstoši normatīvajos aktos noteiktajam vidējam apmēram - janvārī - 166 euro; ar 1.februāri - 187 euro.</t>
  </si>
  <si>
    <r>
      <rPr>
        <vertAlign val="superscript"/>
        <sz val="10"/>
        <rFont val="Times New Roman"/>
        <family val="1"/>
        <charset val="186"/>
      </rPr>
      <t>1</t>
    </r>
    <r>
      <rPr>
        <sz val="10"/>
        <rFont val="Times New Roman"/>
        <family val="1"/>
        <charset val="186"/>
      </rPr>
      <t xml:space="preserve"> tiek pieņemts, ka vidējais bērnu skaits  2025.gadā  būs 11 bērni vidēji mēnesī (vidējais rādītājs 2024.gada oktobris -2025.gada septembris), vidējais apmērs noteikts atbilstoši normatīvajos aktos noteiktajam vidējam apmēram -  421,17 </t>
    </r>
    <r>
      <rPr>
        <i/>
        <sz val="10"/>
        <rFont val="Times New Roman"/>
        <family val="1"/>
        <charset val="186"/>
      </rPr>
      <t>euro</t>
    </r>
    <r>
      <rPr>
        <sz val="10"/>
        <rFont val="Times New Roman"/>
        <family val="1"/>
        <charset val="186"/>
      </rPr>
      <t>;</t>
    </r>
  </si>
  <si>
    <r>
      <rPr>
        <vertAlign val="superscript"/>
        <sz val="10"/>
        <rFont val="Times New Roman"/>
        <family val="1"/>
        <charset val="186"/>
      </rPr>
      <t>2</t>
    </r>
    <r>
      <rPr>
        <sz val="10"/>
        <rFont val="Times New Roman"/>
        <family val="1"/>
        <charset val="186"/>
      </rPr>
      <t xml:space="preserve"> tiek pieņemts, ka bērnu skaits 2025.gadā ik mēnesi palielinās par 1,0%, vidējais apmērs 138,60 </t>
    </r>
    <r>
      <rPr>
        <i/>
        <sz val="10"/>
        <rFont val="Times New Roman"/>
        <family val="1"/>
        <charset val="186"/>
      </rPr>
      <t>euro</t>
    </r>
    <r>
      <rPr>
        <sz val="10"/>
        <rFont val="Times New Roman"/>
        <family val="1"/>
        <charset val="186"/>
      </rPr>
      <t xml:space="preserve"> (kas atbilst vidēji izmaksātajam pabalsta apmēram par 1 bērnu periodā 2024.gada oktobris-2025.gada septembris);</t>
    </r>
  </si>
  <si>
    <r>
      <rPr>
        <vertAlign val="superscript"/>
        <sz val="10"/>
        <rFont val="Times New Roman"/>
        <family val="1"/>
        <charset val="186"/>
      </rPr>
      <t>2</t>
    </r>
    <r>
      <rPr>
        <sz val="10"/>
        <rFont val="Times New Roman"/>
        <family val="1"/>
        <charset val="186"/>
      </rPr>
      <t xml:space="preserve"> tiek pieņemts, ka bērnu skaits 2026.gadā ik mēnesi palielinās par 1,0% un atbilstoši VSAA statistikas datiem par 2025.gada maiju – bērnu skaits līdz 1,5 gada vecumam noteikts 67% un bērnu skaits no 1,5 gada līdz 2 gadiem 33% kopējā bērnu skaitā, par kuru tiek maksāts bērna kopšanas pabalsts. Vidējais apmērs noteikts atbilstoši LM virzītajā prioritārajā pasākumā "Materiālā atbalsta (pabalstu) pilnveidošana ģimenēm ar bērniem" plānotajam vidējam apmēram - ar 01.01.2026. nosakot pabalstu par bērniem līdz 1,5 gada vecumam 35% apmērā no ienākumu mediānas (2026.gada ienākumu mediāna ir 850,02 </t>
    </r>
    <r>
      <rPr>
        <i/>
        <sz val="10"/>
        <rFont val="Times New Roman"/>
        <family val="1"/>
        <charset val="186"/>
      </rPr>
      <t>euro</t>
    </r>
    <r>
      <rPr>
        <sz val="10"/>
        <rFont val="Times New Roman"/>
        <family val="1"/>
        <charset val="186"/>
      </rPr>
      <t xml:space="preserve">, līdz ar to 2026.gadā pabalsta apmērs plānots 298 </t>
    </r>
    <r>
      <rPr>
        <i/>
        <sz val="10"/>
        <rFont val="Times New Roman"/>
        <family val="1"/>
        <charset val="186"/>
      </rPr>
      <t>euro</t>
    </r>
    <r>
      <rPr>
        <sz val="10"/>
        <rFont val="Times New Roman"/>
        <family val="1"/>
        <charset val="186"/>
      </rPr>
      <t xml:space="preserve">), pabalsta apmērs par bērniem no 1,5 gada līdz 2 gadiem saglabāts esošajā apmērā, t.i., 42,96 </t>
    </r>
    <r>
      <rPr>
        <i/>
        <sz val="10"/>
        <rFont val="Times New Roman"/>
        <family val="1"/>
        <charset val="186"/>
      </rPr>
      <t>euro</t>
    </r>
    <r>
      <rPr>
        <sz val="10"/>
        <rFont val="Times New Roman"/>
        <family val="1"/>
        <charset val="186"/>
      </rPr>
      <t>;</t>
    </r>
  </si>
  <si>
    <r>
      <rPr>
        <vertAlign val="superscript"/>
        <sz val="10"/>
        <rFont val="Times New Roman"/>
        <family val="1"/>
        <charset val="186"/>
      </rPr>
      <t>1</t>
    </r>
    <r>
      <rPr>
        <sz val="10"/>
        <rFont val="Times New Roman"/>
        <family val="1"/>
        <charset val="186"/>
      </rPr>
      <t xml:space="preserve"> tiek pieņemts, ka vidējais bērnu skaits  2026.gadā  būs 11 bērni vidēji mēnesī (vidējais rādītājs 2024.gada oktobris -2025.gada septembris), pabalsta vidējais apmērs noteikts atbilstoši LM virzītajā prioritārajā pasākumā "Materiālā atbalsta (pabalstu) pilnveidošana ģimenēm ar bērniem" plānotajam vidējam apmēram ar 01.01.2026. - 600 </t>
    </r>
    <r>
      <rPr>
        <i/>
        <sz val="10"/>
        <rFont val="Times New Roman"/>
        <family val="1"/>
        <charset val="186"/>
      </rPr>
      <t>euro</t>
    </r>
    <r>
      <rPr>
        <sz val="10"/>
        <rFont val="Times New Roman"/>
        <family val="1"/>
        <charset val="186"/>
      </rPr>
      <t>;</t>
    </r>
  </si>
  <si>
    <r>
      <rPr>
        <vertAlign val="superscript"/>
        <sz val="10"/>
        <rFont val="Times New Roman"/>
        <family val="1"/>
        <charset val="186"/>
      </rPr>
      <t>3</t>
    </r>
    <r>
      <rPr>
        <sz val="10"/>
        <rFont val="Times New Roman"/>
        <family val="1"/>
        <charset val="186"/>
      </rPr>
      <t xml:space="preserve"> tiek pieņemts, ka bērnu skaits 2025.gadā ik mēnesi palielinās par 0,2%.Vidējais apmērs 47,95 </t>
    </r>
    <r>
      <rPr>
        <i/>
        <sz val="10"/>
        <rFont val="Times New Roman"/>
        <family val="1"/>
        <charset val="186"/>
      </rPr>
      <t>euro</t>
    </r>
    <r>
      <rPr>
        <sz val="10"/>
        <rFont val="Times New Roman"/>
        <family val="1"/>
        <charset val="186"/>
      </rPr>
      <t>(kas atbilst vidēji izmaksātajam pabalsta apmēram par 1 bērnu periodā 2024.gada oktobris-2025.gada septembris);</t>
    </r>
  </si>
  <si>
    <r>
      <rPr>
        <vertAlign val="superscript"/>
        <sz val="10"/>
        <rFont val="Times New Roman"/>
        <family val="1"/>
        <charset val="186"/>
      </rPr>
      <t>3</t>
    </r>
    <r>
      <rPr>
        <sz val="10"/>
        <rFont val="Times New Roman"/>
        <family val="1"/>
        <charset val="186"/>
      </rPr>
      <t xml:space="preserve"> tiek pieņemts, ka bērnu skaits 2026.gadā ik mēnesi palielinās par 0,2%.Vidējais apmērs 47,95 </t>
    </r>
    <r>
      <rPr>
        <i/>
        <sz val="10"/>
        <rFont val="Times New Roman"/>
        <family val="1"/>
        <charset val="186"/>
      </rPr>
      <t>euro</t>
    </r>
    <r>
      <rPr>
        <sz val="10"/>
        <rFont val="Times New Roman"/>
        <family val="1"/>
        <charset val="186"/>
      </rPr>
      <t>(kas atbilst vidēji izmaksātajam pabalsta apmēram par 1 bērnu periodā 2024.gada oktobris-2025.gada septembris);</t>
    </r>
  </si>
  <si>
    <r>
      <rPr>
        <i/>
        <vertAlign val="superscript"/>
        <sz val="10"/>
        <rFont val="Times New Roman"/>
        <family val="1"/>
        <charset val="186"/>
      </rPr>
      <t>1</t>
    </r>
    <r>
      <rPr>
        <i/>
        <sz val="10"/>
        <rFont val="Times New Roman"/>
        <family val="1"/>
        <charset val="186"/>
      </rPr>
      <t xml:space="preserve"> ņemot vērā iepriekšējā perioda izpildi tiek prognozēts saņēmēju skaita pieaugums par 11 personām ik mēnesi, vidējais apmērs 184,73 euro (kas atbilst vidējam apmēram periodā 2025. gada februāris - 2025.gada septembris (janvārī maksā VSNP par decembri);</t>
    </r>
  </si>
  <si>
    <r>
      <rPr>
        <i/>
        <vertAlign val="superscript"/>
        <sz val="10"/>
        <rFont val="Times New Roman"/>
        <family val="1"/>
        <charset val="186"/>
      </rPr>
      <t>1</t>
    </r>
    <r>
      <rPr>
        <i/>
        <sz val="10"/>
        <rFont val="Times New Roman"/>
        <family val="1"/>
        <charset val="186"/>
      </rPr>
      <t xml:space="preserve"> ņemot vērā iepriekšējā perioda izpildi tiek prognozēts saņēmēju skaita pieaugums par 11 personām ik mēnesi, vidējais apmērs 207,96 euro (kas atbilst vidējam apmēram periodā 2025. gada februāris - 2025.gada septembris, kuram piemēro koeficientu 1.1268 (pieaugumu 12.68% atbilstoši vidējam VSNP pieauguma apmēram no 2026. gada 1.janvāra; vidējais apmērs 2026.gada janvārī = 2025.gada decembri (janvārī maksā VSNP par decembri);</t>
    </r>
  </si>
  <si>
    <r>
      <rPr>
        <i/>
        <vertAlign val="superscript"/>
        <sz val="10"/>
        <rFont val="Times New Roman"/>
        <family val="1"/>
        <charset val="186"/>
      </rPr>
      <t>4</t>
    </r>
    <r>
      <rPr>
        <i/>
        <sz val="10"/>
        <rFont val="Times New Roman"/>
        <family val="1"/>
        <charset val="186"/>
      </rPr>
      <t xml:space="preserve"> tiek pieņemts, ka saņēmēju skaits pieaugs par 1 personu ik mēnesi līdz gada beigām, vidējais apmērs prognozēts 284,37 euro (kas atbilst vidējam apmēram perodā no 2025.gada janvāra līdz 2025.gada septembrim).</t>
    </r>
  </si>
  <si>
    <t>*Izdevumu plāns periodā 2025. gada oktobris - 2025. gada decembris vidēji mēnesī atbilstoši faktiski sniegtajam pakalpojumu un atbalsta apjomam vidēji mēnesī periodā 2025. gada janvāris - 2025. gada septembris</t>
  </si>
  <si>
    <t xml:space="preserve">**Atbilstoši Iekšlietu ministrijas sniegtajai informācijai (18.06.2025. vēstule Nr.1-23/1428/25), 2025. gada pirmajos piecos mēnešos Latvijā vidēji no jauna pagaidu aizsardzības saņemšanai reģistrējās 526 Ukrainas civiliedzīvotāji; kopā šajos mēnešos no jauna reģistrējies 2631 pagaidu aizsardzības saņēmējs. Līdzīga no jauna ieceļojošo Ukrainas civiliedzīvotāju plūsma bija vērojama arī 2024. gadā. 2024. gadā Latvijā no jauna reģistrējās 6080 Ukrainas civiliedzīvotāji, savukārt 1744 personām 2024. gadā pagaidu aizsardzības statuss tika anulēts. Ņemot vērā minētos datus un pie nosacījuma, ka situācija  Ukrainā 2026. gadā saglabājas relatīvi nemainīga, var prognozēt, ka 2026. gadā Latvijā no jauna ieradīsies vismaz 6000 Ukrainas civiliedzīvotāju. Dzimuma un vecuma proporcijas 2026. gadā, visticamāk, saglabāsies līdzīgas.
Vienlaikus balstoties uz IeM sniegto informāciju prognozējams, ka 2025. gadā no jauna Latvijā būs ieradušies 6 312 Ukrainas civiliedzīvotāju, IeM prognoze 2026. gadā  - 6000. Ņemot vērā minēto, 2026. gada izdevumu plāns tiek balstīts uz iepriekšējo mēnešu izpildes tendencēm. </t>
  </si>
  <si>
    <t xml:space="preserve">****Atbilstoši Iekšlietu ministrijas sniegtajai informācijai (18.06.2025. vēstule Nr.1-23/1428/25), 2025. gada pirmajos piecos mēnešos Latvijā vidēji no jauna pagaidu aizsardzības saņemšanai reģistrējās 526 Ukrainas civiliedzīvotāji; kopā šajos mēnešos no jauna reģistrējies 2631 pagaidu aizsardzības saņēmējs. Līdzīga no jauna ieceļojošo Ukrainas civiliedzīvotāju plūsma bija vērojama arī 2024. gadā. 2024. gadā Latvijā no jauna reģistrējās 6080 Ukrainas civiliedzīvotāji, savukārt 1744 personām 2024. gadā pagaidu aizsardzības statuss tika anulēts. Ņemot vērā minētos datus un pie nosacījuma, ka situācija  Ukrainā 2026. gadā saglabājas relatīvi nemainīga, var prognozēt, ka 2026. gadā Latvijā no jauna ieradīsies vismaz 6000 Ukrainas civiliedzīvotāju. Dzimuma un vecuma proporcijas 2026. gadā, visticamāk, saglabāsies līdzīgas.
Vienlaikus balstoties uz IeM sniegto informāciju prognozējams, ka 2025. gadā no jauna Latvijā būs ieradušies 6 312 Ukrainas civiliedzīvotāju, IeM prognoze 2026. gadā  - 6000. Ņemot vērā minēto, 2026. gada izdevumu plāns tiek balstīts uz iepriekšējo mēnešu izpildes tendencēm. </t>
  </si>
  <si>
    <t xml:space="preserve"> skaits</t>
  </si>
  <si>
    <t xml:space="preserve">*****Atbilstoši Iekšlietu ministrijas sniegtajai informācijai (18.06.2025. vēstule Nr.1-23/1428/25), 2025. gada pirmajos piecos mēnešos Latvijā vidēji no jauna pagaidu aizsardzības saņemšanai reģistrējās 526 Ukrainas civiliedzīvotāji; kopā šajos mēnešos no jauna reģistrējies 2631 pagaidu aizsardzības saņēmējs. Līdzīga no jauna ieceļojošo Ukrainas civiliedzīvotāju plūsma bija vērojama arī 2024. gadā. 2024. gadā Latvijā no jauna reģistrējās 6080 Ukrainas civiliedzīvotāji, savukārt 1744 personām 2024. gadā pagaidu aizsardzības statuss tika anulēts. Ņemot vērā minētos datus un pie nosacījuma, ka situācija  Ukrainā 2026. gadā saglabājas relatīvi nemainīga, var prognozēt, ka 2026. gadā Latvijā no jauna ieradīsies vismaz 6000 Ukrainas civiliedzīvotāju. Dzimuma un vecuma proporcijas 2026. gadā, visticamāk, saglabāsies līdzīgas.
Vienlaikus balstoties uz IeM sniegto informāciju prognozējams, ka 2025. gadā no jauna Latvijā būs ieradušies 6 312 Ukrainas civiliedzīvotāju, IeM prognoze 2026. gadā  - 6000. Ņemot vērā minēto, 2026. gada izdevumu plāns tiek balstīts uz 2025. gada prognozējamo izpildi. </t>
  </si>
  <si>
    <t>*Atbilstoši Iekšlietu ministrijas sniegtajai informācijai (18.06.2025. vēstule Nr.1-23/1428/25), 2025. gada pirmajos piecos mēnešos Latvijā vidēji no jauna pagaidu aizsardzības saņemšanai reģistrējās 526 Ukrainas civiliedzīvotāji; kopā šajos mēnešos no jauna reģistrējies 2631 pagaidu aizsardzības saņēmējs. Līdzīga no jauna ieceļojošo Ukrainas civiliedzīvotāju plūsma bija vērojama arī 2024. gadā. 2024. gadā Latvijā no jauna reģistrējās 6080 Ukrainas civiliedzīvotāji, savukārt 1744 personām 2024. gadā pagaidu aizsardzības statuss tika anulēts. Ņemot vērā minētos datus un pie nosacījuma, ka situācija  Ukrainā 2026. gadā saglabājas relatīvi nemainīga, var prognozēt, ka 2026. gadā Latvijā no jauna ieradīsies vismaz 6000 Ukrainas civiliedzīvotāju. Dzimuma un vecuma proporcijas 2026. gadā, visticamāk, saglabāsies līdzīgas.
Vienlaikus balstoties uz IeM sniegto informāciju prognozējams, ka 2025. gadā no jauna Latvijā būs ieradušies 6 312 Ukrainas civiliedzīvotāju, IeM prognoze 2026. gadā  - 6000. Ņemot vērā minēto, 2026. gada izdevumu plāns tiek balstīts uz iepriekšējo periodu faktisko izpildi.</t>
  </si>
  <si>
    <t>**Atbilstoši Iekšlietu ministrijas sniegtajai informācijai (18.06.2025. vēstule Nr.1-23/1428/25), 2025. gada pirmajos piecos mēnešos Latvijā vidēji no jauna pagaidu aizsardzības saņemšanai reģistrējās 526 Ukrainas civiliedzīvotāji; kopā šajos mēnešos no jauna reģistrējies 2631 pagaidu aizsardzības saņēmējs. Līdzīga no jauna ieceļojošo Ukrainas civiliedzīvotāju plūsma bija vērojama arī 2024. gadā. 2024. gadā Latvijā no jauna reģistrējās 6080 Ukrainas civiliedzīvotāji, savukārt 1744 personām 2024. gadā pagaidu aizsardzības statuss tika anulēts. Ņemot vērā minētos datus un pie nosacījuma, ka situācija  Ukrainā 2026. gadā saglabājas relatīvi nemainīga, var prognozēt, ka 2026. gadā Latvijā no jauna ieradīsies vismaz 6000 Ukrainas civiliedzīvotāju. Dzimuma un vecuma proporcijas 2026. gadā, visticamāk, saglabāsies līdzīgas.
Vienlaikus balstoties uz IeM sniegto informāciju prognozējams, ka 2025. gadā no jauna Latvijā būs ieradušies 6 312 Ukrainas civiliedzīvotāju, IeM prognoze 2026. gadā  - 6000. Ņemot vērā minēto, 2026. gada izdevumu plāns tiek balstīts uz plānotajiem izdevumiem 2025. gadā./</t>
  </si>
  <si>
    <t>2025**</t>
  </si>
  <si>
    <t>oktobris*</t>
  </si>
  <si>
    <t>novembris*</t>
  </si>
  <si>
    <t>decembris*</t>
  </si>
  <si>
    <t xml:space="preserve">*Izdevumu plāns periodam 2025. gada oktobris - 2025. gada decembris balstīts uz faktiskajiem rādītājiem vidēji mēnesī 2025. gada iepriekšējos mēnešos. </t>
  </si>
  <si>
    <t xml:space="preserve">**Norēķins par 2025. gada decembri tiks veikts 2026. gada janvārī. </t>
  </si>
  <si>
    <t>3.3.</t>
  </si>
  <si>
    <t>3.3. Virsstundu darba vai papildu darba apmaksa bāriņtiesu un pašvaldības sociālo dienestu darbiniekiem</t>
  </si>
  <si>
    <t>UCAL 13.panta pirmā prim daļa un pirmā divi prim daļa.</t>
  </si>
  <si>
    <t>8.2.</t>
  </si>
  <si>
    <t xml:space="preserve">8.2. Vienreizējā nodarbinātības vai pašnodarbinātības uzsākšanas pabalsta izmaksa vienas minimālās mēneša algas apmērā </t>
  </si>
  <si>
    <t>Nodarbinātības valsts aģentūra</t>
  </si>
  <si>
    <t>07.01.00 "Nodarbinātības valsts aģentūras darbības nodrošināšana"</t>
  </si>
  <si>
    <t>UCAL 7. panta septītā un četrpadsmitā daļa</t>
  </si>
  <si>
    <t>Lai novērtētu  nepieciešamo finansējumu pabalsta izmaksām 2026.gada sākumā pēc 2025.gada nogalē saņemtiem Ukrainas civiliedzīvotāju iesniegumiem, izmantoti dati par 2023. un 2024.gada pēdējās 8 darba dienās (tas ir, no 2023.gada 18.decembra un no 2024.gada 16.decembra līdz attiecīgā gada beigām) saņemto iesniegumu skaitu, kas ir vidēji 77 iesniegumi (2023.g.-76, 2024.g.-78).
Lai arī NVA nodrošina saņemto iesniegumu izvērtēšanu, lēmumu pieņemšanu un pabalstu izmaksu iespējami īsākajā laikā, tomēr objektīvi var nebūt iespējams gada pašā nogalē  visus saņemtos iesniegumus izvērtēt, pieņemt lēmumu un veikt pabalsta izmaksu līdz 2025.gada 30.decembrim, jo īpaši, ja nepieciešams precizēt iesniegumā norādīto informāciju.
Aprēķins:  77 iesniegumi x 740 euro = 56 980 euro.</t>
  </si>
  <si>
    <t>2.pielikuma 9.tabula</t>
  </si>
  <si>
    <t xml:space="preserve">VSAC 2022. gadā uzsāka nodrošināt pakalpojumu 140 Ukrainas civiliedzīvotājiem. Pakalpojums tiek nodrošināts VSAC piešķirtā finansējuma ietvaros. </t>
  </si>
  <si>
    <t>Detalizēti aprēķini 2. pielikuma 9.tabulā</t>
  </si>
  <si>
    <t>Atbilstoši BAC datiem, ko sniegušas bāriņtiesas par pieņemtajiem lēmumiem, kopējais bērnu skaits, kuriem nodibināta ārkārtas aizbildnība un iecelts ārkārtas aizbildnis laika posmā no 16.03.2022. līdz 30.06.2025. ir 1 527 bērni. Bērnu skaits samazinās un šobrīd (dati uz 30.06.2025.) faktiski LV uzturas 218 UA ārkārtas aizbildniecībā esoši bērni.
2024.gadā ĀAAC ir snieguši 6 sociālo darbinieku konsultācijas Ukrainas civiliedzīvotājiem 
Indikatīvais finansējuma aprēķins 2026.gadam veikts prognozējot, ka ĀAAC 2026.gadā sniegto konsultāciju skaits vidēji mēnesī nepārsniegs 2024.gadā sniegto konsultāciju skaitu vidēji mēnesī: 
Psihologa konsultācijas gadā - 2 konsult. vid. mēn. x 12 mēneši x 35.00 euro = 840.00 euro, administrēšanas izdevumi 20% 168.00 euro, kopā 1008.00 euro;                                                                                            
Sociālā darbinieka konsultācijas gadā - 2 konsult. vid. mēn. x 12 mēneši x 35 euro = 840.00 euro, administrēšanas izdevumi 20% 168.00 euro, kopā 1008.00 euro.
Kopā ar administrēšanas izdevumiem 2 016.00 euro.</t>
  </si>
  <si>
    <r>
      <t>Grozījumi Ukrainas civiliedzīvotāju atbalsta likumā (25-TA-2306) paredz no 2026. gada 1. janvār izslēgt izslēgt 1.</t>
    </r>
    <r>
      <rPr>
        <i/>
        <vertAlign val="superscript"/>
        <sz val="10"/>
        <rFont val="Times New Roman"/>
        <family val="1"/>
        <charset val="186"/>
      </rPr>
      <t>1</t>
    </r>
    <r>
      <rPr>
        <i/>
        <sz val="10"/>
        <rFont val="Times New Roman"/>
        <family val="1"/>
        <charset val="186"/>
      </rPr>
      <t xml:space="preserve"> un 1.</t>
    </r>
    <r>
      <rPr>
        <i/>
        <vertAlign val="superscript"/>
        <sz val="10"/>
        <rFont val="Times New Roman"/>
        <family val="1"/>
        <charset val="186"/>
      </rPr>
      <t>2</t>
    </r>
    <r>
      <rPr>
        <i/>
        <sz val="10"/>
        <rFont val="Times New Roman"/>
        <family val="1"/>
        <charset val="186"/>
      </rPr>
      <t xml:space="preserve"> daļu;
Finansējums iekļauts 2026. gada izdevumu plānā, lai segtu pašvaldību izdevumus par izdevumiem, kas radušies 2025. gada decembrī. </t>
    </r>
  </si>
  <si>
    <t xml:space="preserve">Grozījumi Ukrainas civiliedzīvotāju atbalsta likumā (25-TA-2306) paredz no 2026. gada 1. janvār izslēgt izslēgt 7. panta septīto un četrpadsmito daļu;
Finansējums iekļauts 2026. gada izdevumu plānā, lai segtu NVA izdevumus par izdevumiem, kas radušies 2025. gada decembrī. </t>
  </si>
  <si>
    <t>2026. gada izdevumu prognoze balstīta uz faktiskajiem atbalsta pasākumu izdevumiem līdz 2025. gada 1. oktobrim.</t>
  </si>
  <si>
    <t>*vidējās TPL vienas vienības izmaksas aprēķinātas ņemot vērā plānotās vidējās izmaksas 2025.gadā, t.i. kopumā plānots izlietot 275 545 euro un izsniegt 313 TPL vienības (275 545 euro : 313), un pamatojoties uz patēriņa cenu pieaugumu 2026. gadā par 2.3%  (https://www.fm.gov.lv/lv/tautsaimniecibas-un-budzeta-izpildes-analize) izmaksām piemērots koeficients 1.023.</t>
  </si>
  <si>
    <t>**Plānots, ka 2025. gadā tiks izsniegtas 313 TPL vienības. Progozējams, ka 2026. gadā izsniegto TPL vienību skaits saglabāsies 2025. gada līmenī.</t>
  </si>
  <si>
    <t>*** plānotie izdevumi 2026. gadā aprēķināti, pieņemot, ka 2026. gadā tiks izsniegta 313 TPL vienības, vienas vienības vidējās izmaksas 901.39 euro (rezultāts noapaļots ar 0 (nullle) zīmēm aiz komata).</t>
  </si>
  <si>
    <t>Detalizēti aprēķini 2. pielikuma 8.tabulā</t>
  </si>
  <si>
    <t>4.6.1.</t>
  </si>
  <si>
    <t>4.6. Sociālās palīdzības pabalstu un sociālās rehabilitācijas pakalpojumu nodrošināšana Ukrainas civiliedzīvotājiem*</t>
  </si>
  <si>
    <t>4.6.1. 
VARAM/ pašvaldības</t>
  </si>
  <si>
    <t>4.6.2.</t>
  </si>
  <si>
    <t>4.6.2. Vienreizējais pabalsts krīzes situācijā  pilngadīgai personai un  par katru bērnu</t>
  </si>
  <si>
    <t>4.6.1.Garantētā minimālais ienākuma (GMI)  pabalsta nodrošinšāna</t>
  </si>
  <si>
    <t>4.6.2.
VARAM/ pašvaldības</t>
  </si>
  <si>
    <t>4.6.3. 
VARAM/ pašvaldības</t>
  </si>
  <si>
    <t>4.6.3.</t>
  </si>
  <si>
    <t>4.6.3. Mājokļa pabalsts pēc aprēķina, ja ir noslēgts īres līgums</t>
  </si>
  <si>
    <t>4.6.4. Sociālās rehabilitācijas un psihosociālās rehabilitācijas pakalpojumi</t>
  </si>
  <si>
    <t>4.6.4.</t>
  </si>
  <si>
    <t>4.7. Ar ģimeni un bērna aprūpi saistīto valsts sociālo pabalstu nodrošināšana</t>
  </si>
  <si>
    <t>4.7.</t>
  </si>
  <si>
    <t>4.8. 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t>
  </si>
  <si>
    <t xml:space="preserve">4.9. Ilgstošas sociālās aprūpes un sociālās rehabilitācijas pakalpojumu sniegšana institūcijā Ukrainas civiliedzīvotājiem (pilngadīgām personām, bērniem).      </t>
  </si>
  <si>
    <t>4.10.Atbalsta sniegšana ārkārtas aizbildņiem (atlīdzība par ārkārtas aizbildņa pienākumu pildīšanu, pabalsts nepavadīta bērna uzturam un pabalsts apģērba un mīkstā inventāra iegādei)</t>
  </si>
  <si>
    <t>4.11. Ārpusģimenes aprūpes atbalsta centru pakalpojumu sniegšana ārkārtas aizbildņiem</t>
  </si>
  <si>
    <t>4.12. Atbalsta sniegšana Ukrainas civiliedzīvotājiem, kuri sasnieguši likumā "Par valsts pensijām" noteikto vecuma pensijas piešķiršanai nepieciešamo vecumu, bet kuriem nav tiesību uz vecuma pensiju Latvijas Republikā</t>
  </si>
  <si>
    <t>Viedās administrācijas un reģionālās attīstības ministrija</t>
  </si>
  <si>
    <t>Ilgstošas sociālās aprūpes un sociālās rehabilitācijas pakalpojumi bērniem (UCAL 7.panta pirmā prim un trešā daļa un 18.panta deviņpadsmitā daļa)***</t>
  </si>
  <si>
    <t>4.6.4.
LM</t>
  </si>
  <si>
    <t>Atsevišķi dzīvojošai personai (pensionāram vai invalīdam) pēc komunālo rēķinu nomaksas citu vajadzību nodrošināšanai piem.,:
1) 2024. gadā ir jāpaliek 342.50 euro (137 euro x koefic. 2.5);
2)  2025. gadā ir jāpaliek 348.60 euro (166 euro x koefic. 2.1);
3)  2026. gadā ir jāpaliek 392.60 euro (187 euro x koefic. 2.1).</t>
  </si>
  <si>
    <t>Ja vienā mājsaimniecībā dzīvo pensionārs kopā ar personu, kurai noteikta invaliditāte, tad pēc komunālo rēķinu nomaksas citu vajadzību nodrošināšanai piem.,:
1) 2024. gadā ir jāpaliek 466.00 euro (137 euro x koefic.2 + 96 euro x koefic.2 );
2) 2025. gadā ir jāpaliek 479.40 euro (166 euro x koefic.1.7 + 116 euro x koefic.1.7 );
3) 2026. gadā ir jāpaliek 540.60 euro (187 euro x koefic.1.7 + 131 euro x koefic.1.7 ).</t>
  </si>
  <si>
    <t>Ja vienā mājsaimniecībā dzīvo pensionārs kopā ar personu, kurai noteikta invaliditāte, un bērnu (3 pers), tad pēc komunālo rēķinu nomaksas citu vajadzību nodrošināšanai piem.:
1) 2024. gadā ir jāpaliek 658.00 euro (137 euro x koefic.2 + 96 euro x koefic.2 + 96 euro x koefic.2);
2) 2025. gadā ir jāpaliek 676.60 euro (166 euro x koefic.1.7 + 166 euro x koefic.1.7 + 116 euro x koefic.1.7);
3) 2026. gadā ir jāpaliek 763.30 euro (187 euro x koefic.1.7 + 187 euro x koefic.1.7 + 131 euro x koefic.1.7).</t>
  </si>
  <si>
    <t>Ja vienā mājsaimniecībā dzīvo 3 personas, piem., no kurām vismaz viens ir darbspējīgs, tad pēc komunālo rēķinu nomaksas citu vajadzību nodrošināšanai piem.,:
1) 2024. gadā ir jāpaliek 493.50 euro (137 euro x koefic.1.5 + 96 euro x koefic.1.5 + 96 euro x koefic.1.5);
2) 2025. gadā ir jāpaliek 517.40 euro (166 euro x koefic.1.3 + 116 euro x koefic.1.3 + 116 euro x koefic.1.3);
3) 2026. gadā ir jāpaliek 583.70 euro (187 euro x koefic.1.3 + 131 euro x koefic.1.3 + 131 euro x koefic.1.3).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</si>
</sst>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2" x14ac:knownFonts="1">
    <font>
      <sz val="11"/>
      <color theme="1"/>
      <name val="Calibri"/>
      <family val="2"/>
      <scheme val="minor"/>
    </font>
    <font>
      <sz val="11"/>
      <color indexed="8"/>
      <name val="Calibri"/>
      <family val="2"/>
    </font>
    <font>
      <b/>
      <sz val="9"/>
      <name val="Tahoma"/>
      <family val="2"/>
      <charset val="186"/>
    </font>
    <font>
      <sz val="9"/>
      <name val="Tahoma"/>
      <family val="2"/>
      <charset val="186"/>
    </font>
    <font>
      <sz val="11"/>
      <color rgb="FFFF0000"/>
      <name val="Calibri"/>
      <family val="2"/>
      <scheme val="minor"/>
    </font>
    <font>
      <sz val="11"/>
      <color rgb="FFFF0000"/>
      <name val="Times New Roman"/>
      <family val="1"/>
      <charset val="186"/>
    </font>
    <font>
      <sz val="10"/>
      <color rgb="FFFF0000"/>
      <name val="Times New Roman"/>
      <family val="1"/>
      <charset val="186"/>
    </font>
    <font>
      <b/>
      <sz val="11"/>
      <color rgb="FFFF0000"/>
      <name val="Times New Roman"/>
      <family val="1"/>
      <charset val="186"/>
    </font>
    <font>
      <b/>
      <sz val="10"/>
      <color rgb="FFFF0000"/>
      <name val="Times New Roman"/>
      <family val="1"/>
      <charset val="186"/>
    </font>
    <font>
      <sz val="11"/>
      <color rgb="FFFF0000"/>
      <name val="Calibri"/>
      <family val="2"/>
      <charset val="186"/>
    </font>
    <font>
      <b/>
      <sz val="9"/>
      <color rgb="FFFF0000"/>
      <name val="Times New Roman"/>
      <family val="1"/>
      <charset val="186"/>
    </font>
    <font>
      <sz val="9"/>
      <color rgb="FFFF0000"/>
      <name val="Times New Roman"/>
      <family val="1"/>
      <charset val="186"/>
    </font>
    <font>
      <sz val="11"/>
      <name val="Calibri"/>
      <family val="2"/>
      <scheme val="minor"/>
    </font>
    <font>
      <b/>
      <sz val="11"/>
      <name val="Times New Roman"/>
      <family val="1"/>
      <charset val="186"/>
    </font>
    <font>
      <sz val="11"/>
      <name val="Times New Roman"/>
      <family val="1"/>
      <charset val="186"/>
    </font>
    <font>
      <sz val="8"/>
      <name val="Times New Roman"/>
      <family val="1"/>
      <charset val="186"/>
    </font>
    <font>
      <b/>
      <sz val="8"/>
      <name val="Times New Roman"/>
      <family val="1"/>
      <charset val="186"/>
    </font>
    <font>
      <b/>
      <sz val="12"/>
      <name val="Times New Roman"/>
      <family val="1"/>
      <charset val="186"/>
    </font>
    <font>
      <sz val="12"/>
      <name val="Times New Roman"/>
      <family val="1"/>
      <charset val="186"/>
    </font>
    <font>
      <sz val="14"/>
      <name val="Times New Roman"/>
      <family val="1"/>
      <charset val="186"/>
    </font>
    <font>
      <sz val="11"/>
      <name val="Calibri"/>
      <family val="2"/>
      <charset val="186"/>
    </font>
    <font>
      <b/>
      <sz val="14"/>
      <name val="Times New Roman"/>
      <family val="1"/>
      <charset val="186"/>
    </font>
    <font>
      <b/>
      <sz val="13"/>
      <name val="Times New Roman"/>
      <family val="1"/>
      <charset val="186"/>
    </font>
    <font>
      <sz val="10"/>
      <name val="Times New Roman"/>
      <family val="1"/>
      <charset val="186"/>
    </font>
    <font>
      <b/>
      <sz val="10"/>
      <name val="Times New Roman"/>
      <family val="1"/>
      <charset val="186"/>
    </font>
    <font>
      <i/>
      <sz val="8"/>
      <name val="Times New Roman"/>
      <family val="1"/>
      <charset val="186"/>
    </font>
    <font>
      <b/>
      <i/>
      <sz val="8"/>
      <name val="Times New Roman"/>
      <family val="1"/>
      <charset val="186"/>
    </font>
    <font>
      <i/>
      <sz val="10"/>
      <name val="Times New Roman"/>
      <family val="1"/>
      <charset val="186"/>
    </font>
    <font>
      <vertAlign val="superscript"/>
      <sz val="10"/>
      <name val="Times New Roman"/>
      <family val="1"/>
      <charset val="186"/>
    </font>
    <font>
      <i/>
      <sz val="11"/>
      <name val="Times New Roman"/>
      <family val="1"/>
      <charset val="186"/>
    </font>
    <font>
      <sz val="10"/>
      <color theme="8" tint="-0.24994659260841701"/>
      <name val="Times New Roman"/>
      <family val="1"/>
      <charset val="186"/>
    </font>
    <font>
      <b/>
      <sz val="16"/>
      <name val="Times New Roman"/>
      <family val="1"/>
      <charset val="186"/>
    </font>
    <font>
      <b/>
      <sz val="9"/>
      <name val="Times New Roman"/>
      <family val="1"/>
      <charset val="186"/>
    </font>
    <font>
      <b/>
      <i/>
      <u/>
      <sz val="11"/>
      <name val="Times New Roman"/>
      <family val="1"/>
      <charset val="186"/>
    </font>
    <font>
      <i/>
      <sz val="11"/>
      <name val="Calibri"/>
      <family val="2"/>
      <charset val="186"/>
    </font>
    <font>
      <sz val="9"/>
      <name val="Times New Roman"/>
      <family val="1"/>
      <charset val="186"/>
    </font>
    <font>
      <sz val="11"/>
      <color rgb="FF0070C0"/>
      <name val="Times New Roman"/>
      <family val="1"/>
      <charset val="186"/>
    </font>
    <font>
      <sz val="10"/>
      <color rgb="FFFF0000"/>
      <name val="Calibri"/>
      <family val="2"/>
      <charset val="186"/>
      <scheme val="minor"/>
    </font>
    <font>
      <i/>
      <sz val="11"/>
      <color rgb="FFFF0000"/>
      <name val="Times New Roman"/>
      <family val="1"/>
      <charset val="186"/>
    </font>
    <font>
      <sz val="10"/>
      <color rgb="FF0070C0"/>
      <name val="Times New Roman"/>
      <family val="1"/>
      <charset val="186"/>
    </font>
    <font>
      <b/>
      <sz val="10"/>
      <color rgb="FF0070C0"/>
      <name val="Times New Roman"/>
      <family val="1"/>
      <charset val="186"/>
    </font>
    <font>
      <i/>
      <sz val="8"/>
      <color rgb="FF0070C0"/>
      <name val="Times New Roman"/>
      <family val="1"/>
      <charset val="186"/>
    </font>
    <font>
      <b/>
      <sz val="11"/>
      <color rgb="FF0070C0"/>
      <name val="Times New Roman"/>
      <family val="1"/>
      <charset val="186"/>
    </font>
    <font>
      <sz val="11"/>
      <color rgb="FF0070C0"/>
      <name val="Calibri"/>
      <family val="2"/>
      <scheme val="minor"/>
    </font>
    <font>
      <b/>
      <sz val="13"/>
      <color rgb="FF0070C0"/>
      <name val="Times New Roman"/>
      <family val="1"/>
      <charset val="186"/>
    </font>
    <font>
      <i/>
      <sz val="10"/>
      <color rgb="FF0070C0"/>
      <name val="Times New Roman"/>
      <family val="1"/>
      <charset val="186"/>
    </font>
    <font>
      <i/>
      <sz val="14"/>
      <color rgb="FF0070C0"/>
      <name val="Times New Roman"/>
      <family val="1"/>
      <charset val="186"/>
    </font>
    <font>
      <b/>
      <sz val="11"/>
      <color rgb="FFC00000"/>
      <name val="Times New Roman"/>
      <family val="1"/>
      <charset val="186"/>
    </font>
    <font>
      <i/>
      <sz val="11"/>
      <color rgb="FF0070C0"/>
      <name val="Times New Roman"/>
      <family val="1"/>
      <charset val="186"/>
    </font>
    <font>
      <i/>
      <sz val="9"/>
      <name val="Times New Roman"/>
      <family val="1"/>
      <charset val="186"/>
    </font>
    <font>
      <i/>
      <sz val="9"/>
      <color rgb="FF0070C0"/>
      <name val="Times New Roman"/>
      <family val="1"/>
      <charset val="186"/>
    </font>
    <font>
      <b/>
      <sz val="14"/>
      <color rgb="FFFF0000"/>
      <name val="Times New Roman"/>
      <family val="1"/>
      <charset val="186"/>
    </font>
    <font>
      <b/>
      <i/>
      <sz val="9"/>
      <name val="Times New Roman"/>
      <family val="1"/>
      <charset val="186"/>
    </font>
    <font>
      <b/>
      <i/>
      <sz val="11"/>
      <name val="Times New Roman"/>
      <family val="1"/>
      <charset val="186"/>
    </font>
    <font>
      <b/>
      <sz val="18"/>
      <color rgb="FFFF0000"/>
      <name val="Times New Roman"/>
      <family val="1"/>
      <charset val="186"/>
    </font>
    <font>
      <b/>
      <u/>
      <sz val="11"/>
      <name val="Times New Roman"/>
      <family val="1"/>
      <charset val="186"/>
    </font>
    <font>
      <u/>
      <sz val="11"/>
      <name val="Times New Roman"/>
      <family val="1"/>
      <charset val="186"/>
    </font>
    <font>
      <sz val="11"/>
      <color theme="1"/>
      <name val="Times New Roman"/>
      <family val="1"/>
      <charset val="186"/>
    </font>
    <font>
      <b/>
      <sz val="11"/>
      <color theme="1"/>
      <name val="Times New Roman"/>
      <family val="1"/>
      <charset val="186"/>
    </font>
    <font>
      <i/>
      <sz val="11"/>
      <color theme="1"/>
      <name val="Times New Roman"/>
      <family val="1"/>
      <charset val="186"/>
    </font>
    <font>
      <sz val="11"/>
      <color theme="4" tint="-0.24994659260841701"/>
      <name val="Times New Roman"/>
      <family val="1"/>
      <charset val="186"/>
    </font>
    <font>
      <i/>
      <sz val="7"/>
      <name val="Times New Roman"/>
      <family val="1"/>
      <charset val="186"/>
    </font>
    <font>
      <i/>
      <sz val="7"/>
      <color rgb="FF0070C0"/>
      <name val="Times New Roman"/>
      <family val="1"/>
      <charset val="186"/>
    </font>
    <font>
      <sz val="10"/>
      <color theme="1"/>
      <name val="Times New Roman"/>
      <family val="1"/>
      <charset val="186"/>
    </font>
    <font>
      <i/>
      <vertAlign val="superscript"/>
      <sz val="10"/>
      <name val="Times New Roman"/>
      <family val="1"/>
      <charset val="186"/>
    </font>
    <font>
      <vertAlign val="superscript"/>
      <sz val="8"/>
      <name val="Times New Roman"/>
      <family val="1"/>
      <charset val="186"/>
    </font>
    <font>
      <sz val="11"/>
      <color theme="1"/>
      <name val="Calibri"/>
      <family val="2"/>
      <scheme val="minor"/>
    </font>
    <font>
      <sz val="8"/>
      <color rgb="FFFF0000"/>
      <name val="Times New Roman"/>
      <family val="1"/>
      <charset val="186"/>
    </font>
    <font>
      <b/>
      <i/>
      <sz val="8"/>
      <color rgb="FF0070C0"/>
      <name val="Times New Roman"/>
      <family val="1"/>
      <charset val="186"/>
    </font>
    <font>
      <sz val="8"/>
      <color rgb="FF0070C0"/>
      <name val="Times New Roman"/>
      <family val="1"/>
      <charset val="186"/>
    </font>
    <font>
      <b/>
      <sz val="12"/>
      <color rgb="FFFF0000"/>
      <name val="Calibri"/>
      <family val="2"/>
      <charset val="186"/>
      <scheme val="minor"/>
    </font>
    <font>
      <sz val="12"/>
      <name val="Calibri"/>
      <family val="2"/>
      <scheme val="minor"/>
    </font>
  </fonts>
  <fills count="21">
    <fill>
      <patternFill patternType="none"/>
    </fill>
    <fill>
      <patternFill patternType="gray125"/>
    </fill>
    <fill>
      <patternFill patternType="solid">
        <fgColor theme="0" tint="-4.9897762993255407E-2"/>
        <bgColor indexed="64"/>
      </patternFill>
    </fill>
    <fill>
      <patternFill patternType="solid">
        <fgColor theme="5" tint="0.79989013336588644"/>
        <bgColor indexed="64"/>
      </patternFill>
    </fill>
    <fill>
      <patternFill patternType="solid">
        <fgColor theme="0"/>
        <bgColor indexed="64"/>
      </patternFill>
    </fill>
    <fill>
      <patternFill patternType="solid">
        <fgColor indexed="9"/>
        <bgColor indexed="64"/>
      </patternFill>
    </fill>
    <fill>
      <patternFill patternType="solid">
        <fgColor theme="0" tint="-0.14990691854609822"/>
        <bgColor indexed="64"/>
      </patternFill>
    </fill>
    <fill>
      <patternFill patternType="solid">
        <fgColor theme="0" tint="-4.992828150273141E-2"/>
        <bgColor indexed="64"/>
      </patternFill>
    </fill>
    <fill>
      <patternFill patternType="solid">
        <fgColor theme="6" tint="0.79989013336588644"/>
        <bgColor indexed="64"/>
      </patternFill>
    </fill>
    <fill>
      <patternFill patternType="solid">
        <fgColor theme="0" tint="-0.14993743705557422"/>
        <bgColor indexed="64"/>
      </patternFill>
    </fill>
    <fill>
      <patternFill patternType="solid">
        <fgColor rgb="FFD9E1F2"/>
        <bgColor indexed="64"/>
      </patternFill>
    </fill>
    <fill>
      <patternFill patternType="solid">
        <fgColor theme="4" tint="0.79995117038483843"/>
        <bgColor indexed="64"/>
      </patternFill>
    </fill>
    <fill>
      <patternFill patternType="solid">
        <fgColor theme="4" tint="0.79989013336588644"/>
        <bgColor indexed="64"/>
      </patternFill>
    </fill>
    <fill>
      <patternFill patternType="solid">
        <fgColor theme="8" tint="0.59996337778862885"/>
        <bgColor indexed="64"/>
      </patternFill>
    </fill>
    <fill>
      <patternFill patternType="solid">
        <fgColor theme="0" tint="-4.9958800012207406E-2"/>
        <bgColor indexed="64"/>
      </patternFill>
    </fill>
    <fill>
      <patternFill patternType="solid">
        <fgColor theme="4" tint="0.59996337778862885"/>
        <bgColor indexed="64"/>
      </patternFill>
    </fill>
    <fill>
      <patternFill patternType="solid">
        <fgColor theme="5" tint="0.59990234076967686"/>
        <bgColor indexed="64"/>
      </patternFill>
    </fill>
    <fill>
      <patternFill patternType="solid">
        <fgColor theme="0" tint="-4.9989318521683403E-2"/>
        <bgColor indexed="64"/>
      </patternFill>
    </fill>
    <fill>
      <patternFill patternType="solid">
        <fgColor theme="5" tint="0.59993285927915285"/>
        <bgColor indexed="64"/>
      </patternFill>
    </fill>
    <fill>
      <patternFill patternType="solid">
        <fgColor theme="4" tint="0.79998168889431442"/>
        <bgColor indexed="64"/>
      </patternFill>
    </fill>
    <fill>
      <patternFill patternType="solid">
        <fgColor theme="8" tint="0.79998168889431442"/>
        <bgColor indexed="64"/>
      </patternFill>
    </fill>
  </fills>
  <borders count="189">
    <border>
      <left/>
      <right/>
      <top/>
      <bottom/>
      <diagonal/>
    </border>
    <border>
      <left style="medium">
        <color auto="1"/>
      </left>
      <right style="medium">
        <color auto="1"/>
      </right>
      <top style="medium">
        <color auto="1"/>
      </top>
      <bottom style="medium">
        <color auto="1"/>
      </bottom>
      <diagonal/>
    </border>
    <border>
      <left/>
      <right style="medium">
        <color auto="1"/>
      </right>
      <top/>
      <bottom/>
      <diagonal/>
    </border>
    <border>
      <left style="medium">
        <color auto="1"/>
      </left>
      <right style="thin">
        <color indexed="8"/>
      </right>
      <top/>
      <bottom/>
      <diagonal/>
    </border>
    <border>
      <left style="thin">
        <color indexed="8"/>
      </left>
      <right style="medium">
        <color auto="1"/>
      </right>
      <top/>
      <bottom/>
      <diagonal/>
    </border>
    <border>
      <left/>
      <right style="thin">
        <color indexed="8"/>
      </right>
      <top/>
      <bottom/>
      <diagonal/>
    </border>
    <border>
      <left/>
      <right style="medium">
        <color auto="1"/>
      </right>
      <top style="thin">
        <color auto="1"/>
      </top>
      <bottom/>
      <diagonal/>
    </border>
    <border>
      <left/>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top/>
      <bottom/>
      <diagonal/>
    </border>
    <border>
      <left style="medium">
        <color auto="1"/>
      </left>
      <right style="medium">
        <color auto="1"/>
      </right>
      <top/>
      <bottom/>
      <diagonal/>
    </border>
    <border>
      <left style="medium">
        <color auto="1"/>
      </left>
      <right/>
      <top style="thin">
        <color indexed="8"/>
      </top>
      <bottom style="thin">
        <color indexed="8"/>
      </bottom>
      <diagonal/>
    </border>
    <border>
      <left style="medium">
        <color auto="1"/>
      </left>
      <right style="thin">
        <color indexed="8"/>
      </right>
      <top style="thin">
        <color indexed="8"/>
      </top>
      <bottom style="thin">
        <color indexed="8"/>
      </bottom>
      <diagonal/>
    </border>
    <border>
      <left style="thin">
        <color indexed="8"/>
      </left>
      <right style="medium">
        <color auto="1"/>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medium">
        <color auto="1"/>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auto="1"/>
      </left>
      <right/>
      <top style="thin">
        <color indexed="8"/>
      </top>
      <bottom style="medium">
        <color auto="1"/>
      </bottom>
      <diagonal/>
    </border>
    <border>
      <left style="medium">
        <color auto="1"/>
      </left>
      <right style="thin">
        <color indexed="8"/>
      </right>
      <top style="thin">
        <color indexed="8"/>
      </top>
      <bottom style="medium">
        <color auto="1"/>
      </bottom>
      <diagonal/>
    </border>
    <border>
      <left style="thin">
        <color indexed="8"/>
      </left>
      <right style="medium">
        <color auto="1"/>
      </right>
      <top style="thin">
        <color indexed="8"/>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bottom style="thin">
        <color indexed="8"/>
      </bottom>
      <diagonal/>
    </border>
    <border>
      <left style="medium">
        <color auto="1"/>
      </left>
      <right style="thin">
        <color indexed="8"/>
      </right>
      <top/>
      <bottom style="thin">
        <color indexed="8"/>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indexed="8"/>
      </top>
      <bottom style="thin">
        <color indexed="8"/>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8"/>
      </bottom>
      <diagonal/>
    </border>
    <border>
      <left style="medium">
        <color auto="1"/>
      </left>
      <right style="thin">
        <color auto="1"/>
      </right>
      <top style="thin">
        <color auto="1"/>
      </top>
      <bottom style="thin">
        <color auto="1"/>
      </bottom>
      <diagonal/>
    </border>
    <border>
      <left style="medium">
        <color auto="1"/>
      </left>
      <right/>
      <top style="thin">
        <color indexed="8"/>
      </top>
      <bottom/>
      <diagonal/>
    </border>
    <border>
      <left style="medium">
        <color auto="1"/>
      </left>
      <right style="thin">
        <color indexed="8"/>
      </right>
      <top style="thin">
        <color indexed="8"/>
      </top>
      <bottom/>
      <diagonal/>
    </border>
    <border>
      <left style="thin">
        <color indexed="8"/>
      </left>
      <right style="medium">
        <color auto="1"/>
      </right>
      <top style="thin">
        <color indexed="8"/>
      </top>
      <bottom/>
      <diagonal/>
    </border>
    <border>
      <left style="thin">
        <color auto="1"/>
      </left>
      <right/>
      <top style="thin">
        <color auto="1"/>
      </top>
      <bottom/>
      <diagonal/>
    </border>
    <border>
      <left style="medium">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dotted">
        <color auto="1"/>
      </left>
      <right/>
      <top style="thin">
        <color auto="1"/>
      </top>
      <bottom style="thin">
        <color auto="1"/>
      </bottom>
      <diagonal/>
    </border>
    <border>
      <left/>
      <right style="dotted">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top/>
      <bottom/>
      <diagonal/>
    </border>
    <border>
      <left style="thin">
        <color auto="1"/>
      </left>
      <right style="dotted">
        <color auto="1"/>
      </right>
      <top style="thin">
        <color auto="1"/>
      </top>
      <bottom style="medium">
        <color auto="1"/>
      </bottom>
      <diagonal/>
    </border>
    <border>
      <left/>
      <right style="dotted">
        <color auto="1"/>
      </right>
      <top style="thin">
        <color auto="1"/>
      </top>
      <bottom style="medium">
        <color auto="1"/>
      </bottom>
      <diagonal/>
    </border>
    <border>
      <left style="dotted">
        <color auto="1"/>
      </left>
      <right style="thin">
        <color auto="1"/>
      </right>
      <top style="thin">
        <color auto="1"/>
      </top>
      <bottom style="medium">
        <color auto="1"/>
      </bottom>
      <diagonal/>
    </border>
    <border>
      <left/>
      <right style="thin">
        <color auto="1"/>
      </right>
      <top style="medium">
        <color auto="1"/>
      </top>
      <bottom style="medium">
        <color auto="1"/>
      </bottom>
      <diagonal/>
    </border>
    <border>
      <left style="thin">
        <color auto="1"/>
      </left>
      <right style="dotted">
        <color auto="1"/>
      </right>
      <top/>
      <bottom style="medium">
        <color auto="1"/>
      </bottom>
      <diagonal/>
    </border>
    <border>
      <left style="dotted">
        <color auto="1"/>
      </left>
      <right style="thin">
        <color auto="1"/>
      </right>
      <top/>
      <bottom style="medium">
        <color auto="1"/>
      </bottom>
      <diagonal/>
    </border>
    <border>
      <left/>
      <right style="dotted">
        <color auto="1"/>
      </right>
      <top/>
      <bottom style="medium">
        <color auto="1"/>
      </bottom>
      <diagonal/>
    </border>
    <border>
      <left style="dotted">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style="thin">
        <color indexed="8"/>
      </bottom>
      <diagonal/>
    </border>
    <border>
      <left/>
      <right/>
      <top style="thin">
        <color indexed="8"/>
      </top>
      <bottom style="thin">
        <color indexed="8"/>
      </bottom>
      <diagonal/>
    </border>
    <border>
      <left style="medium">
        <color auto="1"/>
      </left>
      <right style="medium">
        <color auto="1"/>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indexed="8"/>
      </left>
      <right style="medium">
        <color auto="1"/>
      </right>
      <top style="medium">
        <color auto="1"/>
      </top>
      <bottom style="thin">
        <color indexed="8"/>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right style="thin">
        <color indexed="8"/>
      </right>
      <top style="thin">
        <color indexed="8"/>
      </top>
      <bottom style="medium">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top style="thin">
        <color auto="1"/>
      </top>
      <bottom/>
      <diagonal/>
    </border>
    <border>
      <left/>
      <right/>
      <top style="medium">
        <color auto="1"/>
      </top>
      <bottom/>
      <diagonal/>
    </border>
    <border>
      <left style="thin">
        <color indexed="8"/>
      </left>
      <right/>
      <top style="thin">
        <color indexed="8"/>
      </top>
      <bottom/>
      <diagonal/>
    </border>
    <border>
      <left style="thin">
        <color auto="1"/>
      </left>
      <right style="dotted">
        <color auto="1"/>
      </right>
      <top style="thin">
        <color auto="1"/>
      </top>
      <bottom/>
      <diagonal/>
    </border>
    <border>
      <left style="dotted">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dotted">
        <color auto="1"/>
      </right>
      <top/>
      <bottom style="thin">
        <color auto="1"/>
      </bottom>
      <diagonal/>
    </border>
    <border>
      <left style="dotted">
        <color auto="1"/>
      </left>
      <right style="thin">
        <color auto="1"/>
      </right>
      <top/>
      <bottom style="thin">
        <color auto="1"/>
      </bottom>
      <diagonal/>
    </border>
    <border>
      <left style="thin">
        <color auto="1"/>
      </left>
      <right style="medium">
        <color auto="1"/>
      </right>
      <top/>
      <bottom style="medium">
        <color auto="1"/>
      </bottom>
      <diagonal/>
    </border>
    <border>
      <left style="thin">
        <color auto="1"/>
      </left>
      <right style="dotted">
        <color auto="1"/>
      </right>
      <top style="medium">
        <color auto="1"/>
      </top>
      <bottom style="thin">
        <color auto="1"/>
      </bottom>
      <diagonal/>
    </border>
    <border>
      <left style="dotted">
        <color auto="1"/>
      </left>
      <right style="thin">
        <color auto="1"/>
      </right>
      <top style="medium">
        <color auto="1"/>
      </top>
      <bottom style="thin">
        <color auto="1"/>
      </bottom>
      <diagonal/>
    </border>
    <border>
      <left style="medium">
        <color auto="1"/>
      </left>
      <right style="medium">
        <color auto="1"/>
      </right>
      <top style="thin">
        <color indexed="8"/>
      </top>
      <bottom style="medium">
        <color auto="1"/>
      </bottom>
      <diagonal/>
    </border>
    <border>
      <left/>
      <right/>
      <top style="thin">
        <color indexed="8"/>
      </top>
      <bottom style="medium">
        <color auto="1"/>
      </bottom>
      <diagonal/>
    </border>
    <border>
      <left style="thin">
        <color rgb="FFA6A6A6"/>
      </left>
      <right style="thin">
        <color rgb="FFA6A6A6"/>
      </right>
      <top style="thin">
        <color rgb="FFA6A6A6"/>
      </top>
      <bottom style="thin">
        <color rgb="FFA6A6A6"/>
      </bottom>
      <diagonal/>
    </border>
    <border>
      <left style="dotted">
        <color auto="1"/>
      </left>
      <right style="medium">
        <color auto="1"/>
      </right>
      <top style="thin">
        <color auto="1"/>
      </top>
      <bottom style="thin">
        <color auto="1"/>
      </bottom>
      <diagonal/>
    </border>
    <border>
      <left style="dotted">
        <color auto="1"/>
      </left>
      <right style="medium">
        <color auto="1"/>
      </right>
      <top style="thin">
        <color auto="1"/>
      </top>
      <bottom style="medium">
        <color auto="1"/>
      </bottom>
      <diagonal/>
    </border>
    <border>
      <left style="dotted">
        <color auto="1"/>
      </left>
      <right style="medium">
        <color auto="1"/>
      </right>
      <top/>
      <bottom style="medium">
        <color auto="1"/>
      </bottom>
      <diagonal/>
    </border>
    <border>
      <left style="thin">
        <color rgb="FFA6A6A6"/>
      </left>
      <right style="thin">
        <color rgb="FFA6A6A6"/>
      </right>
      <top style="thin">
        <color rgb="FFA6A6A6"/>
      </top>
      <bottom style="medium">
        <color auto="1"/>
      </bottom>
      <diagonal/>
    </border>
    <border>
      <left/>
      <right/>
      <top/>
      <bottom style="thin">
        <color auto="1"/>
      </bottom>
      <diagonal/>
    </border>
    <border>
      <left style="thin">
        <color rgb="FFA6A6A6"/>
      </left>
      <right style="thin">
        <color rgb="FFA6A6A6"/>
      </right>
      <top style="thin">
        <color rgb="FFA6A6A6"/>
      </top>
      <bottom/>
      <diagonal/>
    </border>
    <border>
      <left style="thin">
        <color rgb="FFA6A6A6"/>
      </left>
      <right style="thin">
        <color rgb="FFA6A6A6"/>
      </right>
      <top style="thin">
        <color rgb="FFA6A6A6"/>
      </top>
      <bottom style="dotted">
        <color auto="1"/>
      </bottom>
      <diagonal/>
    </border>
    <border>
      <left style="thin">
        <color rgb="FFA6A6A6"/>
      </left>
      <right style="medium">
        <color auto="1"/>
      </right>
      <top style="thin">
        <color rgb="FFA6A6A6"/>
      </top>
      <bottom style="thin">
        <color rgb="FFA6A6A6"/>
      </bottom>
      <diagonal/>
    </border>
    <border>
      <left style="dotted">
        <color auto="1"/>
      </left>
      <right style="medium">
        <color auto="1"/>
      </right>
      <top style="thin">
        <color auto="1"/>
      </top>
      <bottom/>
      <diagonal/>
    </border>
    <border>
      <left style="thin">
        <color auto="1"/>
      </left>
      <right style="dotted">
        <color auto="1"/>
      </right>
      <top style="medium">
        <color auto="1"/>
      </top>
      <bottom style="medium">
        <color auto="1"/>
      </bottom>
      <diagonal/>
    </border>
    <border>
      <left style="dotted">
        <color auto="1"/>
      </left>
      <right style="thin">
        <color auto="1"/>
      </right>
      <top style="medium">
        <color auto="1"/>
      </top>
      <bottom style="medium">
        <color auto="1"/>
      </bottom>
      <diagonal/>
    </border>
    <border>
      <left/>
      <right style="dotted">
        <color auto="1"/>
      </right>
      <top style="medium">
        <color auto="1"/>
      </top>
      <bottom style="medium">
        <color auto="1"/>
      </bottom>
      <diagonal/>
    </border>
    <border>
      <left style="dotted">
        <color auto="1"/>
      </left>
      <right/>
      <top style="medium">
        <color auto="1"/>
      </top>
      <bottom style="medium">
        <color auto="1"/>
      </bottom>
      <diagonal/>
    </border>
    <border>
      <left style="dotted">
        <color auto="1"/>
      </left>
      <right style="medium">
        <color auto="1"/>
      </right>
      <top style="medium">
        <color auto="1"/>
      </top>
      <bottom style="medium">
        <color auto="1"/>
      </bottom>
      <diagonal/>
    </border>
    <border>
      <left style="dotted">
        <color auto="1"/>
      </left>
      <right/>
      <top style="thin">
        <color auto="1"/>
      </top>
      <bottom style="medium">
        <color auto="1"/>
      </bottom>
      <diagonal/>
    </border>
    <border>
      <left style="thin">
        <color rgb="FFA6A6A6"/>
      </left>
      <right style="medium">
        <color auto="1"/>
      </right>
      <top style="thin">
        <color rgb="FFA6A6A6"/>
      </top>
      <bottom/>
      <diagonal/>
    </border>
    <border>
      <left style="medium">
        <color auto="1"/>
      </left>
      <right/>
      <top style="medium">
        <color auto="1"/>
      </top>
      <bottom/>
      <diagonal/>
    </border>
    <border>
      <left style="medium">
        <color auto="1"/>
      </left>
      <right/>
      <top/>
      <bottom style="medium">
        <color auto="1"/>
      </bottom>
      <diagonal/>
    </border>
    <border>
      <left style="medium">
        <color auto="1"/>
      </left>
      <right/>
      <top style="dotted">
        <color auto="1"/>
      </top>
      <bottom/>
      <diagonal/>
    </border>
    <border>
      <left style="medium">
        <color auto="1"/>
      </left>
      <right/>
      <top/>
      <bottom style="dotted">
        <color auto="1"/>
      </bottom>
      <diagonal/>
    </border>
    <border>
      <left/>
      <right style="medium">
        <color auto="1"/>
      </right>
      <top style="medium">
        <color auto="1"/>
      </top>
      <bottom/>
      <diagonal/>
    </border>
    <border>
      <left style="thin">
        <color rgb="FFA6A6A6"/>
      </left>
      <right style="thin">
        <color rgb="FFA6A6A6"/>
      </right>
      <top/>
      <bottom style="thin">
        <color rgb="FFA6A6A6"/>
      </bottom>
      <diagonal/>
    </border>
    <border>
      <left style="thin">
        <color rgb="FFA6A6A6"/>
      </left>
      <right style="medium">
        <color auto="1"/>
      </right>
      <top/>
      <bottom style="thin">
        <color rgb="FFA6A6A6"/>
      </bottom>
      <diagonal/>
    </border>
    <border>
      <left style="thin">
        <color rgb="FFA6A6A6"/>
      </left>
      <right style="medium">
        <color auto="1"/>
      </right>
      <top/>
      <bottom/>
      <diagonal/>
    </border>
    <border>
      <left style="thin">
        <color rgb="FFA6A6A6"/>
      </left>
      <right/>
      <top style="medium">
        <color auto="1"/>
      </top>
      <bottom/>
      <diagonal/>
    </border>
    <border>
      <left style="thin">
        <color rgb="FFA6A6A6"/>
      </left>
      <right style="medium">
        <color auto="1"/>
      </right>
      <top/>
      <bottom style="medium">
        <color auto="1"/>
      </bottom>
      <diagonal/>
    </border>
    <border>
      <left/>
      <right/>
      <top/>
      <bottom style="thin">
        <color rgb="FFA6A6A6"/>
      </bottom>
      <diagonal/>
    </border>
    <border>
      <left/>
      <right style="medium">
        <color auto="1"/>
      </right>
      <top/>
      <bottom style="thin">
        <color rgb="FFA6A6A6"/>
      </bottom>
      <diagonal/>
    </border>
    <border>
      <left style="thin">
        <color rgb="FFA6A6A6"/>
      </left>
      <right/>
      <top style="thin">
        <color rgb="FFA6A6A6"/>
      </top>
      <bottom style="thin">
        <color rgb="FFA6A6A6"/>
      </bottom>
      <diagonal/>
    </border>
    <border>
      <left/>
      <right style="thin">
        <color rgb="FFA6A6A6"/>
      </right>
      <top style="thin">
        <color rgb="FFA6A6A6"/>
      </top>
      <bottom style="thin">
        <color rgb="FFA6A6A6"/>
      </bottom>
      <diagonal/>
    </border>
    <border>
      <left/>
      <right/>
      <top style="thin">
        <color rgb="FFA6A6A6"/>
      </top>
      <bottom style="medium">
        <color auto="1"/>
      </bottom>
      <diagonal/>
    </border>
    <border>
      <left/>
      <right style="medium">
        <color auto="1"/>
      </right>
      <top style="thin">
        <color rgb="FFA6A6A6"/>
      </top>
      <bottom style="medium">
        <color auto="1"/>
      </bottom>
      <diagonal/>
    </border>
    <border>
      <left style="thin">
        <color rgb="FFA6A6A6"/>
      </left>
      <right/>
      <top style="dotted">
        <color auto="1"/>
      </top>
      <bottom/>
      <diagonal/>
    </border>
    <border>
      <left/>
      <right/>
      <top style="dotted">
        <color auto="1"/>
      </top>
      <bottom/>
      <diagonal/>
    </border>
    <border>
      <left/>
      <right style="medium">
        <color auto="1"/>
      </right>
      <top style="dotted">
        <color auto="1"/>
      </top>
      <bottom/>
      <diagonal/>
    </border>
    <border>
      <left/>
      <right/>
      <top style="thin">
        <color rgb="FFA6A6A6"/>
      </top>
      <bottom style="thin">
        <color rgb="FFA6A6A6"/>
      </bottom>
      <diagonal/>
    </border>
    <border>
      <left/>
      <right style="medium">
        <color auto="1"/>
      </right>
      <top style="thin">
        <color rgb="FFA6A6A6"/>
      </top>
      <bottom style="thin">
        <color rgb="FFA6A6A6"/>
      </bottom>
      <diagonal/>
    </border>
    <border>
      <left style="thin">
        <color rgb="FFA6A6A6"/>
      </left>
      <right/>
      <top style="thin">
        <color rgb="FFA6A6A6"/>
      </top>
      <bottom style="medium">
        <color auto="1"/>
      </bottom>
      <diagonal/>
    </border>
    <border>
      <left style="thin">
        <color rgb="FFA6A6A6"/>
      </left>
      <right style="medium">
        <color auto="1"/>
      </right>
      <top/>
      <bottom style="dotted">
        <color auto="1"/>
      </bottom>
      <diagonal/>
    </border>
    <border>
      <left style="thin">
        <color indexed="8"/>
      </left>
      <right style="medium">
        <color auto="1"/>
      </right>
      <top/>
      <bottom style="thin">
        <color indexed="8"/>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thin">
        <color indexed="8"/>
      </bottom>
      <diagonal/>
    </border>
    <border>
      <left style="thin">
        <color indexed="8"/>
      </left>
      <right style="medium">
        <color auto="1"/>
      </right>
      <top/>
      <bottom style="thin">
        <color auto="1"/>
      </bottom>
      <diagonal/>
    </border>
    <border>
      <left style="medium">
        <color auto="1"/>
      </left>
      <right style="thin">
        <color indexed="8"/>
      </right>
      <top/>
      <bottom style="thin">
        <color auto="1"/>
      </bottom>
      <diagonal/>
    </border>
    <border>
      <left style="medium">
        <color auto="1"/>
      </left>
      <right style="medium">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indexed="8"/>
      </bottom>
      <diagonal/>
    </border>
    <border>
      <left/>
      <right style="medium">
        <color auto="1"/>
      </right>
      <top style="thin">
        <color auto="1"/>
      </top>
      <bottom style="thin">
        <color indexed="8"/>
      </bottom>
      <diagonal/>
    </border>
    <border>
      <left style="medium">
        <color auto="1"/>
      </left>
      <right/>
      <top style="thin">
        <color auto="1"/>
      </top>
      <bottom/>
      <diagonal/>
    </border>
    <border>
      <left/>
      <right/>
      <top style="thin">
        <color auto="1"/>
      </top>
      <bottom style="thin">
        <color indexed="8"/>
      </bottom>
      <diagonal/>
    </border>
    <border>
      <left/>
      <right style="medium">
        <color auto="1"/>
      </right>
      <top style="thin">
        <color indexed="8"/>
      </top>
      <bottom style="medium">
        <color auto="1"/>
      </bottom>
      <diagonal/>
    </border>
    <border>
      <left/>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top style="thin">
        <color auto="1"/>
      </top>
      <bottom style="medium">
        <color auto="1"/>
      </bottom>
      <diagonal/>
    </border>
    <border>
      <left/>
      <right style="thin">
        <color auto="1"/>
      </right>
      <top style="medium">
        <color auto="1"/>
      </top>
      <bottom/>
      <diagonal/>
    </border>
    <border>
      <left/>
      <right style="thin">
        <color auto="1"/>
      </right>
      <top/>
      <bottom/>
      <diagonal/>
    </border>
    <border>
      <left style="medium">
        <color auto="1"/>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dotted">
        <color auto="1"/>
      </left>
      <right/>
      <top style="thin">
        <color auto="1"/>
      </top>
      <bottom style="thin">
        <color auto="1"/>
      </bottom>
      <diagonal/>
    </border>
    <border>
      <left style="thin">
        <color indexed="64"/>
      </left>
      <right/>
      <top style="thin">
        <color indexed="64"/>
      </top>
      <bottom style="thin">
        <color indexed="64"/>
      </bottom>
      <diagonal/>
    </border>
    <border>
      <left style="dotted">
        <color auto="1"/>
      </left>
      <right/>
      <top style="thin">
        <color auto="1"/>
      </top>
      <bottom style="thin">
        <color auto="1"/>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tted">
        <color auto="1"/>
      </left>
      <right style="medium">
        <color indexed="64"/>
      </right>
      <top style="thin">
        <color indexed="64"/>
      </top>
      <bottom style="thin">
        <color indexed="64"/>
      </bottom>
      <diagonal/>
    </border>
    <border>
      <left style="medium">
        <color indexed="64"/>
      </left>
      <right style="dotted">
        <color auto="1"/>
      </right>
      <top style="thin">
        <color indexed="64"/>
      </top>
      <bottom style="thin">
        <color indexed="64"/>
      </bottom>
      <diagonal/>
    </border>
    <border>
      <left style="medium">
        <color indexed="64"/>
      </left>
      <right style="dotted">
        <color auto="1"/>
      </right>
      <top style="thin">
        <color indexed="64"/>
      </top>
      <bottom style="medium">
        <color indexed="64"/>
      </bottom>
      <diagonal/>
    </border>
    <border>
      <left style="dotted">
        <color auto="1"/>
      </left>
      <right style="medium">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dotted">
        <color auto="1"/>
      </right>
      <top style="thin">
        <color auto="1"/>
      </top>
      <bottom style="medium">
        <color indexed="64"/>
      </bottom>
      <diagonal/>
    </border>
    <border>
      <left style="dotted">
        <color auto="1"/>
      </left>
      <right style="thin">
        <color auto="1"/>
      </right>
      <top style="thin">
        <color auto="1"/>
      </top>
      <bottom style="medium">
        <color indexed="64"/>
      </bottom>
      <diagonal/>
    </border>
    <border>
      <left/>
      <right style="thin">
        <color rgb="FFA6A6A6"/>
      </right>
      <top style="thin">
        <color rgb="FFA6A6A6"/>
      </top>
      <bottom style="medium">
        <color auto="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style="medium">
        <color auto="1"/>
      </top>
      <bottom/>
      <diagonal/>
    </border>
    <border>
      <left style="thin">
        <color theme="0" tint="-0.14996795556505021"/>
      </left>
      <right style="thin">
        <color theme="0" tint="-0.14996795556505021"/>
      </right>
      <top style="thin">
        <color theme="0" tint="-0.14993743705557422"/>
      </top>
      <bottom/>
      <diagonal/>
    </border>
    <border>
      <left style="thin">
        <color theme="0" tint="-0.14996795556505021"/>
      </left>
      <right style="thin">
        <color theme="0" tint="-0.14996795556505021"/>
      </right>
      <top style="thin">
        <color theme="0" tint="-0.14993743705557422"/>
      </top>
      <bottom style="thin">
        <color theme="0" tint="-0.14993743705557422"/>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s>
  <cellStyleXfs count="5">
    <xf numFmtId="0" fontId="0" fillId="0" borderId="0"/>
    <xf numFmtId="9" fontId="66" fillId="0" borderId="0" applyFont="0" applyFill="0" applyBorder="0" applyAlignment="0" applyProtection="0"/>
    <xf numFmtId="0" fontId="1" fillId="0" borderId="0"/>
    <xf numFmtId="0" fontId="1" fillId="0" borderId="0"/>
    <xf numFmtId="0" fontId="1" fillId="0" borderId="0"/>
  </cellStyleXfs>
  <cellXfs count="1227">
    <xf numFmtId="0" fontId="0" fillId="0" borderId="0" xfId="0"/>
    <xf numFmtId="0" fontId="4" fillId="0" borderId="0" xfId="0" applyFont="1"/>
    <xf numFmtId="2" fontId="4" fillId="0" borderId="0" xfId="0" applyNumberFormat="1" applyFont="1"/>
    <xf numFmtId="0" fontId="5" fillId="0" borderId="0" xfId="0" applyFont="1"/>
    <xf numFmtId="0" fontId="9" fillId="0" borderId="0" xfId="3" applyFont="1" applyAlignment="1">
      <alignment vertical="center"/>
    </xf>
    <xf numFmtId="3" fontId="4" fillId="0" borderId="0" xfId="0" applyNumberFormat="1" applyFont="1"/>
    <xf numFmtId="3" fontId="5" fillId="0" borderId="0" xfId="0" applyNumberFormat="1" applyFont="1"/>
    <xf numFmtId="0" fontId="5" fillId="0" borderId="0" xfId="0" applyFont="1" applyAlignment="1">
      <alignment vertical="top"/>
    </xf>
    <xf numFmtId="3" fontId="5" fillId="0" borderId="0" xfId="0" applyNumberFormat="1" applyFont="1" applyAlignment="1">
      <alignment vertical="top"/>
    </xf>
    <xf numFmtId="3" fontId="7" fillId="0" borderId="0" xfId="0" applyNumberFormat="1" applyFont="1" applyAlignment="1">
      <alignment vertical="top"/>
    </xf>
    <xf numFmtId="0" fontId="5" fillId="0" borderId="0" xfId="0" applyFont="1" applyAlignment="1"/>
    <xf numFmtId="0" fontId="5" fillId="0" borderId="0" xfId="0" applyFont="1" applyAlignment="1">
      <alignment horizontal="right" vertical="top"/>
    </xf>
    <xf numFmtId="49" fontId="8" fillId="0" borderId="0" xfId="2" applyNumberFormat="1" applyFont="1" applyBorder="1" applyAlignment="1">
      <alignment vertical="center" wrapText="1"/>
    </xf>
    <xf numFmtId="0" fontId="8" fillId="0" borderId="0" xfId="4" applyFont="1" applyFill="1" applyBorder="1" applyAlignment="1">
      <alignment horizontal="right" vertical="center" wrapText="1"/>
    </xf>
    <xf numFmtId="3" fontId="8" fillId="0" borderId="0" xfId="4" applyNumberFormat="1" applyFont="1" applyFill="1" applyBorder="1" applyAlignment="1">
      <alignment horizontal="center" vertical="center"/>
    </xf>
    <xf numFmtId="0" fontId="7" fillId="0" borderId="0" xfId="0" applyFont="1"/>
    <xf numFmtId="4" fontId="7" fillId="0" borderId="0" xfId="0" applyNumberFormat="1" applyFont="1" applyAlignment="1">
      <alignment vertical="top"/>
    </xf>
    <xf numFmtId="0" fontId="7" fillId="0" borderId="0" xfId="0" applyFont="1" applyAlignment="1">
      <alignment vertical="top"/>
    </xf>
    <xf numFmtId="0" fontId="10" fillId="0" borderId="0" xfId="0" applyFont="1"/>
    <xf numFmtId="49" fontId="5" fillId="0" borderId="0" xfId="0" applyNumberFormat="1" applyFont="1"/>
    <xf numFmtId="0" fontId="6" fillId="2" borderId="1" xfId="4" applyFont="1" applyFill="1" applyBorder="1" applyAlignment="1">
      <alignment horizontal="left" vertical="center" wrapText="1"/>
    </xf>
    <xf numFmtId="0" fontId="6" fillId="2" borderId="2" xfId="4" applyFont="1" applyFill="1" applyBorder="1" applyAlignment="1">
      <alignment horizontal="center" vertical="center" wrapText="1"/>
    </xf>
    <xf numFmtId="3" fontId="6" fillId="2" borderId="3" xfId="4" applyNumberFormat="1" applyFont="1" applyFill="1" applyBorder="1" applyAlignment="1">
      <alignment horizontal="center" vertical="center"/>
    </xf>
    <xf numFmtId="4" fontId="6" fillId="2" borderId="4" xfId="4" applyNumberFormat="1" applyFont="1" applyFill="1" applyBorder="1" applyAlignment="1">
      <alignment horizontal="right" vertical="center"/>
    </xf>
    <xf numFmtId="3" fontId="6" fillId="2" borderId="5" xfId="4" applyNumberFormat="1" applyFont="1" applyFill="1" applyBorder="1" applyAlignment="1">
      <alignment horizontal="center" vertical="center"/>
    </xf>
    <xf numFmtId="3" fontId="11" fillId="2" borderId="3" xfId="4" applyNumberFormat="1" applyFont="1" applyFill="1" applyBorder="1" applyAlignment="1">
      <alignment horizontal="center" vertical="center"/>
    </xf>
    <xf numFmtId="4" fontId="11" fillId="2" borderId="4" xfId="4" applyNumberFormat="1" applyFont="1" applyFill="1" applyBorder="1" applyAlignment="1">
      <alignment horizontal="right" vertical="center"/>
    </xf>
    <xf numFmtId="49" fontId="6" fillId="3" borderId="6" xfId="4" applyNumberFormat="1" applyFont="1" applyFill="1" applyBorder="1" applyAlignment="1">
      <alignment horizontal="center" vertical="center" wrapText="1"/>
    </xf>
    <xf numFmtId="0" fontId="20" fillId="0" borderId="0" xfId="4" applyFont="1" applyAlignment="1">
      <alignment vertical="center"/>
    </xf>
    <xf numFmtId="0" fontId="22" fillId="0" borderId="0" xfId="2" applyFont="1" applyAlignment="1">
      <alignment horizontal="left" vertical="center" wrapText="1"/>
    </xf>
    <xf numFmtId="0" fontId="22" fillId="0" borderId="0" xfId="2" applyFont="1" applyAlignment="1">
      <alignment horizontal="center" vertical="center" wrapText="1"/>
    </xf>
    <xf numFmtId="0" fontId="22" fillId="0" borderId="7" xfId="2" applyFont="1" applyBorder="1" applyAlignment="1">
      <alignment vertical="center" wrapText="1"/>
    </xf>
    <xf numFmtId="0" fontId="12" fillId="0" borderId="0" xfId="0" applyFont="1"/>
    <xf numFmtId="0" fontId="14" fillId="0" borderId="0" xfId="0" applyFont="1"/>
    <xf numFmtId="49" fontId="24" fillId="4" borderId="8" xfId="2" applyNumberFormat="1" applyFont="1" applyFill="1" applyBorder="1" applyAlignment="1">
      <alignment horizontal="center" vertical="center" wrapText="1"/>
    </xf>
    <xf numFmtId="49" fontId="24" fillId="4" borderId="9" xfId="2" applyNumberFormat="1" applyFont="1" applyFill="1" applyBorder="1" applyAlignment="1">
      <alignment horizontal="center" vertical="center" wrapText="1"/>
    </xf>
    <xf numFmtId="0" fontId="25" fillId="5" borderId="10" xfId="2" applyFont="1" applyFill="1" applyBorder="1" applyAlignment="1">
      <alignment horizontal="center" vertical="center"/>
    </xf>
    <xf numFmtId="0" fontId="25" fillId="5" borderId="2" xfId="2" applyFont="1" applyFill="1" applyBorder="1" applyAlignment="1">
      <alignment horizontal="right" vertical="center"/>
    </xf>
    <xf numFmtId="0" fontId="25" fillId="5" borderId="0" xfId="2" applyFont="1" applyFill="1" applyAlignment="1">
      <alignment horizontal="right" vertical="center"/>
    </xf>
    <xf numFmtId="0" fontId="25" fillId="5" borderId="10" xfId="2" applyFont="1" applyFill="1" applyBorder="1" applyAlignment="1">
      <alignment horizontal="right" vertical="center"/>
    </xf>
    <xf numFmtId="0" fontId="25" fillId="4" borderId="10" xfId="2" applyFont="1" applyFill="1" applyBorder="1" applyAlignment="1">
      <alignment horizontal="right" vertical="center"/>
    </xf>
    <xf numFmtId="0" fontId="25" fillId="4" borderId="2" xfId="2" applyFont="1" applyFill="1" applyBorder="1" applyAlignment="1">
      <alignment horizontal="right" vertical="center"/>
    </xf>
    <xf numFmtId="0" fontId="25" fillId="4" borderId="0" xfId="2" applyFont="1" applyFill="1" applyAlignment="1">
      <alignment horizontal="right" vertical="center"/>
    </xf>
    <xf numFmtId="0" fontId="26" fillId="4" borderId="11" xfId="2" applyFont="1" applyFill="1" applyBorder="1" applyAlignment="1">
      <alignment horizontal="right" vertical="center"/>
    </xf>
    <xf numFmtId="49" fontId="23" fillId="5" borderId="12" xfId="2" applyNumberFormat="1" applyFont="1" applyFill="1" applyBorder="1" applyAlignment="1">
      <alignment horizontal="center" vertical="center" wrapText="1"/>
    </xf>
    <xf numFmtId="49" fontId="23" fillId="5" borderId="13" xfId="2" applyNumberFormat="1" applyFont="1" applyFill="1" applyBorder="1" applyAlignment="1">
      <alignment horizontal="center" vertical="center" wrapText="1"/>
    </xf>
    <xf numFmtId="49" fontId="23" fillId="5" borderId="14" xfId="2" applyNumberFormat="1" applyFont="1" applyFill="1" applyBorder="1" applyAlignment="1">
      <alignment horizontal="center" vertical="center" wrapText="1"/>
    </xf>
    <xf numFmtId="49" fontId="23" fillId="5" borderId="15" xfId="2" applyNumberFormat="1" applyFont="1" applyFill="1" applyBorder="1" applyAlignment="1">
      <alignment horizontal="center" vertical="center" wrapText="1"/>
    </xf>
    <xf numFmtId="49" fontId="23" fillId="5" borderId="16" xfId="2" applyNumberFormat="1" applyFont="1" applyFill="1" applyBorder="1" applyAlignment="1">
      <alignment horizontal="center" vertical="center" wrapText="1"/>
    </xf>
    <xf numFmtId="49" fontId="23" fillId="4" borderId="13" xfId="2" applyNumberFormat="1" applyFont="1" applyFill="1" applyBorder="1" applyAlignment="1">
      <alignment horizontal="center" vertical="center" wrapText="1"/>
    </xf>
    <xf numFmtId="49" fontId="23" fillId="5" borderId="17" xfId="2" applyNumberFormat="1" applyFont="1" applyFill="1" applyBorder="1" applyAlignment="1">
      <alignment horizontal="center" vertical="center" wrapText="1"/>
    </xf>
    <xf numFmtId="0" fontId="23" fillId="5" borderId="12" xfId="4" applyFont="1" applyFill="1" applyBorder="1" applyAlignment="1">
      <alignment horizontal="center" vertical="center"/>
    </xf>
    <xf numFmtId="0" fontId="23" fillId="5" borderId="13" xfId="4" applyFont="1" applyFill="1" applyBorder="1" applyAlignment="1">
      <alignment horizontal="center" vertical="center"/>
    </xf>
    <xf numFmtId="0" fontId="23" fillId="5" borderId="14" xfId="4" applyFont="1" applyFill="1" applyBorder="1" applyAlignment="1">
      <alignment horizontal="center" vertical="center"/>
    </xf>
    <xf numFmtId="0" fontId="23" fillId="5" borderId="15" xfId="4" applyFont="1" applyFill="1" applyBorder="1" applyAlignment="1">
      <alignment horizontal="center" vertical="center"/>
    </xf>
    <xf numFmtId="0" fontId="23" fillId="5" borderId="18" xfId="4" applyFont="1" applyFill="1" applyBorder="1" applyAlignment="1">
      <alignment horizontal="center" vertical="center"/>
    </xf>
    <xf numFmtId="0" fontId="23" fillId="5" borderId="16" xfId="4" applyFont="1" applyFill="1" applyBorder="1" applyAlignment="1">
      <alignment horizontal="center" vertical="center"/>
    </xf>
    <xf numFmtId="0" fontId="23" fillId="4" borderId="13" xfId="4" applyFont="1" applyFill="1" applyBorder="1" applyAlignment="1">
      <alignment horizontal="center" vertical="center"/>
    </xf>
    <xf numFmtId="0" fontId="23" fillId="4" borderId="14" xfId="4" applyFont="1" applyFill="1" applyBorder="1" applyAlignment="1">
      <alignment horizontal="center" vertical="center"/>
    </xf>
    <xf numFmtId="0" fontId="23" fillId="4" borderId="16" xfId="4" applyFont="1" applyFill="1" applyBorder="1" applyAlignment="1">
      <alignment horizontal="center" vertical="center"/>
    </xf>
    <xf numFmtId="0" fontId="23" fillId="4" borderId="17" xfId="4" applyFont="1" applyFill="1" applyBorder="1" applyAlignment="1">
      <alignment horizontal="center" vertical="center"/>
    </xf>
    <xf numFmtId="0" fontId="23" fillId="0" borderId="19" xfId="4" applyFont="1" applyBorder="1" applyAlignment="1">
      <alignment horizontal="left" vertical="center" wrapText="1"/>
    </xf>
    <xf numFmtId="0" fontId="23" fillId="0" borderId="19" xfId="4" applyFont="1" applyBorder="1" applyAlignment="1">
      <alignment horizontal="center" vertical="center" wrapText="1"/>
    </xf>
    <xf numFmtId="3" fontId="23" fillId="0" borderId="20" xfId="4" applyNumberFormat="1" applyFont="1" applyBorder="1" applyAlignment="1">
      <alignment horizontal="center" vertical="center"/>
    </xf>
    <xf numFmtId="4" fontId="23" fillId="0" borderId="21" xfId="4" applyNumberFormat="1" applyFont="1" applyBorder="1" applyAlignment="1">
      <alignment horizontal="right" vertical="center"/>
    </xf>
    <xf numFmtId="3" fontId="23" fillId="4" borderId="20" xfId="4" applyNumberFormat="1" applyFont="1" applyFill="1" applyBorder="1" applyAlignment="1">
      <alignment horizontal="center" vertical="center"/>
    </xf>
    <xf numFmtId="4" fontId="14" fillId="4" borderId="22" xfId="0" applyNumberFormat="1" applyFont="1" applyFill="1" applyBorder="1" applyAlignment="1">
      <alignment horizontal="right" vertical="center"/>
    </xf>
    <xf numFmtId="4" fontId="14" fillId="4" borderId="23" xfId="0" applyNumberFormat="1" applyFont="1" applyFill="1" applyBorder="1" applyAlignment="1">
      <alignment horizontal="right" vertical="center"/>
    </xf>
    <xf numFmtId="3" fontId="13" fillId="4" borderId="24" xfId="0" applyNumberFormat="1" applyFont="1" applyFill="1" applyBorder="1" applyAlignment="1">
      <alignment horizontal="right" vertical="center"/>
    </xf>
    <xf numFmtId="9" fontId="14" fillId="0" borderId="0" xfId="1" applyFont="1"/>
    <xf numFmtId="0" fontId="13" fillId="0" borderId="0" xfId="0" applyFont="1"/>
    <xf numFmtId="9" fontId="14" fillId="0" borderId="0" xfId="0" applyNumberFormat="1" applyFont="1"/>
    <xf numFmtId="0" fontId="23" fillId="0" borderId="12" xfId="4" applyFont="1" applyBorder="1" applyAlignment="1">
      <alignment horizontal="left" vertical="center" wrapText="1"/>
    </xf>
    <xf numFmtId="0" fontId="23" fillId="0" borderId="12" xfId="4" applyFont="1" applyBorder="1" applyAlignment="1">
      <alignment horizontal="center" vertical="center" wrapText="1"/>
    </xf>
    <xf numFmtId="3" fontId="23" fillId="0" borderId="13" xfId="4" applyNumberFormat="1" applyFont="1" applyBorder="1" applyAlignment="1">
      <alignment horizontal="center" vertical="center"/>
    </xf>
    <xf numFmtId="4" fontId="23" fillId="0" borderId="14" xfId="4" applyNumberFormat="1" applyFont="1" applyBorder="1" applyAlignment="1">
      <alignment horizontal="right" vertical="center"/>
    </xf>
    <xf numFmtId="49" fontId="24" fillId="5" borderId="17" xfId="2" applyNumberFormat="1" applyFont="1" applyFill="1" applyBorder="1" applyAlignment="1">
      <alignment horizontal="center" vertical="center" wrapText="1"/>
    </xf>
    <xf numFmtId="0" fontId="15" fillId="5" borderId="12" xfId="4" applyFont="1" applyFill="1" applyBorder="1" applyAlignment="1">
      <alignment horizontal="center" vertical="center"/>
    </xf>
    <xf numFmtId="0" fontId="15" fillId="5" borderId="13" xfId="4" applyFont="1" applyFill="1" applyBorder="1" applyAlignment="1">
      <alignment horizontal="center" vertical="center"/>
    </xf>
    <xf numFmtId="0" fontId="15" fillId="5" borderId="14" xfId="4" applyFont="1" applyFill="1" applyBorder="1" applyAlignment="1">
      <alignment horizontal="center" vertical="center"/>
    </xf>
    <xf numFmtId="0" fontId="15" fillId="5" borderId="15" xfId="4" applyFont="1" applyFill="1" applyBorder="1" applyAlignment="1">
      <alignment horizontal="center" vertical="center"/>
    </xf>
    <xf numFmtId="0" fontId="15" fillId="5" borderId="18" xfId="4" applyFont="1" applyFill="1" applyBorder="1" applyAlignment="1">
      <alignment horizontal="center" vertical="center"/>
    </xf>
    <xf numFmtId="0" fontId="15" fillId="5" borderId="16" xfId="4" applyFont="1" applyFill="1" applyBorder="1" applyAlignment="1">
      <alignment horizontal="center" vertical="center"/>
    </xf>
    <xf numFmtId="0" fontId="15" fillId="4" borderId="13" xfId="4" applyFont="1" applyFill="1" applyBorder="1" applyAlignment="1">
      <alignment horizontal="center" vertical="center"/>
    </xf>
    <xf numFmtId="0" fontId="15" fillId="4" borderId="14" xfId="4" applyFont="1" applyFill="1" applyBorder="1" applyAlignment="1">
      <alignment horizontal="center" vertical="center"/>
    </xf>
    <xf numFmtId="0" fontId="15" fillId="4" borderId="16" xfId="4" applyFont="1" applyFill="1" applyBorder="1" applyAlignment="1">
      <alignment horizontal="center" vertical="center"/>
    </xf>
    <xf numFmtId="0" fontId="15" fillId="4" borderId="17" xfId="4" applyFont="1" applyFill="1" applyBorder="1" applyAlignment="1">
      <alignment horizontal="center" vertical="center"/>
    </xf>
    <xf numFmtId="0" fontId="15" fillId="0" borderId="0" xfId="0" applyFont="1"/>
    <xf numFmtId="0" fontId="23" fillId="0" borderId="25" xfId="4" applyFont="1" applyBorder="1" applyAlignment="1">
      <alignment horizontal="left" vertical="center" wrapText="1"/>
    </xf>
    <xf numFmtId="0" fontId="23" fillId="0" borderId="25" xfId="4" applyFont="1" applyBorder="1" applyAlignment="1">
      <alignment horizontal="center" vertical="center" wrapText="1"/>
    </xf>
    <xf numFmtId="3" fontId="23" fillId="0" borderId="26" xfId="4" applyNumberFormat="1" applyFont="1" applyBorder="1" applyAlignment="1">
      <alignment horizontal="center" vertical="center"/>
    </xf>
    <xf numFmtId="3" fontId="23" fillId="4" borderId="13" xfId="4" applyNumberFormat="1" applyFont="1" applyFill="1" applyBorder="1" applyAlignment="1">
      <alignment horizontal="center" vertical="center"/>
    </xf>
    <xf numFmtId="4" fontId="14" fillId="4" borderId="27" xfId="0" applyNumberFormat="1" applyFont="1" applyFill="1" applyBorder="1" applyAlignment="1">
      <alignment horizontal="right" vertical="center"/>
    </xf>
    <xf numFmtId="4" fontId="14" fillId="4" borderId="28" xfId="0" applyNumberFormat="1" applyFont="1" applyFill="1" applyBorder="1" applyAlignment="1">
      <alignment horizontal="right" vertical="center"/>
    </xf>
    <xf numFmtId="3" fontId="13" fillId="4" borderId="9" xfId="0" applyNumberFormat="1" applyFont="1" applyFill="1" applyBorder="1" applyAlignment="1">
      <alignment horizontal="right" vertical="center"/>
    </xf>
    <xf numFmtId="4" fontId="14" fillId="0" borderId="29" xfId="0" applyNumberFormat="1" applyFont="1" applyBorder="1" applyAlignment="1">
      <alignment horizontal="right" vertical="center"/>
    </xf>
    <xf numFmtId="4" fontId="14" fillId="0" borderId="28" xfId="0" applyNumberFormat="1" applyFont="1" applyBorder="1" applyAlignment="1">
      <alignment horizontal="right" vertical="center"/>
    </xf>
    <xf numFmtId="4" fontId="14" fillId="0" borderId="27" xfId="0" applyNumberFormat="1" applyFont="1" applyBorder="1" applyAlignment="1">
      <alignment horizontal="right" vertical="center"/>
    </xf>
    <xf numFmtId="3" fontId="14" fillId="0" borderId="0" xfId="0" applyNumberFormat="1" applyFont="1"/>
    <xf numFmtId="2" fontId="14" fillId="0" borderId="0" xfId="0" applyNumberFormat="1" applyFont="1"/>
    <xf numFmtId="3" fontId="14" fillId="0" borderId="29" xfId="0" applyNumberFormat="1" applyFont="1" applyBorder="1" applyAlignment="1">
      <alignment horizontal="center" vertical="center"/>
    </xf>
    <xf numFmtId="4" fontId="14" fillId="0" borderId="30" xfId="0" applyNumberFormat="1" applyFont="1" applyBorder="1" applyAlignment="1">
      <alignment horizontal="right" vertical="center"/>
    </xf>
    <xf numFmtId="3" fontId="14" fillId="0" borderId="31" xfId="0" applyNumberFormat="1" applyFont="1" applyBorder="1" applyAlignment="1">
      <alignment horizontal="center" vertical="center"/>
    </xf>
    <xf numFmtId="4" fontId="14" fillId="0" borderId="32" xfId="0" applyNumberFormat="1" applyFont="1" applyBorder="1" applyAlignment="1">
      <alignment horizontal="right" vertical="center"/>
    </xf>
    <xf numFmtId="3" fontId="14" fillId="0" borderId="33" xfId="0" applyNumberFormat="1" applyFont="1" applyBorder="1" applyAlignment="1">
      <alignment horizontal="center" vertical="center"/>
    </xf>
    <xf numFmtId="0" fontId="23" fillId="0" borderId="34" xfId="4" applyFont="1" applyBorder="1" applyAlignment="1">
      <alignment horizontal="left" vertical="center" wrapText="1"/>
    </xf>
    <xf numFmtId="0" fontId="23" fillId="0" borderId="34" xfId="4" applyFont="1" applyBorder="1" applyAlignment="1">
      <alignment horizontal="center" vertical="center" wrapText="1"/>
    </xf>
    <xf numFmtId="3" fontId="23" fillId="0" borderId="35" xfId="4" applyNumberFormat="1" applyFont="1" applyBorder="1" applyAlignment="1">
      <alignment horizontal="center" vertical="center"/>
    </xf>
    <xf numFmtId="4" fontId="23" fillId="0" borderId="36" xfId="4" applyNumberFormat="1" applyFont="1" applyBorder="1" applyAlignment="1">
      <alignment horizontal="right" vertical="center"/>
    </xf>
    <xf numFmtId="4" fontId="14" fillId="0" borderId="37" xfId="0" applyNumberFormat="1" applyFont="1" applyBorder="1" applyAlignment="1">
      <alignment horizontal="right" vertical="center"/>
    </xf>
    <xf numFmtId="3" fontId="23" fillId="4" borderId="35" xfId="4" applyNumberFormat="1" applyFont="1" applyFill="1" applyBorder="1" applyAlignment="1">
      <alignment horizontal="center" vertical="center"/>
    </xf>
    <xf numFmtId="4" fontId="14" fillId="4" borderId="37" xfId="0" applyNumberFormat="1" applyFont="1" applyFill="1" applyBorder="1" applyAlignment="1">
      <alignment horizontal="right" vertical="center"/>
    </xf>
    <xf numFmtId="3" fontId="13" fillId="4" borderId="38" xfId="0" applyNumberFormat="1" applyFont="1" applyFill="1" applyBorder="1" applyAlignment="1">
      <alignment horizontal="right" vertical="center"/>
    </xf>
    <xf numFmtId="0" fontId="24" fillId="0" borderId="39" xfId="4" applyFont="1" applyBorder="1" applyAlignment="1">
      <alignment horizontal="left" vertical="center" wrapText="1"/>
    </xf>
    <xf numFmtId="0" fontId="23" fillId="0" borderId="40" xfId="4" applyFont="1" applyBorder="1" applyAlignment="1">
      <alignment horizontal="center" vertical="center" wrapText="1"/>
    </xf>
    <xf numFmtId="3" fontId="23" fillId="0" borderId="40" xfId="4" applyNumberFormat="1" applyFont="1" applyBorder="1" applyAlignment="1">
      <alignment horizontal="center" vertical="center"/>
    </xf>
    <xf numFmtId="3" fontId="24" fillId="0" borderId="40" xfId="4" applyNumberFormat="1" applyFont="1" applyBorder="1" applyAlignment="1">
      <alignment horizontal="right" vertical="center"/>
    </xf>
    <xf numFmtId="3" fontId="23" fillId="4" borderId="40" xfId="4" applyNumberFormat="1" applyFont="1" applyFill="1" applyBorder="1" applyAlignment="1">
      <alignment horizontal="center" vertical="center"/>
    </xf>
    <xf numFmtId="3" fontId="24" fillId="4" borderId="40" xfId="4" applyNumberFormat="1" applyFont="1" applyFill="1" applyBorder="1" applyAlignment="1">
      <alignment horizontal="right" vertical="center"/>
    </xf>
    <xf numFmtId="3" fontId="24" fillId="4" borderId="41" xfId="4" applyNumberFormat="1" applyFont="1" applyFill="1" applyBorder="1" applyAlignment="1">
      <alignment horizontal="right" vertical="center"/>
    </xf>
    <xf numFmtId="3" fontId="13" fillId="4" borderId="1" xfId="0" applyNumberFormat="1" applyFont="1" applyFill="1" applyBorder="1"/>
    <xf numFmtId="0" fontId="25" fillId="4" borderId="10" xfId="2" applyFont="1" applyFill="1" applyBorder="1" applyAlignment="1">
      <alignment horizontal="center" vertical="center"/>
    </xf>
    <xf numFmtId="0" fontId="15" fillId="4" borderId="15" xfId="4" applyFont="1" applyFill="1" applyBorder="1" applyAlignment="1">
      <alignment horizontal="center" vertical="center"/>
    </xf>
    <xf numFmtId="0" fontId="15" fillId="4" borderId="18" xfId="4" applyFont="1" applyFill="1" applyBorder="1" applyAlignment="1">
      <alignment horizontal="center" vertical="center"/>
    </xf>
    <xf numFmtId="3" fontId="23" fillId="4" borderId="26" xfId="4" applyNumberFormat="1" applyFont="1" applyFill="1" applyBorder="1" applyAlignment="1">
      <alignment horizontal="center" vertical="center"/>
    </xf>
    <xf numFmtId="4" fontId="23" fillId="4" borderId="14" xfId="4" applyNumberFormat="1" applyFont="1" applyFill="1" applyBorder="1" applyAlignment="1">
      <alignment horizontal="right" vertical="center"/>
    </xf>
    <xf numFmtId="0" fontId="23" fillId="0" borderId="0" xfId="0" applyFont="1" applyAlignment="1">
      <alignment horizontal="left"/>
    </xf>
    <xf numFmtId="4" fontId="14" fillId="0" borderId="0" xfId="0" applyNumberFormat="1" applyFont="1"/>
    <xf numFmtId="49" fontId="23" fillId="4" borderId="15" xfId="2" applyNumberFormat="1" applyFont="1" applyFill="1" applyBorder="1" applyAlignment="1">
      <alignment horizontal="center" vertical="center" wrapText="1"/>
    </xf>
    <xf numFmtId="2" fontId="13" fillId="0" borderId="0" xfId="0" applyNumberFormat="1" applyFont="1"/>
    <xf numFmtId="49" fontId="24" fillId="0" borderId="8" xfId="2" applyNumberFormat="1" applyFont="1" applyBorder="1" applyAlignment="1">
      <alignment horizontal="center" vertical="center" wrapText="1"/>
    </xf>
    <xf numFmtId="49" fontId="24" fillId="0" borderId="9" xfId="2" applyNumberFormat="1" applyFont="1" applyBorder="1" applyAlignment="1">
      <alignment horizontal="center" vertical="center" wrapText="1"/>
    </xf>
    <xf numFmtId="0" fontId="25" fillId="0" borderId="10" xfId="2" applyFont="1" applyBorder="1" applyAlignment="1">
      <alignment horizontal="right" vertical="center"/>
    </xf>
    <xf numFmtId="0" fontId="25" fillId="0" borderId="2" xfId="2" applyFont="1" applyBorder="1" applyAlignment="1">
      <alignment horizontal="right" vertical="center"/>
    </xf>
    <xf numFmtId="0" fontId="25" fillId="0" borderId="0" xfId="2" applyFont="1" applyAlignment="1">
      <alignment horizontal="right" vertical="center"/>
    </xf>
    <xf numFmtId="0" fontId="26" fillId="0" borderId="11" xfId="2" applyFont="1" applyBorder="1" applyAlignment="1">
      <alignment horizontal="right" vertical="center"/>
    </xf>
    <xf numFmtId="49" fontId="23" fillId="0" borderId="13" xfId="2" applyNumberFormat="1" applyFont="1" applyBorder="1" applyAlignment="1">
      <alignment horizontal="center" vertical="center" wrapText="1"/>
    </xf>
    <xf numFmtId="0" fontId="23" fillId="0" borderId="13" xfId="4" applyFont="1" applyBorder="1" applyAlignment="1">
      <alignment horizontal="center" vertical="center"/>
    </xf>
    <xf numFmtId="0" fontId="23" fillId="0" borderId="14" xfId="4" applyFont="1" applyBorder="1" applyAlignment="1">
      <alignment horizontal="center" vertical="center"/>
    </xf>
    <xf numFmtId="0" fontId="23" fillId="0" borderId="16" xfId="4" applyFont="1" applyBorder="1" applyAlignment="1">
      <alignment horizontal="center" vertical="center"/>
    </xf>
    <xf numFmtId="0" fontId="23" fillId="0" borderId="17" xfId="4" applyFont="1" applyBorder="1" applyAlignment="1">
      <alignment horizontal="center" vertical="center"/>
    </xf>
    <xf numFmtId="3" fontId="23" fillId="0" borderId="15" xfId="4" applyNumberFormat="1" applyFont="1" applyBorder="1" applyAlignment="1">
      <alignment horizontal="center" vertical="center"/>
    </xf>
    <xf numFmtId="3" fontId="13" fillId="0" borderId="9" xfId="0" applyNumberFormat="1" applyFont="1" applyBorder="1" applyAlignment="1">
      <alignment horizontal="right" vertical="center"/>
    </xf>
    <xf numFmtId="3" fontId="13" fillId="0" borderId="24" xfId="0" applyNumberFormat="1" applyFont="1" applyBorder="1" applyAlignment="1">
      <alignment horizontal="right" vertical="center"/>
    </xf>
    <xf numFmtId="0" fontId="23" fillId="0" borderId="0" xfId="4" applyFont="1" applyAlignment="1">
      <alignment horizontal="left" vertical="center" wrapText="1"/>
    </xf>
    <xf numFmtId="0" fontId="23" fillId="0" borderId="0" xfId="4" applyFont="1" applyAlignment="1">
      <alignment horizontal="center" vertical="center" wrapText="1"/>
    </xf>
    <xf numFmtId="3" fontId="23" fillId="0" borderId="0" xfId="4" applyNumberFormat="1" applyFont="1" applyAlignment="1">
      <alignment horizontal="center" vertical="center"/>
    </xf>
    <xf numFmtId="4" fontId="23" fillId="0" borderId="0" xfId="4" applyNumberFormat="1" applyFont="1" applyAlignment="1">
      <alignment horizontal="right" vertical="center"/>
    </xf>
    <xf numFmtId="4" fontId="14" fillId="0" borderId="0" xfId="0" applyNumberFormat="1" applyFont="1" applyAlignment="1">
      <alignment horizontal="right" vertical="center"/>
    </xf>
    <xf numFmtId="3" fontId="13" fillId="0" borderId="0" xfId="0" applyNumberFormat="1" applyFont="1" applyAlignment="1">
      <alignment horizontal="right" vertical="center"/>
    </xf>
    <xf numFmtId="3" fontId="24" fillId="0" borderId="0" xfId="4" applyNumberFormat="1" applyFont="1" applyAlignment="1">
      <alignment vertical="center"/>
    </xf>
    <xf numFmtId="3" fontId="24" fillId="0" borderId="0" xfId="4" applyNumberFormat="1" applyFont="1" applyAlignment="1">
      <alignment horizontal="right" vertical="center"/>
    </xf>
    <xf numFmtId="0" fontId="25" fillId="0" borderId="10" xfId="2" applyFont="1" applyBorder="1" applyAlignment="1">
      <alignment horizontal="center" vertical="center"/>
    </xf>
    <xf numFmtId="0" fontId="23" fillId="0" borderId="15" xfId="4" applyFont="1" applyBorder="1" applyAlignment="1">
      <alignment horizontal="center" vertical="center"/>
    </xf>
    <xf numFmtId="0" fontId="23" fillId="0" borderId="18" xfId="4" applyFont="1" applyBorder="1" applyAlignment="1">
      <alignment horizontal="center" vertical="center"/>
    </xf>
    <xf numFmtId="3" fontId="29" fillId="0" borderId="0" xfId="0" applyNumberFormat="1" applyFont="1" applyAlignment="1">
      <alignment horizontal="center" vertical="top"/>
    </xf>
    <xf numFmtId="49" fontId="23" fillId="0" borderId="12" xfId="2" applyNumberFormat="1" applyFont="1" applyBorder="1" applyAlignment="1">
      <alignment horizontal="center" vertical="center" wrapText="1"/>
    </xf>
    <xf numFmtId="49" fontId="23" fillId="0" borderId="15" xfId="2" applyNumberFormat="1" applyFont="1" applyBorder="1" applyAlignment="1">
      <alignment horizontal="center" vertical="center" wrapText="1"/>
    </xf>
    <xf numFmtId="0" fontId="23" fillId="0" borderId="12" xfId="4" applyFont="1" applyBorder="1" applyAlignment="1">
      <alignment horizontal="center" vertical="center"/>
    </xf>
    <xf numFmtId="0" fontId="25" fillId="5" borderId="42" xfId="2" applyFont="1" applyFill="1" applyBorder="1" applyAlignment="1">
      <alignment horizontal="center" vertical="center"/>
    </xf>
    <xf numFmtId="0" fontId="25" fillId="2" borderId="31" xfId="2" applyFont="1" applyFill="1" applyBorder="1" applyAlignment="1">
      <alignment horizontal="right" vertical="center"/>
    </xf>
    <xf numFmtId="0" fontId="25" fillId="5" borderId="28" xfId="2" applyFont="1" applyFill="1" applyBorder="1" applyAlignment="1">
      <alignment horizontal="center" vertical="center"/>
    </xf>
    <xf numFmtId="0" fontId="25" fillId="2" borderId="43" xfId="2" applyFont="1" applyFill="1" applyBorder="1" applyAlignment="1">
      <alignment horizontal="right" vertical="center"/>
    </xf>
    <xf numFmtId="0" fontId="26" fillId="4" borderId="31" xfId="2" applyFont="1" applyFill="1" applyBorder="1" applyAlignment="1">
      <alignment horizontal="right" vertical="center"/>
    </xf>
    <xf numFmtId="0" fontId="25" fillId="2" borderId="29" xfId="2" applyFont="1" applyFill="1" applyBorder="1" applyAlignment="1">
      <alignment horizontal="right" vertical="center"/>
    </xf>
    <xf numFmtId="0" fontId="26" fillId="4" borderId="29" xfId="2" applyFont="1" applyFill="1" applyBorder="1" applyAlignment="1">
      <alignment horizontal="right" vertical="center"/>
    </xf>
    <xf numFmtId="0" fontId="25" fillId="6" borderId="29" xfId="2" applyFont="1" applyFill="1" applyBorder="1" applyAlignment="1">
      <alignment horizontal="right" vertical="center"/>
    </xf>
    <xf numFmtId="49" fontId="23" fillId="5" borderId="42" xfId="2" applyNumberFormat="1" applyFont="1" applyFill="1" applyBorder="1" applyAlignment="1">
      <alignment horizontal="center" vertical="center" wrapText="1"/>
    </xf>
    <xf numFmtId="49" fontId="23" fillId="2" borderId="31" xfId="2" applyNumberFormat="1" applyFont="1" applyFill="1" applyBorder="1" applyAlignment="1">
      <alignment horizontal="center" vertical="center" wrapText="1"/>
    </xf>
    <xf numFmtId="49" fontId="23" fillId="5" borderId="28" xfId="2" applyNumberFormat="1" applyFont="1" applyFill="1" applyBorder="1" applyAlignment="1">
      <alignment horizontal="center" vertical="center" wrapText="1"/>
    </xf>
    <xf numFmtId="49" fontId="23" fillId="2" borderId="43" xfId="2" applyNumberFormat="1" applyFont="1" applyFill="1" applyBorder="1" applyAlignment="1">
      <alignment horizontal="center" vertical="center" wrapText="1"/>
    </xf>
    <xf numFmtId="49" fontId="23" fillId="4" borderId="29" xfId="2" applyNumberFormat="1" applyFont="1" applyFill="1" applyBorder="1" applyAlignment="1">
      <alignment horizontal="center" vertical="center" wrapText="1"/>
    </xf>
    <xf numFmtId="49" fontId="23" fillId="2" borderId="44" xfId="2" applyNumberFormat="1" applyFont="1" applyFill="1" applyBorder="1" applyAlignment="1">
      <alignment horizontal="center" vertical="center" wrapText="1"/>
    </xf>
    <xf numFmtId="49" fontId="24" fillId="6" borderId="29" xfId="2" applyNumberFormat="1" applyFont="1" applyFill="1" applyBorder="1" applyAlignment="1">
      <alignment horizontal="center" vertical="center" wrapText="1"/>
    </xf>
    <xf numFmtId="0" fontId="15" fillId="0" borderId="29" xfId="0" applyFont="1" applyBorder="1" applyAlignment="1">
      <alignment horizontal="center"/>
    </xf>
    <xf numFmtId="0" fontId="15" fillId="5" borderId="42" xfId="4" applyFont="1" applyFill="1" applyBorder="1" applyAlignment="1">
      <alignment horizontal="center" vertical="center"/>
    </xf>
    <xf numFmtId="0" fontId="15" fillId="2" borderId="31" xfId="4" applyFont="1" applyFill="1" applyBorder="1" applyAlignment="1">
      <alignment horizontal="center" vertical="center"/>
    </xf>
    <xf numFmtId="0" fontId="15" fillId="5" borderId="28" xfId="4" applyFont="1" applyFill="1" applyBorder="1" applyAlignment="1">
      <alignment horizontal="center" vertical="center"/>
    </xf>
    <xf numFmtId="0" fontId="15" fillId="2" borderId="43" xfId="4" applyFont="1" applyFill="1" applyBorder="1" applyAlignment="1">
      <alignment horizontal="center" vertical="center"/>
    </xf>
    <xf numFmtId="0" fontId="15" fillId="4" borderId="31" xfId="4" applyFont="1" applyFill="1" applyBorder="1" applyAlignment="1">
      <alignment horizontal="center" vertical="center"/>
    </xf>
    <xf numFmtId="0" fontId="15" fillId="2" borderId="29" xfId="4" applyFont="1" applyFill="1" applyBorder="1" applyAlignment="1">
      <alignment horizontal="center" vertical="center"/>
    </xf>
    <xf numFmtId="0" fontId="15" fillId="4" borderId="29" xfId="4" applyFont="1" applyFill="1" applyBorder="1" applyAlignment="1">
      <alignment horizontal="center" vertical="center"/>
    </xf>
    <xf numFmtId="0" fontId="15" fillId="6" borderId="29" xfId="4" applyFont="1" applyFill="1" applyBorder="1" applyAlignment="1">
      <alignment horizontal="center" vertical="center"/>
    </xf>
    <xf numFmtId="0" fontId="23" fillId="0" borderId="29" xfId="0" applyFont="1" applyBorder="1" applyAlignment="1">
      <alignment horizontal="justify" vertical="center"/>
    </xf>
    <xf numFmtId="3" fontId="14" fillId="0" borderId="42" xfId="0" applyNumberFormat="1" applyFont="1" applyBorder="1" applyAlignment="1">
      <alignment horizontal="center" vertical="center"/>
    </xf>
    <xf numFmtId="3" fontId="14" fillId="0" borderId="45" xfId="0" applyNumberFormat="1" applyFont="1" applyBorder="1" applyAlignment="1">
      <alignment horizontal="center" vertical="center"/>
    </xf>
    <xf numFmtId="3" fontId="13" fillId="6" borderId="29" xfId="0" applyNumberFormat="1" applyFont="1" applyFill="1" applyBorder="1" applyAlignment="1">
      <alignment vertical="center"/>
    </xf>
    <xf numFmtId="3" fontId="14" fillId="2" borderId="43" xfId="0" applyNumberFormat="1" applyFont="1" applyFill="1" applyBorder="1" applyAlignment="1">
      <alignment vertical="center"/>
    </xf>
    <xf numFmtId="3" fontId="14" fillId="2" borderId="44" xfId="0" applyNumberFormat="1" applyFont="1" applyFill="1" applyBorder="1" applyAlignment="1">
      <alignment vertical="center"/>
    </xf>
    <xf numFmtId="3" fontId="14" fillId="6" borderId="29" xfId="0" applyNumberFormat="1" applyFont="1" applyFill="1" applyBorder="1" applyAlignment="1">
      <alignment vertical="center"/>
    </xf>
    <xf numFmtId="0" fontId="25" fillId="4" borderId="29" xfId="2" applyFont="1" applyFill="1" applyBorder="1" applyAlignment="1">
      <alignment horizontal="right" vertical="center"/>
    </xf>
    <xf numFmtId="0" fontId="25" fillId="4" borderId="42" xfId="2" applyFont="1" applyFill="1" applyBorder="1" applyAlignment="1">
      <alignment horizontal="center" vertical="center"/>
    </xf>
    <xf numFmtId="0" fontId="25" fillId="4" borderId="31" xfId="2" applyFont="1" applyFill="1" applyBorder="1" applyAlignment="1">
      <alignment horizontal="right" vertical="center"/>
    </xf>
    <xf numFmtId="0" fontId="25" fillId="4" borderId="28" xfId="2" applyFont="1" applyFill="1" applyBorder="1" applyAlignment="1">
      <alignment horizontal="center" vertical="center"/>
    </xf>
    <xf numFmtId="0" fontId="25" fillId="4" borderId="43" xfId="2" applyFont="1" applyFill="1" applyBorder="1" applyAlignment="1">
      <alignment horizontal="right" vertical="center"/>
    </xf>
    <xf numFmtId="0" fontId="25" fillId="4" borderId="28" xfId="2" applyFont="1" applyFill="1" applyBorder="1" applyAlignment="1">
      <alignment horizontal="right" vertical="center"/>
    </xf>
    <xf numFmtId="0" fontId="15" fillId="4" borderId="42" xfId="4" applyFont="1" applyFill="1" applyBorder="1" applyAlignment="1">
      <alignment horizontal="center" vertical="center"/>
    </xf>
    <xf numFmtId="0" fontId="15" fillId="4" borderId="28" xfId="4" applyFont="1" applyFill="1" applyBorder="1" applyAlignment="1">
      <alignment horizontal="center" vertical="center"/>
    </xf>
    <xf numFmtId="0" fontId="15" fillId="4" borderId="43" xfId="4" applyFont="1" applyFill="1" applyBorder="1" applyAlignment="1">
      <alignment horizontal="center" vertical="center"/>
    </xf>
    <xf numFmtId="0" fontId="15" fillId="4" borderId="44" xfId="4" applyFont="1" applyFill="1" applyBorder="1" applyAlignment="1">
      <alignment horizontal="center" vertical="center"/>
    </xf>
    <xf numFmtId="49" fontId="23" fillId="4" borderId="42" xfId="2" applyNumberFormat="1" applyFont="1" applyFill="1" applyBorder="1" applyAlignment="1">
      <alignment horizontal="center" vertical="center" wrapText="1"/>
    </xf>
    <xf numFmtId="49" fontId="23" fillId="4" borderId="28" xfId="2" applyNumberFormat="1" applyFont="1" applyFill="1" applyBorder="1" applyAlignment="1">
      <alignment horizontal="center" vertical="center" wrapText="1"/>
    </xf>
    <xf numFmtId="0" fontId="13" fillId="0" borderId="0" xfId="0" applyFont="1" applyAlignment="1">
      <alignment vertical="center"/>
    </xf>
    <xf numFmtId="49" fontId="24" fillId="4" borderId="46" xfId="2" applyNumberFormat="1" applyFont="1" applyFill="1" applyBorder="1" applyAlignment="1">
      <alignment horizontal="center" vertical="center" wrapText="1"/>
    </xf>
    <xf numFmtId="49" fontId="24" fillId="6" borderId="27" xfId="2" applyNumberFormat="1" applyFont="1" applyFill="1" applyBorder="1" applyAlignment="1">
      <alignment horizontal="center" vertical="center" wrapText="1"/>
    </xf>
    <xf numFmtId="0" fontId="26" fillId="0" borderId="31" xfId="2" applyFont="1" applyFill="1" applyBorder="1" applyAlignment="1">
      <alignment horizontal="right" vertical="center"/>
    </xf>
    <xf numFmtId="0" fontId="25" fillId="0" borderId="29" xfId="2" applyFont="1" applyFill="1" applyBorder="1" applyAlignment="1">
      <alignment horizontal="right" vertical="center"/>
    </xf>
    <xf numFmtId="0" fontId="26" fillId="0" borderId="29" xfId="2" applyFont="1" applyFill="1" applyBorder="1" applyAlignment="1">
      <alignment horizontal="right" vertical="center"/>
    </xf>
    <xf numFmtId="0" fontId="25" fillId="6" borderId="27" xfId="2" applyFont="1" applyFill="1" applyBorder="1" applyAlignment="1">
      <alignment horizontal="right" vertical="center"/>
    </xf>
    <xf numFmtId="49" fontId="24" fillId="2" borderId="43" xfId="2" applyNumberFormat="1" applyFont="1" applyFill="1" applyBorder="1" applyAlignment="1">
      <alignment horizontal="center" vertical="center" wrapText="1"/>
    </xf>
    <xf numFmtId="49" fontId="23" fillId="0" borderId="31" xfId="2" applyNumberFormat="1" applyFont="1" applyFill="1" applyBorder="1" applyAlignment="1">
      <alignment horizontal="center" vertical="center" wrapText="1"/>
    </xf>
    <xf numFmtId="49" fontId="23" fillId="0" borderId="29" xfId="2" applyNumberFormat="1" applyFont="1" applyFill="1" applyBorder="1" applyAlignment="1">
      <alignment horizontal="center" vertical="center" wrapText="1"/>
    </xf>
    <xf numFmtId="0" fontId="15" fillId="0" borderId="31" xfId="4" applyFont="1" applyFill="1" applyBorder="1" applyAlignment="1">
      <alignment horizontal="center" vertical="center"/>
    </xf>
    <xf numFmtId="0" fontId="15" fillId="0" borderId="29" xfId="4" applyFont="1" applyFill="1" applyBorder="1" applyAlignment="1">
      <alignment horizontal="center" vertical="center"/>
    </xf>
    <xf numFmtId="0" fontId="15" fillId="6" borderId="27" xfId="4" applyFont="1" applyFill="1" applyBorder="1" applyAlignment="1">
      <alignment horizontal="center" vertical="center"/>
    </xf>
    <xf numFmtId="0" fontId="32" fillId="0" borderId="47" xfId="0" applyFont="1" applyBorder="1" applyAlignment="1">
      <alignment horizontal="left" vertical="center" wrapText="1"/>
    </xf>
    <xf numFmtId="4" fontId="14" fillId="2" borderId="43" xfId="0" applyNumberFormat="1" applyFont="1" applyFill="1" applyBorder="1" applyAlignment="1">
      <alignment vertical="center"/>
    </xf>
    <xf numFmtId="3" fontId="14" fillId="0" borderId="42" xfId="0" applyNumberFormat="1" applyFont="1" applyFill="1" applyBorder="1" applyAlignment="1">
      <alignment horizontal="center" vertical="center"/>
    </xf>
    <xf numFmtId="3" fontId="14" fillId="0" borderId="43" xfId="0" applyNumberFormat="1" applyFont="1" applyFill="1" applyBorder="1" applyAlignment="1">
      <alignment vertical="center"/>
    </xf>
    <xf numFmtId="3" fontId="14" fillId="0" borderId="48" xfId="0" applyNumberFormat="1" applyFont="1" applyBorder="1" applyAlignment="1">
      <alignment horizontal="center" vertical="center"/>
    </xf>
    <xf numFmtId="3" fontId="14" fillId="0" borderId="49" xfId="0" applyNumberFormat="1" applyFont="1" applyBorder="1" applyAlignment="1">
      <alignment horizontal="center" vertical="center"/>
    </xf>
    <xf numFmtId="3" fontId="14" fillId="0" borderId="48" xfId="0" applyNumberFormat="1" applyFont="1" applyFill="1" applyBorder="1" applyAlignment="1">
      <alignment horizontal="center" vertical="center"/>
    </xf>
    <xf numFmtId="3" fontId="14" fillId="0" borderId="50" xfId="0" applyNumberFormat="1" applyFont="1" applyFill="1" applyBorder="1" applyAlignment="1">
      <alignment vertical="center"/>
    </xf>
    <xf numFmtId="3" fontId="13" fillId="0" borderId="48" xfId="0" applyNumberFormat="1" applyFont="1" applyBorder="1" applyAlignment="1">
      <alignment horizontal="center" vertical="center"/>
    </xf>
    <xf numFmtId="3" fontId="13" fillId="2" borderId="50" xfId="0" applyNumberFormat="1" applyFont="1" applyFill="1" applyBorder="1" applyAlignment="1">
      <alignment vertical="center"/>
    </xf>
    <xf numFmtId="3" fontId="13" fillId="0" borderId="49" xfId="0" applyNumberFormat="1" applyFont="1" applyBorder="1" applyAlignment="1">
      <alignment horizontal="center" vertical="center"/>
    </xf>
    <xf numFmtId="3" fontId="13" fillId="0" borderId="48" xfId="0" applyNumberFormat="1" applyFont="1" applyFill="1" applyBorder="1" applyAlignment="1">
      <alignment horizontal="center" vertical="center"/>
    </xf>
    <xf numFmtId="0" fontId="25" fillId="0" borderId="42" xfId="2" applyFont="1" applyFill="1" applyBorder="1" applyAlignment="1">
      <alignment horizontal="center" vertical="center"/>
    </xf>
    <xf numFmtId="0" fontId="25" fillId="0" borderId="31" xfId="2" applyFont="1" applyFill="1" applyBorder="1" applyAlignment="1">
      <alignment horizontal="right" vertical="center"/>
    </xf>
    <xf numFmtId="0" fontId="25" fillId="0" borderId="28" xfId="2" applyFont="1" applyFill="1" applyBorder="1" applyAlignment="1">
      <alignment horizontal="center" vertical="center"/>
    </xf>
    <xf numFmtId="0" fontId="25" fillId="0" borderId="43" xfId="2" applyFont="1" applyFill="1" applyBorder="1" applyAlignment="1">
      <alignment horizontal="right" vertical="center"/>
    </xf>
    <xf numFmtId="0" fontId="15" fillId="0" borderId="42" xfId="4" applyFont="1" applyFill="1" applyBorder="1" applyAlignment="1">
      <alignment horizontal="center" vertical="center"/>
    </xf>
    <xf numFmtId="0" fontId="15" fillId="0" borderId="28" xfId="4" applyFont="1" applyFill="1" applyBorder="1" applyAlignment="1">
      <alignment horizontal="center" vertical="center"/>
    </xf>
    <xf numFmtId="0" fontId="15" fillId="0" borderId="43" xfId="4" applyFont="1" applyFill="1" applyBorder="1" applyAlignment="1">
      <alignment horizontal="center" vertical="center"/>
    </xf>
    <xf numFmtId="3" fontId="14" fillId="2" borderId="50" xfId="0" applyNumberFormat="1" applyFont="1" applyFill="1" applyBorder="1" applyAlignment="1">
      <alignment vertical="center"/>
    </xf>
    <xf numFmtId="0" fontId="14" fillId="0" borderId="51" xfId="0" applyFont="1" applyBorder="1" applyAlignment="1">
      <alignment horizontal="center" vertical="center"/>
    </xf>
    <xf numFmtId="4" fontId="14" fillId="7" borderId="40" xfId="0" applyNumberFormat="1" applyFont="1" applyFill="1" applyBorder="1" applyAlignment="1">
      <alignment vertical="center"/>
    </xf>
    <xf numFmtId="0" fontId="14" fillId="0" borderId="40" xfId="0" applyFont="1" applyBorder="1" applyAlignment="1">
      <alignment horizontal="center" vertical="center"/>
    </xf>
    <xf numFmtId="3" fontId="13" fillId="0" borderId="52" xfId="0" applyNumberFormat="1" applyFont="1" applyBorder="1" applyAlignment="1">
      <alignment horizontal="center" vertical="center"/>
    </xf>
    <xf numFmtId="3" fontId="13" fillId="2" borderId="53" xfId="0" applyNumberFormat="1" applyFont="1" applyFill="1" applyBorder="1" applyAlignment="1">
      <alignment vertical="center"/>
    </xf>
    <xf numFmtId="3" fontId="13" fillId="0" borderId="54" xfId="0" applyNumberFormat="1" applyFont="1" applyBorder="1" applyAlignment="1">
      <alignment horizontal="center" vertical="center"/>
    </xf>
    <xf numFmtId="3" fontId="13" fillId="2" borderId="55" xfId="0" applyNumberFormat="1" applyFont="1" applyFill="1" applyBorder="1" applyAlignment="1">
      <alignment vertical="center"/>
    </xf>
    <xf numFmtId="3" fontId="13" fillId="0" borderId="52" xfId="0" applyNumberFormat="1" applyFont="1" applyFill="1" applyBorder="1" applyAlignment="1">
      <alignment horizontal="center" vertical="center"/>
    </xf>
    <xf numFmtId="3" fontId="13" fillId="0" borderId="0" xfId="0" applyNumberFormat="1" applyFont="1" applyAlignment="1">
      <alignment vertical="top"/>
    </xf>
    <xf numFmtId="0" fontId="14" fillId="0" borderId="0" xfId="0" applyFont="1" applyAlignment="1">
      <alignment vertical="top"/>
    </xf>
    <xf numFmtId="4" fontId="13" fillId="0" borderId="0" xfId="0" applyNumberFormat="1" applyFont="1" applyAlignment="1">
      <alignment vertical="top"/>
    </xf>
    <xf numFmtId="0" fontId="26" fillId="6" borderId="29" xfId="2" applyFont="1" applyFill="1" applyBorder="1" applyAlignment="1">
      <alignment horizontal="right" vertical="center"/>
    </xf>
    <xf numFmtId="49" fontId="23" fillId="5" borderId="29" xfId="2" applyNumberFormat="1" applyFont="1" applyFill="1" applyBorder="1" applyAlignment="1">
      <alignment horizontal="center" vertical="center" wrapText="1"/>
    </xf>
    <xf numFmtId="0" fontId="23" fillId="5" borderId="29" xfId="4" applyFont="1" applyFill="1" applyBorder="1" applyAlignment="1">
      <alignment horizontal="center" vertical="center"/>
    </xf>
    <xf numFmtId="0" fontId="15" fillId="5" borderId="29" xfId="4" applyFont="1" applyFill="1" applyBorder="1" applyAlignment="1">
      <alignment horizontal="center" vertical="center"/>
    </xf>
    <xf numFmtId="0" fontId="16" fillId="6" borderId="29" xfId="4" applyFont="1" applyFill="1" applyBorder="1" applyAlignment="1">
      <alignment horizontal="center" vertical="center"/>
    </xf>
    <xf numFmtId="0" fontId="23" fillId="8" borderId="29" xfId="3" applyFont="1" applyFill="1" applyBorder="1" applyAlignment="1">
      <alignment horizontal="center" vertical="center" wrapText="1"/>
    </xf>
    <xf numFmtId="3" fontId="23" fillId="8" borderId="29" xfId="4" applyNumberFormat="1" applyFont="1" applyFill="1" applyBorder="1" applyAlignment="1">
      <alignment horizontal="center" vertical="center"/>
    </xf>
    <xf numFmtId="4" fontId="23" fillId="8" borderId="29" xfId="4" applyNumberFormat="1" applyFont="1" applyFill="1" applyBorder="1" applyAlignment="1">
      <alignment horizontal="right" vertical="center"/>
    </xf>
    <xf numFmtId="4" fontId="13" fillId="0" borderId="0" xfId="0" applyNumberFormat="1" applyFont="1"/>
    <xf numFmtId="0" fontId="32" fillId="0" borderId="0" xfId="0" applyFont="1" applyBorder="1" applyAlignment="1">
      <alignment vertical="center" wrapText="1"/>
    </xf>
    <xf numFmtId="0" fontId="13" fillId="0" borderId="0" xfId="0" applyFont="1" applyBorder="1"/>
    <xf numFmtId="0" fontId="32" fillId="0" borderId="0" xfId="0" applyFont="1" applyBorder="1"/>
    <xf numFmtId="49" fontId="24" fillId="2" borderId="29" xfId="2" applyNumberFormat="1" applyFont="1" applyFill="1" applyBorder="1" applyAlignment="1">
      <alignment horizontal="center" vertical="center" wrapText="1"/>
    </xf>
    <xf numFmtId="49" fontId="24" fillId="2" borderId="31" xfId="2" applyNumberFormat="1" applyFont="1" applyFill="1" applyBorder="1" applyAlignment="1">
      <alignment horizontal="center" vertical="center" wrapText="1"/>
    </xf>
    <xf numFmtId="0" fontId="5" fillId="0" borderId="0" xfId="0" applyFont="1" applyAlignment="1">
      <alignment horizontal="center"/>
    </xf>
    <xf numFmtId="49" fontId="23" fillId="0" borderId="31" xfId="2" applyNumberFormat="1" applyFont="1" applyBorder="1" applyAlignment="1">
      <alignment horizontal="center" vertical="center" wrapText="1"/>
    </xf>
    <xf numFmtId="0" fontId="32" fillId="0" borderId="0" xfId="0" applyFont="1" applyBorder="1" applyAlignment="1">
      <alignment horizontal="left" vertical="center" wrapText="1"/>
    </xf>
    <xf numFmtId="0" fontId="23" fillId="8" borderId="29" xfId="3" applyFont="1" applyFill="1" applyBorder="1" applyAlignment="1">
      <alignment horizontal="left" vertical="center" wrapText="1"/>
    </xf>
    <xf numFmtId="0" fontId="25" fillId="5" borderId="29" xfId="2" applyFont="1" applyFill="1" applyBorder="1" applyAlignment="1">
      <alignment horizontal="center" vertical="center"/>
    </xf>
    <xf numFmtId="49" fontId="24" fillId="4" borderId="29" xfId="2" applyNumberFormat="1" applyFont="1" applyFill="1" applyBorder="1" applyAlignment="1">
      <alignment horizontal="center" vertical="center" wrapText="1"/>
    </xf>
    <xf numFmtId="3" fontId="24" fillId="4" borderId="29" xfId="2" applyNumberFormat="1" applyFont="1" applyFill="1" applyBorder="1" applyAlignment="1">
      <alignment horizontal="center" vertical="center" wrapText="1"/>
    </xf>
    <xf numFmtId="49" fontId="14" fillId="0" borderId="0" xfId="0" applyNumberFormat="1" applyFont="1"/>
    <xf numFmtId="3" fontId="24" fillId="6" borderId="29" xfId="2" applyNumberFormat="1" applyFont="1" applyFill="1" applyBorder="1" applyAlignment="1">
      <alignment horizontal="center" vertical="center" wrapText="1"/>
    </xf>
    <xf numFmtId="0" fontId="26" fillId="0" borderId="29" xfId="2" applyFont="1" applyBorder="1" applyAlignment="1">
      <alignment horizontal="center" vertical="center"/>
    </xf>
    <xf numFmtId="0" fontId="25" fillId="0" borderId="29" xfId="2" applyFont="1" applyBorder="1" applyAlignment="1">
      <alignment horizontal="right" vertical="center"/>
    </xf>
    <xf numFmtId="3" fontId="25" fillId="6" borderId="29" xfId="2" applyNumberFormat="1" applyFont="1" applyFill="1" applyBorder="1" applyAlignment="1">
      <alignment horizontal="right" vertical="center"/>
    </xf>
    <xf numFmtId="49" fontId="24" fillId="7" borderId="29" xfId="2" applyNumberFormat="1" applyFont="1" applyFill="1" applyBorder="1" applyAlignment="1">
      <alignment horizontal="center" vertical="center" wrapText="1"/>
    </xf>
    <xf numFmtId="49" fontId="23" fillId="0" borderId="29" xfId="2" applyNumberFormat="1" applyFont="1" applyBorder="1" applyAlignment="1">
      <alignment horizontal="center" vertical="center" wrapText="1"/>
    </xf>
    <xf numFmtId="0" fontId="15" fillId="5" borderId="56" xfId="4" applyFont="1" applyFill="1" applyBorder="1" applyAlignment="1">
      <alignment horizontal="center" vertical="center"/>
    </xf>
    <xf numFmtId="0" fontId="15" fillId="7" borderId="56" xfId="4" applyFont="1" applyFill="1" applyBorder="1" applyAlignment="1">
      <alignment horizontal="center" vertical="center"/>
    </xf>
    <xf numFmtId="0" fontId="15" fillId="0" borderId="56" xfId="4" applyFont="1" applyBorder="1" applyAlignment="1">
      <alignment horizontal="center" vertical="center"/>
    </xf>
    <xf numFmtId="3" fontId="15" fillId="6" borderId="56" xfId="4" applyNumberFormat="1" applyFont="1" applyFill="1" applyBorder="1" applyAlignment="1">
      <alignment horizontal="center" vertical="center"/>
    </xf>
    <xf numFmtId="0" fontId="27" fillId="0" borderId="57" xfId="2" applyFont="1" applyBorder="1" applyAlignment="1">
      <alignment horizontal="right" vertical="center" wrapText="1"/>
    </xf>
    <xf numFmtId="0" fontId="14" fillId="0" borderId="57" xfId="0" applyFont="1" applyBorder="1" applyAlignment="1">
      <alignment horizontal="center" vertical="center"/>
    </xf>
    <xf numFmtId="4" fontId="14" fillId="7" borderId="57" xfId="0" applyNumberFormat="1" applyFont="1" applyFill="1" applyBorder="1" applyAlignment="1">
      <alignment vertical="center"/>
    </xf>
    <xf numFmtId="3" fontId="14" fillId="9" borderId="46" xfId="0" quotePrefix="1" applyNumberFormat="1" applyFont="1" applyFill="1" applyBorder="1" applyAlignment="1">
      <alignment vertical="center"/>
    </xf>
    <xf numFmtId="49" fontId="14" fillId="0" borderId="0" xfId="0" applyNumberFormat="1" applyFont="1" applyAlignment="1">
      <alignment vertical="center"/>
    </xf>
    <xf numFmtId="0" fontId="14" fillId="0" borderId="0" xfId="0" applyFont="1" applyAlignment="1">
      <alignment vertical="center"/>
    </xf>
    <xf numFmtId="0" fontId="27" fillId="0" borderId="29" xfId="2" applyFont="1" applyBorder="1" applyAlignment="1">
      <alignment horizontal="right" vertical="center" wrapText="1"/>
    </xf>
    <xf numFmtId="0" fontId="14" fillId="0" borderId="56" xfId="0" applyFont="1" applyBorder="1" applyAlignment="1">
      <alignment horizontal="center" vertical="center"/>
    </xf>
    <xf numFmtId="4" fontId="14" fillId="7" borderId="56" xfId="0" applyNumberFormat="1" applyFont="1" applyFill="1" applyBorder="1" applyAlignment="1">
      <alignment vertical="center"/>
    </xf>
    <xf numFmtId="0" fontId="14" fillId="0" borderId="29" xfId="0" applyFont="1" applyBorder="1" applyAlignment="1">
      <alignment horizontal="center" vertical="center"/>
    </xf>
    <xf numFmtId="3" fontId="14" fillId="9" borderId="27" xfId="0" quotePrefix="1" applyNumberFormat="1" applyFont="1" applyFill="1" applyBorder="1" applyAlignment="1">
      <alignment vertical="center"/>
    </xf>
    <xf numFmtId="0" fontId="23" fillId="0" borderId="33" xfId="2" applyFont="1" applyBorder="1" applyAlignment="1">
      <alignment horizontal="left" vertical="center" wrapText="1"/>
    </xf>
    <xf numFmtId="4" fontId="14" fillId="7" borderId="29" xfId="0" applyNumberFormat="1" applyFont="1" applyFill="1" applyBorder="1" applyAlignment="1">
      <alignment vertical="center"/>
    </xf>
    <xf numFmtId="0" fontId="27" fillId="0" borderId="58" xfId="2" applyFont="1" applyBorder="1" applyAlignment="1">
      <alignment horizontal="right" vertical="center" wrapText="1"/>
    </xf>
    <xf numFmtId="0" fontId="14" fillId="0" borderId="58" xfId="0" applyFont="1" applyBorder="1" applyAlignment="1">
      <alignment horizontal="center" vertical="center"/>
    </xf>
    <xf numFmtId="4" fontId="14" fillId="7" borderId="58" xfId="0" applyNumberFormat="1" applyFont="1" applyFill="1" applyBorder="1" applyAlignment="1">
      <alignment vertical="center"/>
    </xf>
    <xf numFmtId="3" fontId="14" fillId="9" borderId="22" xfId="0" quotePrefix="1" applyNumberFormat="1" applyFont="1" applyFill="1" applyBorder="1" applyAlignment="1">
      <alignment vertical="center"/>
    </xf>
    <xf numFmtId="0" fontId="23" fillId="0" borderId="39" xfId="2" applyFont="1" applyBorder="1" applyAlignment="1">
      <alignment vertical="center" wrapText="1"/>
    </xf>
    <xf numFmtId="0" fontId="27" fillId="0" borderId="40" xfId="2" applyFont="1" applyBorder="1" applyAlignment="1">
      <alignment horizontal="right" vertical="center" wrapText="1"/>
    </xf>
    <xf numFmtId="3" fontId="14" fillId="9" borderId="59" xfId="0" quotePrefix="1" applyNumberFormat="1" applyFont="1" applyFill="1" applyBorder="1" applyAlignment="1">
      <alignment vertical="center"/>
    </xf>
    <xf numFmtId="2" fontId="14" fillId="0" borderId="56" xfId="0" applyNumberFormat="1" applyFont="1" applyBorder="1" applyAlignment="1">
      <alignment horizontal="center" vertical="center"/>
    </xf>
    <xf numFmtId="2" fontId="14" fillId="0" borderId="29" xfId="0" applyNumberFormat="1" applyFont="1" applyBorder="1" applyAlignment="1">
      <alignment horizontal="center" vertical="center"/>
    </xf>
    <xf numFmtId="0" fontId="23" fillId="0" borderId="60" xfId="2" applyFont="1" applyBorder="1" applyAlignment="1">
      <alignment vertical="center" wrapText="1"/>
    </xf>
    <xf numFmtId="0" fontId="27" fillId="0" borderId="61" xfId="2" applyFont="1" applyBorder="1" applyAlignment="1">
      <alignment horizontal="right" vertical="center" wrapText="1"/>
    </xf>
    <xf numFmtId="0" fontId="14" fillId="0" borderId="62" xfId="0" applyFont="1" applyBorder="1" applyAlignment="1">
      <alignment horizontal="center" vertical="center"/>
    </xf>
    <xf numFmtId="4" fontId="14" fillId="7" borderId="61" xfId="0" applyNumberFormat="1" applyFont="1" applyFill="1" applyBorder="1" applyAlignment="1">
      <alignment vertical="center"/>
    </xf>
    <xf numFmtId="0" fontId="14" fillId="0" borderId="61" xfId="0" applyFont="1" applyBorder="1" applyAlignment="1">
      <alignment horizontal="center" vertical="center"/>
    </xf>
    <xf numFmtId="0" fontId="5" fillId="0" borderId="0" xfId="4" applyFont="1" applyAlignment="1">
      <alignment vertical="center"/>
    </xf>
    <xf numFmtId="0" fontId="14" fillId="0" borderId="7" xfId="0" applyFont="1" applyBorder="1"/>
    <xf numFmtId="0" fontId="14" fillId="0" borderId="0" xfId="0" applyFont="1" applyAlignment="1">
      <alignment horizontal="center" wrapText="1"/>
    </xf>
    <xf numFmtId="0" fontId="29" fillId="0" borderId="0" xfId="0" applyFont="1" applyAlignment="1">
      <alignment horizontal="center" wrapText="1"/>
    </xf>
    <xf numFmtId="2" fontId="29" fillId="0" borderId="0" xfId="0" applyNumberFormat="1" applyFont="1" applyAlignment="1">
      <alignment horizontal="center"/>
    </xf>
    <xf numFmtId="2" fontId="33" fillId="0" borderId="0" xfId="0" applyNumberFormat="1" applyFont="1" applyAlignment="1">
      <alignment horizontal="center"/>
    </xf>
    <xf numFmtId="49" fontId="24" fillId="0" borderId="63" xfId="2" applyNumberFormat="1" applyFont="1" applyBorder="1" applyAlignment="1">
      <alignment horizontal="center" vertical="center" wrapText="1"/>
    </xf>
    <xf numFmtId="49" fontId="24" fillId="0" borderId="31" xfId="2" applyNumberFormat="1" applyFont="1" applyBorder="1" applyAlignment="1">
      <alignment horizontal="center" vertical="center" wrapText="1"/>
    </xf>
    <xf numFmtId="0" fontId="25" fillId="5" borderId="0" xfId="2" applyFont="1" applyFill="1" applyAlignment="1">
      <alignment horizontal="center" vertical="center"/>
    </xf>
    <xf numFmtId="0" fontId="26" fillId="5" borderId="0" xfId="2" applyFont="1" applyFill="1" applyAlignment="1">
      <alignment horizontal="right" vertical="center"/>
    </xf>
    <xf numFmtId="49" fontId="23" fillId="5" borderId="64" xfId="2" applyNumberFormat="1" applyFont="1" applyFill="1" applyBorder="1" applyAlignment="1">
      <alignment horizontal="center" vertical="center" wrapText="1"/>
    </xf>
    <xf numFmtId="49" fontId="23" fillId="5" borderId="65" xfId="2" applyNumberFormat="1" applyFont="1" applyFill="1" applyBorder="1" applyAlignment="1">
      <alignment horizontal="center" vertical="center" wrapText="1"/>
    </xf>
    <xf numFmtId="0" fontId="23" fillId="5" borderId="66" xfId="4" applyFont="1" applyFill="1" applyBorder="1" applyAlignment="1">
      <alignment horizontal="center" vertical="center"/>
    </xf>
    <xf numFmtId="0" fontId="23" fillId="5" borderId="67" xfId="4" applyFont="1" applyFill="1" applyBorder="1" applyAlignment="1">
      <alignment horizontal="center" vertical="center"/>
    </xf>
    <xf numFmtId="0" fontId="23" fillId="5" borderId="35" xfId="4" applyFont="1" applyFill="1" applyBorder="1" applyAlignment="1">
      <alignment horizontal="center" vertical="center"/>
    </xf>
    <xf numFmtId="0" fontId="23" fillId="5" borderId="36" xfId="4" applyFont="1" applyFill="1" applyBorder="1" applyAlignment="1">
      <alignment horizontal="center" vertical="center"/>
    </xf>
    <xf numFmtId="0" fontId="23" fillId="5" borderId="68" xfId="4" applyFont="1" applyFill="1" applyBorder="1" applyAlignment="1">
      <alignment horizontal="center" vertical="center"/>
    </xf>
    <xf numFmtId="0" fontId="23" fillId="5" borderId="69" xfId="4" applyFont="1" applyFill="1" applyBorder="1" applyAlignment="1">
      <alignment horizontal="center" vertical="center"/>
    </xf>
    <xf numFmtId="0" fontId="24" fillId="5" borderId="68" xfId="4" applyFont="1" applyFill="1" applyBorder="1" applyAlignment="1">
      <alignment horizontal="center" vertical="center"/>
    </xf>
    <xf numFmtId="0" fontId="23" fillId="8" borderId="70" xfId="3" applyFont="1" applyFill="1" applyBorder="1" applyAlignment="1">
      <alignment horizontal="left" vertical="center" wrapText="1"/>
    </xf>
    <xf numFmtId="0" fontId="23" fillId="8" borderId="71" xfId="3" applyFont="1" applyFill="1" applyBorder="1" applyAlignment="1">
      <alignment horizontal="center" vertical="center" wrapText="1"/>
    </xf>
    <xf numFmtId="3" fontId="23" fillId="8" borderId="70" xfId="4" applyNumberFormat="1" applyFont="1" applyFill="1" applyBorder="1" applyAlignment="1">
      <alignment horizontal="center" vertical="center"/>
    </xf>
    <xf numFmtId="4" fontId="23" fillId="8" borderId="46" xfId="4" applyNumberFormat="1" applyFont="1" applyFill="1" applyBorder="1" applyAlignment="1">
      <alignment horizontal="right" vertical="center"/>
    </xf>
    <xf numFmtId="3" fontId="23" fillId="8" borderId="63" xfId="4" applyNumberFormat="1" applyFont="1" applyFill="1" applyBorder="1" applyAlignment="1">
      <alignment horizontal="center" vertical="center"/>
    </xf>
    <xf numFmtId="4" fontId="24" fillId="8" borderId="72" xfId="4" applyNumberFormat="1" applyFont="1" applyFill="1" applyBorder="1" applyAlignment="1">
      <alignment horizontal="right" vertical="center"/>
    </xf>
    <xf numFmtId="0" fontId="23" fillId="8" borderId="33" xfId="3" applyFont="1" applyFill="1" applyBorder="1" applyAlignment="1">
      <alignment horizontal="left" vertical="center" wrapText="1"/>
    </xf>
    <xf numFmtId="0" fontId="23" fillId="8" borderId="28" xfId="3" applyFont="1" applyFill="1" applyBorder="1" applyAlignment="1">
      <alignment horizontal="center" vertical="center" wrapText="1"/>
    </xf>
    <xf numFmtId="3" fontId="23" fillId="8" borderId="33" xfId="4" applyNumberFormat="1" applyFont="1" applyFill="1" applyBorder="1" applyAlignment="1">
      <alignment horizontal="center" vertical="center"/>
    </xf>
    <xf numFmtId="4" fontId="23" fillId="8" borderId="27" xfId="4" applyNumberFormat="1" applyFont="1" applyFill="1" applyBorder="1" applyAlignment="1">
      <alignment horizontal="right" vertical="center"/>
    </xf>
    <xf numFmtId="3" fontId="23" fillId="8" borderId="31" xfId="4" applyNumberFormat="1" applyFont="1" applyFill="1" applyBorder="1" applyAlignment="1">
      <alignment horizontal="center" vertical="center"/>
    </xf>
    <xf numFmtId="4" fontId="24" fillId="8" borderId="14" xfId="4" applyNumberFormat="1" applyFont="1" applyFill="1" applyBorder="1" applyAlignment="1">
      <alignment horizontal="right" vertical="center"/>
    </xf>
    <xf numFmtId="0" fontId="23" fillId="8" borderId="73" xfId="3" applyFont="1" applyFill="1" applyBorder="1" applyAlignment="1">
      <alignment horizontal="left" vertical="center" wrapText="1"/>
    </xf>
    <xf numFmtId="0" fontId="23" fillId="8" borderId="23" xfId="3" applyFont="1" applyFill="1" applyBorder="1" applyAlignment="1">
      <alignment horizontal="center" vertical="center" wrapText="1"/>
    </xf>
    <xf numFmtId="3" fontId="23" fillId="8" borderId="73" xfId="4" applyNumberFormat="1" applyFont="1" applyFill="1" applyBorder="1" applyAlignment="1">
      <alignment horizontal="center" vertical="center"/>
    </xf>
    <xf numFmtId="4" fontId="23" fillId="8" borderId="22" xfId="4" applyNumberFormat="1" applyFont="1" applyFill="1" applyBorder="1" applyAlignment="1">
      <alignment horizontal="right" vertical="center"/>
    </xf>
    <xf numFmtId="3" fontId="23" fillId="8" borderId="74" xfId="4" applyNumberFormat="1" applyFont="1" applyFill="1" applyBorder="1" applyAlignment="1">
      <alignment horizontal="center" vertical="center"/>
    </xf>
    <xf numFmtId="4" fontId="24" fillId="8" borderId="21" xfId="4" applyNumberFormat="1" applyFont="1" applyFill="1" applyBorder="1" applyAlignment="1">
      <alignment horizontal="right" vertical="center"/>
    </xf>
    <xf numFmtId="3" fontId="24" fillId="0" borderId="75" xfId="4" applyNumberFormat="1" applyFont="1" applyFill="1" applyBorder="1" applyAlignment="1">
      <alignment horizontal="center" vertical="center"/>
    </xf>
    <xf numFmtId="0" fontId="24" fillId="0" borderId="0" xfId="4" applyFont="1" applyFill="1" applyBorder="1" applyAlignment="1">
      <alignment horizontal="right" vertical="center" wrapText="1"/>
    </xf>
    <xf numFmtId="3" fontId="24" fillId="0" borderId="0" xfId="4" applyNumberFormat="1" applyFont="1" applyFill="1" applyBorder="1" applyAlignment="1">
      <alignment horizontal="center" vertical="center"/>
    </xf>
    <xf numFmtId="49" fontId="23" fillId="0" borderId="63" xfId="2" applyNumberFormat="1" applyFont="1" applyBorder="1" applyAlignment="1">
      <alignment horizontal="center" vertical="center" wrapText="1"/>
    </xf>
    <xf numFmtId="49" fontId="23" fillId="3" borderId="76" xfId="4" applyNumberFormat="1" applyFont="1" applyFill="1" applyBorder="1" applyAlignment="1">
      <alignment horizontal="center" vertical="center" wrapText="1"/>
    </xf>
    <xf numFmtId="0" fontId="23" fillId="2" borderId="1" xfId="4" applyFont="1" applyFill="1" applyBorder="1" applyAlignment="1">
      <alignment horizontal="left" vertical="center" wrapText="1"/>
    </xf>
    <xf numFmtId="0" fontId="23" fillId="2" borderId="2" xfId="4" applyFont="1" applyFill="1" applyBorder="1" applyAlignment="1">
      <alignment horizontal="center" vertical="center" wrapText="1"/>
    </xf>
    <xf numFmtId="3" fontId="23" fillId="2" borderId="3" xfId="4" applyNumberFormat="1" applyFont="1" applyFill="1" applyBorder="1" applyAlignment="1">
      <alignment horizontal="center" vertical="center"/>
    </xf>
    <xf numFmtId="4" fontId="23" fillId="2" borderId="4" xfId="4" applyNumberFormat="1" applyFont="1" applyFill="1" applyBorder="1" applyAlignment="1">
      <alignment horizontal="right" vertical="center"/>
    </xf>
    <xf numFmtId="3" fontId="23" fillId="2" borderId="5" xfId="4" applyNumberFormat="1" applyFont="1" applyFill="1" applyBorder="1" applyAlignment="1">
      <alignment horizontal="center" vertical="center"/>
    </xf>
    <xf numFmtId="3" fontId="35" fillId="2" borderId="3" xfId="4" applyNumberFormat="1" applyFont="1" applyFill="1" applyBorder="1" applyAlignment="1">
      <alignment horizontal="center" vertical="center"/>
    </xf>
    <xf numFmtId="4" fontId="35" fillId="2" borderId="4" xfId="4" applyNumberFormat="1" applyFont="1" applyFill="1" applyBorder="1" applyAlignment="1">
      <alignment horizontal="right" vertical="center"/>
    </xf>
    <xf numFmtId="3" fontId="35" fillId="2" borderId="5" xfId="4" applyNumberFormat="1" applyFont="1" applyFill="1" applyBorder="1" applyAlignment="1">
      <alignment horizontal="center" vertical="center"/>
    </xf>
    <xf numFmtId="3" fontId="35" fillId="2" borderId="4" xfId="4" applyNumberFormat="1" applyFont="1" applyFill="1" applyBorder="1" applyAlignment="1">
      <alignment horizontal="right" vertical="center"/>
    </xf>
    <xf numFmtId="49" fontId="23" fillId="3" borderId="6" xfId="4" applyNumberFormat="1" applyFont="1" applyFill="1" applyBorder="1" applyAlignment="1">
      <alignment horizontal="center" vertical="center" wrapText="1"/>
    </xf>
    <xf numFmtId="3" fontId="24" fillId="0" borderId="20" xfId="4" applyNumberFormat="1" applyFont="1" applyBorder="1" applyAlignment="1">
      <alignment horizontal="center" vertical="center"/>
    </xf>
    <xf numFmtId="4" fontId="24" fillId="0" borderId="21" xfId="4" applyNumberFormat="1" applyFont="1" applyBorder="1" applyAlignment="1">
      <alignment horizontal="right" vertical="center"/>
    </xf>
    <xf numFmtId="3" fontId="24" fillId="0" borderId="75" xfId="4" applyNumberFormat="1" applyFont="1" applyBorder="1" applyAlignment="1">
      <alignment horizontal="center" vertical="center"/>
    </xf>
    <xf numFmtId="3" fontId="32" fillId="0" borderId="20" xfId="4" applyNumberFormat="1" applyFont="1" applyBorder="1" applyAlignment="1">
      <alignment horizontal="center" vertical="center"/>
    </xf>
    <xf numFmtId="3" fontId="32" fillId="0" borderId="75" xfId="4" applyNumberFormat="1" applyFont="1" applyBorder="1" applyAlignment="1">
      <alignment horizontal="center" vertical="center"/>
    </xf>
    <xf numFmtId="49" fontId="23" fillId="0" borderId="77" xfId="4" applyNumberFormat="1" applyFont="1" applyBorder="1" applyAlignment="1">
      <alignment horizontal="center" vertical="center" wrapText="1"/>
    </xf>
    <xf numFmtId="49" fontId="30" fillId="0" borderId="77" xfId="4" applyNumberFormat="1" applyFont="1" applyBorder="1" applyAlignment="1">
      <alignment horizontal="center" vertical="center" wrapText="1"/>
    </xf>
    <xf numFmtId="0" fontId="36" fillId="0" borderId="0" xfId="0" applyFont="1"/>
    <xf numFmtId="0" fontId="37" fillId="0" borderId="0" xfId="0" applyFont="1"/>
    <xf numFmtId="0" fontId="4" fillId="0" borderId="0" xfId="0" applyFont="1" applyFill="1"/>
    <xf numFmtId="0" fontId="4" fillId="0" borderId="0" xfId="0" applyFont="1" applyAlignment="1">
      <alignment vertical="center"/>
    </xf>
    <xf numFmtId="0" fontId="6" fillId="0" borderId="0" xfId="0" applyFont="1" applyAlignment="1">
      <alignment horizontal="left" wrapText="1"/>
    </xf>
    <xf numFmtId="49" fontId="24" fillId="2" borderId="29" xfId="2" applyNumberFormat="1" applyFont="1" applyFill="1" applyBorder="1" applyAlignment="1">
      <alignment horizontal="center" vertical="center" wrapText="1"/>
    </xf>
    <xf numFmtId="49" fontId="24" fillId="2" borderId="31" xfId="2" applyNumberFormat="1" applyFont="1" applyFill="1" applyBorder="1" applyAlignment="1">
      <alignment horizontal="center" vertical="center" wrapText="1"/>
    </xf>
    <xf numFmtId="0" fontId="22" fillId="0" borderId="0" xfId="2" applyFont="1" applyAlignment="1">
      <alignment horizontal="center" vertical="center" wrapText="1"/>
    </xf>
    <xf numFmtId="0" fontId="23" fillId="0" borderId="33" xfId="2" applyFont="1" applyBorder="1" applyAlignment="1">
      <alignment horizontal="left" vertical="center" wrapText="1"/>
    </xf>
    <xf numFmtId="0" fontId="32" fillId="0" borderId="0" xfId="0" applyFont="1" applyBorder="1" applyAlignment="1">
      <alignment horizontal="left" vertical="center" wrapText="1"/>
    </xf>
    <xf numFmtId="0" fontId="23" fillId="8" borderId="29" xfId="3" applyFont="1" applyFill="1" applyBorder="1" applyAlignment="1">
      <alignment horizontal="left" vertical="center" wrapText="1"/>
    </xf>
    <xf numFmtId="0" fontId="25" fillId="5" borderId="29" xfId="2" applyFont="1" applyFill="1" applyBorder="1" applyAlignment="1">
      <alignment horizontal="center" vertical="center"/>
    </xf>
    <xf numFmtId="0" fontId="43" fillId="0" borderId="0" xfId="0" applyFont="1"/>
    <xf numFmtId="0" fontId="44" fillId="0" borderId="0" xfId="2" applyFont="1" applyAlignment="1">
      <alignment horizontal="center" vertical="center" wrapText="1"/>
    </xf>
    <xf numFmtId="0" fontId="27" fillId="0" borderId="78" xfId="0" applyFont="1" applyBorder="1" applyAlignment="1">
      <alignment vertical="top"/>
    </xf>
    <xf numFmtId="0" fontId="46" fillId="0" borderId="0" xfId="0" applyFont="1"/>
    <xf numFmtId="3" fontId="6" fillId="0" borderId="40" xfId="4" applyNumberFormat="1" applyFont="1" applyBorder="1" applyAlignment="1">
      <alignment horizontal="center" vertical="center"/>
    </xf>
    <xf numFmtId="0" fontId="42" fillId="0" borderId="0" xfId="0" applyFont="1" applyAlignment="1">
      <alignment horizontal="center"/>
    </xf>
    <xf numFmtId="164" fontId="36" fillId="0" borderId="0" xfId="0" applyNumberFormat="1" applyFont="1"/>
    <xf numFmtId="2" fontId="36" fillId="0" borderId="0" xfId="0" applyNumberFormat="1" applyFont="1"/>
    <xf numFmtId="0" fontId="42" fillId="0" borderId="0" xfId="0" applyFont="1"/>
    <xf numFmtId="3" fontId="42" fillId="0" borderId="0" xfId="0" applyNumberFormat="1" applyFont="1" applyAlignment="1">
      <alignment vertical="top"/>
    </xf>
    <xf numFmtId="0" fontId="47" fillId="0" borderId="0" xfId="0" applyFont="1"/>
    <xf numFmtId="0" fontId="45" fillId="0" borderId="0" xfId="0" applyFont="1" applyAlignment="1">
      <alignment horizontal="left" vertical="top" wrapText="1"/>
    </xf>
    <xf numFmtId="4" fontId="39" fillId="0" borderId="0" xfId="4" applyNumberFormat="1" applyFont="1" applyAlignment="1">
      <alignment horizontal="right" vertical="center"/>
    </xf>
    <xf numFmtId="3" fontId="39" fillId="0" borderId="0" xfId="4" applyNumberFormat="1" applyFont="1" applyAlignment="1">
      <alignment horizontal="center" vertical="center"/>
    </xf>
    <xf numFmtId="0" fontId="23" fillId="0" borderId="79" xfId="4" applyFont="1" applyBorder="1" applyAlignment="1">
      <alignment vertical="top" wrapText="1"/>
    </xf>
    <xf numFmtId="0" fontId="26" fillId="5" borderId="11" xfId="2" applyFont="1" applyFill="1" applyBorder="1" applyAlignment="1">
      <alignment horizontal="right" vertical="center"/>
    </xf>
    <xf numFmtId="0" fontId="23" fillId="5" borderId="80" xfId="4" applyFont="1" applyFill="1" applyBorder="1" applyAlignment="1">
      <alignment horizontal="center" vertical="center"/>
    </xf>
    <xf numFmtId="0" fontId="24" fillId="5" borderId="66" xfId="4" applyFont="1" applyFill="1" applyBorder="1" applyAlignment="1">
      <alignment horizontal="center" vertical="center"/>
    </xf>
    <xf numFmtId="0" fontId="43" fillId="0" borderId="0" xfId="0" applyFont="1" applyAlignment="1">
      <alignment vertical="top" wrapText="1"/>
    </xf>
    <xf numFmtId="0" fontId="34" fillId="0" borderId="0" xfId="3" applyFont="1" applyBorder="1" applyAlignment="1">
      <alignment vertical="center" wrapText="1"/>
    </xf>
    <xf numFmtId="0" fontId="34" fillId="0" borderId="7" xfId="3" applyFont="1" applyBorder="1" applyAlignment="1">
      <alignment vertical="center" wrapText="1"/>
    </xf>
    <xf numFmtId="49" fontId="24" fillId="2" borderId="29" xfId="2" applyNumberFormat="1" applyFont="1" applyFill="1" applyBorder="1" applyAlignment="1">
      <alignment horizontal="center" vertical="center" wrapText="1"/>
    </xf>
    <xf numFmtId="49" fontId="24" fillId="4" borderId="29" xfId="2" applyNumberFormat="1" applyFont="1" applyFill="1" applyBorder="1" applyAlignment="1">
      <alignment horizontal="center" vertical="center" wrapText="1"/>
    </xf>
    <xf numFmtId="0" fontId="27" fillId="0" borderId="56" xfId="2" applyFont="1" applyBorder="1" applyAlignment="1">
      <alignment horizontal="right" vertical="center" wrapText="1"/>
    </xf>
    <xf numFmtId="4" fontId="23" fillId="8" borderId="29" xfId="4" applyNumberFormat="1" applyFont="1" applyFill="1" applyBorder="1" applyAlignment="1">
      <alignment horizontal="center" vertical="center"/>
    </xf>
    <xf numFmtId="3" fontId="14" fillId="0" borderId="81" xfId="0" applyNumberFormat="1" applyFont="1" applyBorder="1" applyAlignment="1">
      <alignment horizontal="center" vertical="center"/>
    </xf>
    <xf numFmtId="3" fontId="14" fillId="2" borderId="82" xfId="0" applyNumberFormat="1" applyFont="1" applyFill="1" applyBorder="1" applyAlignment="1">
      <alignment vertical="center"/>
    </xf>
    <xf numFmtId="3" fontId="14" fillId="9" borderId="83" xfId="0" quotePrefix="1" applyNumberFormat="1" applyFont="1" applyFill="1" applyBorder="1" applyAlignment="1">
      <alignment vertical="center"/>
    </xf>
    <xf numFmtId="3" fontId="14" fillId="0" borderId="84" xfId="0" applyNumberFormat="1" applyFont="1" applyBorder="1" applyAlignment="1">
      <alignment horizontal="center" vertical="center"/>
    </xf>
    <xf numFmtId="3" fontId="14" fillId="2" borderId="85" xfId="0" applyNumberFormat="1" applyFont="1" applyFill="1" applyBorder="1" applyAlignment="1">
      <alignment vertical="center"/>
    </xf>
    <xf numFmtId="3" fontId="14" fillId="9" borderId="86" xfId="0" quotePrefix="1" applyNumberFormat="1" applyFont="1" applyFill="1" applyBorder="1" applyAlignment="1">
      <alignment vertical="center"/>
    </xf>
    <xf numFmtId="4" fontId="14" fillId="0" borderId="42" xfId="0" applyNumberFormat="1" applyFont="1" applyBorder="1" applyAlignment="1">
      <alignment horizontal="center" vertical="center"/>
    </xf>
    <xf numFmtId="4" fontId="14" fillId="0" borderId="87" xfId="0" applyNumberFormat="1" applyFont="1" applyBorder="1" applyAlignment="1">
      <alignment horizontal="center" vertical="center"/>
    </xf>
    <xf numFmtId="4" fontId="14" fillId="2" borderId="88" xfId="0" applyNumberFormat="1" applyFont="1" applyFill="1" applyBorder="1" applyAlignment="1">
      <alignment vertical="center"/>
    </xf>
    <xf numFmtId="4" fontId="23" fillId="8" borderId="71" xfId="4" applyNumberFormat="1" applyFont="1" applyFill="1" applyBorder="1" applyAlignment="1">
      <alignment horizontal="right" vertical="center"/>
    </xf>
    <xf numFmtId="4" fontId="24" fillId="8" borderId="64" xfId="4" applyNumberFormat="1" applyFont="1" applyFill="1" applyBorder="1" applyAlignment="1">
      <alignment horizontal="right" vertical="center"/>
    </xf>
    <xf numFmtId="4" fontId="23" fillId="8" borderId="28" xfId="4" applyNumberFormat="1" applyFont="1" applyFill="1" applyBorder="1" applyAlignment="1">
      <alignment horizontal="right" vertical="center"/>
    </xf>
    <xf numFmtId="4" fontId="24" fillId="8" borderId="17" xfId="4" applyNumberFormat="1" applyFont="1" applyFill="1" applyBorder="1" applyAlignment="1">
      <alignment horizontal="right" vertical="center"/>
    </xf>
    <xf numFmtId="4" fontId="23" fillId="8" borderId="23" xfId="4" applyNumberFormat="1" applyFont="1" applyFill="1" applyBorder="1" applyAlignment="1">
      <alignment horizontal="right" vertical="center"/>
    </xf>
    <xf numFmtId="4" fontId="24" fillId="8" borderId="89" xfId="4" applyNumberFormat="1" applyFont="1" applyFill="1" applyBorder="1" applyAlignment="1">
      <alignment horizontal="right" vertical="center"/>
    </xf>
    <xf numFmtId="3" fontId="24" fillId="0" borderId="90" xfId="4" applyNumberFormat="1" applyFont="1" applyFill="1" applyBorder="1" applyAlignment="1">
      <alignment horizontal="center" vertical="center"/>
    </xf>
    <xf numFmtId="3" fontId="24" fillId="0" borderId="89" xfId="4" applyNumberFormat="1" applyFont="1" applyFill="1" applyBorder="1" applyAlignment="1">
      <alignment horizontal="center" vertical="center"/>
    </xf>
    <xf numFmtId="3" fontId="18" fillId="6" borderId="91" xfId="0" applyNumberFormat="1" applyFont="1" applyFill="1" applyBorder="1" applyAlignment="1">
      <alignment horizontal="right" vertical="center"/>
    </xf>
    <xf numFmtId="3" fontId="14" fillId="6" borderId="92" xfId="0" applyNumberFormat="1" applyFont="1" applyFill="1" applyBorder="1" applyAlignment="1">
      <alignment vertical="center"/>
    </xf>
    <xf numFmtId="3" fontId="14" fillId="6" borderId="93" xfId="0" applyNumberFormat="1" applyFont="1" applyFill="1" applyBorder="1" applyAlignment="1">
      <alignment vertical="center"/>
    </xf>
    <xf numFmtId="3" fontId="13" fillId="0" borderId="53" xfId="0" applyNumberFormat="1" applyFont="1" applyFill="1" applyBorder="1" applyAlignment="1">
      <alignment vertical="center"/>
    </xf>
    <xf numFmtId="3" fontId="13" fillId="6" borderId="94" xfId="0" applyNumberFormat="1" applyFont="1" applyFill="1" applyBorder="1" applyAlignment="1">
      <alignment vertical="center"/>
    </xf>
    <xf numFmtId="3" fontId="13" fillId="4" borderId="59" xfId="0" applyNumberFormat="1" applyFont="1" applyFill="1" applyBorder="1"/>
    <xf numFmtId="4" fontId="13" fillId="0" borderId="9" xfId="0" applyNumberFormat="1" applyFont="1" applyBorder="1" applyAlignment="1">
      <alignment horizontal="right" vertical="center"/>
    </xf>
    <xf numFmtId="2" fontId="5" fillId="0" borderId="0" xfId="0" applyNumberFormat="1" applyFont="1"/>
    <xf numFmtId="3" fontId="38" fillId="0" borderId="0" xfId="0" applyNumberFormat="1" applyFont="1" applyAlignment="1">
      <alignment horizontal="center" vertical="top"/>
    </xf>
    <xf numFmtId="4" fontId="5" fillId="0" borderId="0" xfId="0" applyNumberFormat="1" applyFont="1"/>
    <xf numFmtId="0" fontId="16" fillId="10" borderId="91" xfId="0" applyFont="1" applyFill="1" applyBorder="1" applyAlignment="1">
      <alignment horizontal="center" vertical="center" wrapText="1"/>
    </xf>
    <xf numFmtId="0" fontId="16" fillId="10" borderId="91" xfId="0" applyFont="1" applyFill="1" applyBorder="1" applyAlignment="1">
      <alignment horizontal="right" vertical="center" wrapText="1"/>
    </xf>
    <xf numFmtId="3" fontId="17" fillId="10" borderId="91" xfId="0" applyNumberFormat="1" applyFont="1" applyFill="1" applyBorder="1" applyAlignment="1">
      <alignment horizontal="right" vertical="center" wrapText="1"/>
    </xf>
    <xf numFmtId="0" fontId="15" fillId="6" borderId="91" xfId="0" applyFont="1" applyFill="1" applyBorder="1" applyAlignment="1">
      <alignment vertical="center" wrapText="1"/>
    </xf>
    <xf numFmtId="0" fontId="15" fillId="6" borderId="91" xfId="0" applyFont="1" applyFill="1" applyBorder="1" applyAlignment="1">
      <alignment horizontal="left" vertical="center" wrapText="1"/>
    </xf>
    <xf numFmtId="0" fontId="49" fillId="6" borderId="91" xfId="0" applyFont="1" applyFill="1" applyBorder="1" applyAlignment="1">
      <alignment horizontal="left" vertical="center" wrapText="1"/>
    </xf>
    <xf numFmtId="0" fontId="15" fillId="6" borderId="95" xfId="0" applyFont="1" applyFill="1" applyBorder="1" applyAlignment="1">
      <alignment vertical="center" wrapText="1"/>
    </xf>
    <xf numFmtId="0" fontId="15" fillId="6" borderId="95" xfId="0" applyFont="1" applyFill="1" applyBorder="1" applyAlignment="1">
      <alignment horizontal="left" vertical="center" wrapText="1"/>
    </xf>
    <xf numFmtId="0" fontId="49" fillId="6" borderId="95" xfId="0" applyFont="1" applyFill="1" applyBorder="1" applyAlignment="1">
      <alignment horizontal="left" vertical="center" wrapText="1"/>
    </xf>
    <xf numFmtId="3" fontId="18" fillId="6" borderId="95" xfId="0" applyNumberFormat="1" applyFont="1" applyFill="1" applyBorder="1" applyAlignment="1">
      <alignment horizontal="right" vertical="center"/>
    </xf>
    <xf numFmtId="49" fontId="23" fillId="0" borderId="31" xfId="2" applyNumberFormat="1" applyFont="1" applyBorder="1" applyAlignment="1">
      <alignment horizontal="center" vertical="center" wrapText="1"/>
    </xf>
    <xf numFmtId="4" fontId="35" fillId="2" borderId="4" xfId="4" applyNumberFormat="1" applyFont="1" applyFill="1" applyBorder="1" applyAlignment="1">
      <alignment horizontal="right" vertical="center"/>
    </xf>
    <xf numFmtId="0" fontId="23" fillId="0" borderId="25" xfId="4" applyFont="1" applyBorder="1" applyAlignment="1">
      <alignment horizontal="left" vertical="center" wrapText="1"/>
    </xf>
    <xf numFmtId="0" fontId="23" fillId="0" borderId="25" xfId="4" applyFont="1" applyBorder="1" applyAlignment="1">
      <alignment horizontal="center" vertical="center" wrapText="1"/>
    </xf>
    <xf numFmtId="3" fontId="23" fillId="4" borderId="26" xfId="4" applyNumberFormat="1" applyFont="1" applyFill="1" applyBorder="1" applyAlignment="1">
      <alignment horizontal="center" vertical="center"/>
    </xf>
    <xf numFmtId="3" fontId="49" fillId="0" borderId="0" xfId="0" applyNumberFormat="1" applyFont="1"/>
    <xf numFmtId="0" fontId="50" fillId="0" borderId="0" xfId="0" applyFont="1"/>
    <xf numFmtId="3" fontId="35" fillId="2" borderId="3" xfId="4" applyNumberFormat="1" applyFont="1" applyFill="1" applyBorder="1" applyAlignment="1">
      <alignment horizontal="center" vertical="center"/>
    </xf>
    <xf numFmtId="4" fontId="23" fillId="2" borderId="4" xfId="4" applyNumberFormat="1" applyFont="1" applyFill="1" applyBorder="1" applyAlignment="1">
      <alignment horizontal="right" vertical="center"/>
    </xf>
    <xf numFmtId="3" fontId="23" fillId="2" borderId="3" xfId="4" applyNumberFormat="1" applyFont="1" applyFill="1" applyBorder="1" applyAlignment="1">
      <alignment horizontal="center" vertical="center"/>
    </xf>
    <xf numFmtId="0" fontId="22" fillId="0" borderId="0" xfId="2" applyFont="1" applyAlignment="1">
      <alignment horizontal="center" vertical="center" wrapText="1"/>
    </xf>
    <xf numFmtId="49" fontId="23" fillId="4" borderId="31" xfId="2" applyNumberFormat="1" applyFont="1" applyFill="1" applyBorder="1" applyAlignment="1">
      <alignment horizontal="center" vertical="center" wrapText="1"/>
    </xf>
    <xf numFmtId="49" fontId="24" fillId="4" borderId="29" xfId="2" applyNumberFormat="1" applyFont="1" applyFill="1" applyBorder="1" applyAlignment="1">
      <alignment horizontal="center" vertical="center" wrapText="1"/>
    </xf>
    <xf numFmtId="49" fontId="24" fillId="11" borderId="8" xfId="2" applyNumberFormat="1" applyFont="1" applyFill="1" applyBorder="1" applyAlignment="1">
      <alignment horizontal="center" vertical="center" wrapText="1"/>
    </xf>
    <xf numFmtId="49" fontId="24" fillId="11" borderId="9" xfId="2" applyNumberFormat="1" applyFont="1" applyFill="1" applyBorder="1" applyAlignment="1">
      <alignment horizontal="center" vertical="center" wrapText="1"/>
    </xf>
    <xf numFmtId="0" fontId="25" fillId="11" borderId="10" xfId="2" applyFont="1" applyFill="1" applyBorder="1" applyAlignment="1">
      <alignment horizontal="center" vertical="center"/>
    </xf>
    <xf numFmtId="0" fontId="25" fillId="11" borderId="2" xfId="2" applyFont="1" applyFill="1" applyBorder="1" applyAlignment="1">
      <alignment horizontal="right" vertical="center"/>
    </xf>
    <xf numFmtId="0" fontId="25" fillId="11" borderId="10" xfId="2" applyFont="1" applyFill="1" applyBorder="1" applyAlignment="1">
      <alignment horizontal="right" vertical="center"/>
    </xf>
    <xf numFmtId="0" fontId="25" fillId="11" borderId="0" xfId="2" applyFont="1" applyFill="1" applyAlignment="1">
      <alignment horizontal="right" vertical="center"/>
    </xf>
    <xf numFmtId="0" fontId="26" fillId="11" borderId="11" xfId="2" applyFont="1" applyFill="1" applyBorder="1" applyAlignment="1">
      <alignment horizontal="right" vertical="center"/>
    </xf>
    <xf numFmtId="49" fontId="23" fillId="11" borderId="13" xfId="2" applyNumberFormat="1" applyFont="1" applyFill="1" applyBorder="1" applyAlignment="1">
      <alignment horizontal="center" vertical="center" wrapText="1"/>
    </xf>
    <xf numFmtId="49" fontId="23" fillId="11" borderId="14" xfId="2" applyNumberFormat="1" applyFont="1" applyFill="1" applyBorder="1" applyAlignment="1">
      <alignment horizontal="center" vertical="center" wrapText="1"/>
    </xf>
    <xf numFmtId="49" fontId="23" fillId="11" borderId="15" xfId="2" applyNumberFormat="1" applyFont="1" applyFill="1" applyBorder="1" applyAlignment="1">
      <alignment horizontal="center" vertical="center" wrapText="1"/>
    </xf>
    <xf numFmtId="49" fontId="24" fillId="11" borderId="14" xfId="2" applyNumberFormat="1" applyFont="1" applyFill="1" applyBorder="1" applyAlignment="1">
      <alignment horizontal="center" vertical="center" wrapText="1"/>
    </xf>
    <xf numFmtId="0" fontId="23" fillId="11" borderId="13" xfId="4" applyFont="1" applyFill="1" applyBorder="1" applyAlignment="1">
      <alignment horizontal="center" vertical="center"/>
    </xf>
    <xf numFmtId="0" fontId="23" fillId="11" borderId="14" xfId="4" applyFont="1" applyFill="1" applyBorder="1" applyAlignment="1">
      <alignment horizontal="center" vertical="center"/>
    </xf>
    <xf numFmtId="0" fontId="23" fillId="11" borderId="15" xfId="4" applyFont="1" applyFill="1" applyBorder="1" applyAlignment="1">
      <alignment horizontal="center" vertical="center"/>
    </xf>
    <xf numFmtId="0" fontId="23" fillId="11" borderId="16" xfId="4" applyFont="1" applyFill="1" applyBorder="1" applyAlignment="1">
      <alignment horizontal="center" vertical="center"/>
    </xf>
    <xf numFmtId="0" fontId="23" fillId="11" borderId="17" xfId="4" applyFont="1" applyFill="1" applyBorder="1" applyAlignment="1">
      <alignment horizontal="center" vertical="center"/>
    </xf>
    <xf numFmtId="3" fontId="23" fillId="11" borderId="13" xfId="4" applyNumberFormat="1" applyFont="1" applyFill="1" applyBorder="1" applyAlignment="1">
      <alignment horizontal="center" vertical="center"/>
    </xf>
    <xf numFmtId="4" fontId="23" fillId="11" borderId="14" xfId="4" applyNumberFormat="1" applyFont="1" applyFill="1" applyBorder="1" applyAlignment="1">
      <alignment horizontal="right" vertical="center"/>
    </xf>
    <xf numFmtId="3" fontId="13" fillId="11" borderId="24" xfId="0" applyNumberFormat="1" applyFont="1" applyFill="1" applyBorder="1" applyAlignment="1">
      <alignment horizontal="right" vertical="center"/>
    </xf>
    <xf numFmtId="49" fontId="23" fillId="11" borderId="12" xfId="2" applyNumberFormat="1" applyFont="1" applyFill="1" applyBorder="1" applyAlignment="1">
      <alignment horizontal="center" vertical="center" wrapText="1"/>
    </xf>
    <xf numFmtId="0" fontId="23" fillId="11" borderId="12" xfId="4" applyFont="1" applyFill="1" applyBorder="1" applyAlignment="1">
      <alignment horizontal="center" vertical="center"/>
    </xf>
    <xf numFmtId="0" fontId="23" fillId="11" borderId="18" xfId="4" applyFont="1" applyFill="1" applyBorder="1" applyAlignment="1">
      <alignment horizontal="center" vertical="center"/>
    </xf>
    <xf numFmtId="0" fontId="23" fillId="11" borderId="12" xfId="4" applyFont="1" applyFill="1" applyBorder="1" applyAlignment="1">
      <alignment horizontal="left" vertical="center" wrapText="1"/>
    </xf>
    <xf numFmtId="0" fontId="23" fillId="11" borderId="12" xfId="4" applyFont="1" applyFill="1" applyBorder="1" applyAlignment="1">
      <alignment horizontal="center" vertical="center" wrapText="1"/>
    </xf>
    <xf numFmtId="0" fontId="22" fillId="11" borderId="0" xfId="2" applyFont="1" applyFill="1" applyAlignment="1">
      <alignment horizontal="left" vertical="center" wrapText="1"/>
    </xf>
    <xf numFmtId="0" fontId="15" fillId="11" borderId="13" xfId="4" applyFont="1" applyFill="1" applyBorder="1" applyAlignment="1">
      <alignment horizontal="center" vertical="center"/>
    </xf>
    <xf numFmtId="0" fontId="15" fillId="11" borderId="14" xfId="4" applyFont="1" applyFill="1" applyBorder="1" applyAlignment="1">
      <alignment horizontal="center" vertical="center"/>
    </xf>
    <xf numFmtId="0" fontId="15" fillId="11" borderId="15" xfId="4" applyFont="1" applyFill="1" applyBorder="1" applyAlignment="1">
      <alignment horizontal="center" vertical="center"/>
    </xf>
    <xf numFmtId="0" fontId="15" fillId="11" borderId="16" xfId="4" applyFont="1" applyFill="1" applyBorder="1" applyAlignment="1">
      <alignment horizontal="center" vertical="center"/>
    </xf>
    <xf numFmtId="0" fontId="15" fillId="11" borderId="17" xfId="4" applyFont="1" applyFill="1" applyBorder="1" applyAlignment="1">
      <alignment horizontal="center" vertical="center"/>
    </xf>
    <xf numFmtId="3" fontId="23" fillId="11" borderId="26" xfId="4" applyNumberFormat="1" applyFont="1" applyFill="1" applyBorder="1" applyAlignment="1">
      <alignment horizontal="center" vertical="center"/>
    </xf>
    <xf numFmtId="3" fontId="13" fillId="11" borderId="9" xfId="0" applyNumberFormat="1" applyFont="1" applyFill="1" applyBorder="1" applyAlignment="1">
      <alignment horizontal="right" vertical="center"/>
    </xf>
    <xf numFmtId="3" fontId="23" fillId="11" borderId="26" xfId="4" applyNumberFormat="1" applyFont="1" applyFill="1" applyBorder="1" applyAlignment="1">
      <alignment horizontal="center" vertical="center"/>
    </xf>
    <xf numFmtId="3" fontId="23" fillId="11" borderId="40" xfId="4" applyNumberFormat="1" applyFont="1" applyFill="1" applyBorder="1" applyAlignment="1">
      <alignment horizontal="center" vertical="center"/>
    </xf>
    <xf numFmtId="3" fontId="24" fillId="11" borderId="40" xfId="4" applyNumberFormat="1" applyFont="1" applyFill="1" applyBorder="1" applyAlignment="1">
      <alignment horizontal="right" vertical="center"/>
    </xf>
    <xf numFmtId="3" fontId="13" fillId="11" borderId="59" xfId="0" applyNumberFormat="1" applyFont="1" applyFill="1" applyBorder="1"/>
    <xf numFmtId="0" fontId="5" fillId="11" borderId="0" xfId="0" applyFont="1" applyFill="1"/>
    <xf numFmtId="0" fontId="36" fillId="11" borderId="0" xfId="0" applyFont="1" applyFill="1"/>
    <xf numFmtId="0" fontId="23" fillId="11" borderId="0" xfId="0" applyFont="1" applyFill="1" applyAlignment="1">
      <alignment horizontal="left"/>
    </xf>
    <xf numFmtId="0" fontId="14" fillId="11" borderId="0" xfId="0" applyFont="1" applyFill="1"/>
    <xf numFmtId="0" fontId="15" fillId="11" borderId="12" xfId="4" applyFont="1" applyFill="1" applyBorder="1" applyAlignment="1">
      <alignment horizontal="center" vertical="center"/>
    </xf>
    <xf numFmtId="0" fontId="15" fillId="11" borderId="18" xfId="4" applyFont="1" applyFill="1" applyBorder="1" applyAlignment="1">
      <alignment horizontal="center" vertical="center"/>
    </xf>
    <xf numFmtId="0" fontId="23" fillId="11" borderId="25" xfId="4" applyFont="1" applyFill="1" applyBorder="1" applyAlignment="1">
      <alignment horizontal="left" vertical="center" wrapText="1"/>
    </xf>
    <xf numFmtId="0" fontId="23" fillId="11" borderId="25" xfId="4" applyFont="1" applyFill="1" applyBorder="1" applyAlignment="1">
      <alignment horizontal="center" vertical="center" wrapText="1"/>
    </xf>
    <xf numFmtId="0" fontId="23" fillId="11" borderId="25" xfId="4" applyFont="1" applyFill="1" applyBorder="1" applyAlignment="1">
      <alignment horizontal="left" vertical="center" wrapText="1"/>
    </xf>
    <xf numFmtId="0" fontId="23" fillId="11" borderId="25" xfId="4" applyFont="1" applyFill="1" applyBorder="1" applyAlignment="1">
      <alignment horizontal="center" vertical="center" wrapText="1"/>
    </xf>
    <xf numFmtId="0" fontId="49" fillId="11" borderId="25" xfId="4" applyFont="1" applyFill="1" applyBorder="1" applyAlignment="1">
      <alignment horizontal="left" vertical="center" wrapText="1"/>
    </xf>
    <xf numFmtId="0" fontId="49" fillId="11" borderId="25" xfId="4" applyFont="1" applyFill="1" applyBorder="1" applyAlignment="1">
      <alignment horizontal="center" vertical="center" wrapText="1"/>
    </xf>
    <xf numFmtId="3" fontId="49" fillId="11" borderId="26" xfId="4" applyNumberFormat="1" applyFont="1" applyFill="1" applyBorder="1" applyAlignment="1">
      <alignment horizontal="center" vertical="center"/>
    </xf>
    <xf numFmtId="4" fontId="49" fillId="11" borderId="14" xfId="4" applyNumberFormat="1" applyFont="1" applyFill="1" applyBorder="1" applyAlignment="1">
      <alignment horizontal="right" vertical="center"/>
    </xf>
    <xf numFmtId="3" fontId="52" fillId="11" borderId="9" xfId="0" applyNumberFormat="1" applyFont="1" applyFill="1" applyBorder="1" applyAlignment="1">
      <alignment horizontal="center" vertical="center"/>
    </xf>
    <xf numFmtId="0" fontId="24" fillId="11" borderId="39" xfId="4" applyFont="1" applyFill="1" applyBorder="1" applyAlignment="1">
      <alignment horizontal="left" vertical="center" wrapText="1"/>
    </xf>
    <xf numFmtId="0" fontId="23" fillId="11" borderId="40" xfId="4" applyFont="1" applyFill="1" applyBorder="1" applyAlignment="1">
      <alignment horizontal="center" vertical="center" wrapText="1"/>
    </xf>
    <xf numFmtId="0" fontId="13" fillId="11" borderId="0" xfId="0" applyFont="1" applyFill="1"/>
    <xf numFmtId="3" fontId="14" fillId="11" borderId="0" xfId="0" applyNumberFormat="1" applyFont="1" applyFill="1"/>
    <xf numFmtId="49" fontId="24" fillId="11" borderId="29" xfId="2" applyNumberFormat="1" applyFont="1" applyFill="1" applyBorder="1" applyAlignment="1">
      <alignment horizontal="center" vertical="center" wrapText="1"/>
    </xf>
    <xf numFmtId="0" fontId="25" fillId="11" borderId="42" xfId="2" applyFont="1" applyFill="1" applyBorder="1" applyAlignment="1">
      <alignment horizontal="center" vertical="center"/>
    </xf>
    <xf numFmtId="0" fontId="25" fillId="11" borderId="43" xfId="2" applyFont="1" applyFill="1" applyBorder="1" applyAlignment="1">
      <alignment horizontal="right" vertical="center"/>
    </xf>
    <xf numFmtId="0" fontId="26" fillId="11" borderId="29" xfId="2" applyFont="1" applyFill="1" applyBorder="1" applyAlignment="1">
      <alignment horizontal="right" vertical="center"/>
    </xf>
    <xf numFmtId="0" fontId="25" fillId="11" borderId="29" xfId="2" applyFont="1" applyFill="1" applyBorder="1" applyAlignment="1">
      <alignment horizontal="right" vertical="center"/>
    </xf>
    <xf numFmtId="49" fontId="23" fillId="11" borderId="42" xfId="2" applyNumberFormat="1" applyFont="1" applyFill="1" applyBorder="1" applyAlignment="1">
      <alignment horizontal="center" vertical="center" wrapText="1"/>
    </xf>
    <xf numFmtId="49" fontId="23" fillId="11" borderId="43" xfId="2" applyNumberFormat="1" applyFont="1" applyFill="1" applyBorder="1" applyAlignment="1">
      <alignment horizontal="center" vertical="center" wrapText="1"/>
    </xf>
    <xf numFmtId="49" fontId="23" fillId="11" borderId="29" xfId="2" applyNumberFormat="1" applyFont="1" applyFill="1" applyBorder="1" applyAlignment="1">
      <alignment horizontal="center" vertical="center" wrapText="1"/>
    </xf>
    <xf numFmtId="0" fontId="15" fillId="11" borderId="42" xfId="4" applyFont="1" applyFill="1" applyBorder="1" applyAlignment="1">
      <alignment horizontal="center" vertical="center"/>
    </xf>
    <xf numFmtId="0" fontId="15" fillId="11" borderId="43" xfId="4" applyFont="1" applyFill="1" applyBorder="1" applyAlignment="1">
      <alignment horizontal="center" vertical="center"/>
    </xf>
    <xf numFmtId="0" fontId="15" fillId="11" borderId="29" xfId="4" applyFont="1" applyFill="1" applyBorder="1" applyAlignment="1">
      <alignment horizontal="center" vertical="center"/>
    </xf>
    <xf numFmtId="0" fontId="25" fillId="11" borderId="31" xfId="2" applyFont="1" applyFill="1" applyBorder="1" applyAlignment="1">
      <alignment horizontal="right" vertical="center"/>
    </xf>
    <xf numFmtId="0" fontId="25" fillId="11" borderId="28" xfId="2" applyFont="1" applyFill="1" applyBorder="1" applyAlignment="1">
      <alignment horizontal="center" vertical="center"/>
    </xf>
    <xf numFmtId="49" fontId="23" fillId="11" borderId="28" xfId="2" applyNumberFormat="1" applyFont="1" applyFill="1" applyBorder="1" applyAlignment="1">
      <alignment horizontal="center" vertical="center" wrapText="1"/>
    </xf>
    <xf numFmtId="0" fontId="15" fillId="11" borderId="31" xfId="4" applyFont="1" applyFill="1" applyBorder="1" applyAlignment="1">
      <alignment horizontal="center" vertical="center"/>
    </xf>
    <xf numFmtId="0" fontId="15" fillId="11" borderId="28" xfId="4" applyFont="1" applyFill="1" applyBorder="1" applyAlignment="1">
      <alignment horizontal="center" vertical="center"/>
    </xf>
    <xf numFmtId="49" fontId="24" fillId="0" borderId="0" xfId="2" applyNumberFormat="1" applyFont="1" applyFill="1" applyBorder="1" applyAlignment="1">
      <alignment vertical="center" wrapText="1"/>
    </xf>
    <xf numFmtId="0" fontId="53" fillId="0" borderId="0" xfId="0" applyFont="1"/>
    <xf numFmtId="0" fontId="51" fillId="0" borderId="96" xfId="0" applyFont="1" applyBorder="1" applyAlignment="1">
      <alignment horizontal="center" vertical="center"/>
    </xf>
    <xf numFmtId="3" fontId="14" fillId="4" borderId="42" xfId="0" applyNumberFormat="1" applyFont="1" applyFill="1" applyBorder="1" applyAlignment="1">
      <alignment horizontal="center" vertical="center"/>
    </xf>
    <xf numFmtId="3" fontId="14" fillId="6" borderId="43" xfId="0" applyNumberFormat="1" applyFont="1" applyFill="1" applyBorder="1" applyAlignment="1">
      <alignment vertical="center"/>
    </xf>
    <xf numFmtId="3" fontId="13" fillId="0" borderId="0" xfId="0" applyNumberFormat="1" applyFont="1"/>
    <xf numFmtId="3" fontId="14" fillId="11" borderId="42" xfId="0" applyNumberFormat="1" applyFont="1" applyFill="1" applyBorder="1" applyAlignment="1">
      <alignment horizontal="center" vertical="center"/>
    </xf>
    <xf numFmtId="3" fontId="14" fillId="11" borderId="43" xfId="0" applyNumberFormat="1" applyFont="1" applyFill="1" applyBorder="1" applyAlignment="1">
      <alignment vertical="center"/>
    </xf>
    <xf numFmtId="3" fontId="13" fillId="11" borderId="0" xfId="0" applyNumberFormat="1" applyFont="1" applyFill="1"/>
    <xf numFmtId="3" fontId="13" fillId="11" borderId="0" xfId="0" applyNumberFormat="1" applyFont="1" applyFill="1" applyAlignment="1">
      <alignment vertical="top"/>
    </xf>
    <xf numFmtId="0" fontId="14" fillId="0" borderId="0" xfId="4" applyFont="1" applyAlignment="1">
      <alignment vertical="center"/>
    </xf>
    <xf numFmtId="0" fontId="29" fillId="11" borderId="0" xfId="0" applyFont="1" applyFill="1" applyAlignment="1">
      <alignment vertical="top"/>
    </xf>
    <xf numFmtId="0" fontId="54" fillId="0" borderId="0" xfId="0" applyFont="1" applyAlignment="1">
      <alignment vertical="center" wrapText="1"/>
    </xf>
    <xf numFmtId="0" fontId="26" fillId="11" borderId="31" xfId="2" applyFont="1" applyFill="1" applyBorder="1" applyAlignment="1">
      <alignment horizontal="right" vertical="center"/>
    </xf>
    <xf numFmtId="3" fontId="55" fillId="11" borderId="0" xfId="0" applyNumberFormat="1" applyFont="1" applyFill="1" applyAlignment="1">
      <alignment vertical="top"/>
    </xf>
    <xf numFmtId="0" fontId="23" fillId="11" borderId="0" xfId="0" applyFont="1" applyFill="1" applyBorder="1" applyAlignment="1">
      <alignment horizontal="left" vertical="top"/>
    </xf>
    <xf numFmtId="0" fontId="15" fillId="10" borderId="91" xfId="0" applyFont="1" applyFill="1" applyBorder="1" applyAlignment="1">
      <alignment vertical="center" wrapText="1"/>
    </xf>
    <xf numFmtId="0" fontId="15" fillId="10" borderId="91" xfId="0" applyFont="1" applyFill="1" applyBorder="1" applyAlignment="1">
      <alignment horizontal="left" vertical="center" wrapText="1"/>
    </xf>
    <xf numFmtId="0" fontId="15" fillId="6" borderId="97" xfId="0" applyFont="1" applyFill="1" applyBorder="1" applyAlignment="1">
      <alignment vertical="center" wrapText="1"/>
    </xf>
    <xf numFmtId="0" fontId="15" fillId="6" borderId="97" xfId="0" applyFont="1" applyFill="1" applyBorder="1" applyAlignment="1">
      <alignment horizontal="left" vertical="center" wrapText="1"/>
    </xf>
    <xf numFmtId="0" fontId="16" fillId="12" borderId="91" xfId="0" applyFont="1" applyFill="1" applyBorder="1" applyAlignment="1">
      <alignment horizontal="center" vertical="center" wrapText="1"/>
    </xf>
    <xf numFmtId="0" fontId="15" fillId="8" borderId="91" xfId="0" applyFont="1" applyFill="1" applyBorder="1" applyAlignment="1">
      <alignment vertical="center" wrapText="1"/>
    </xf>
    <xf numFmtId="0" fontId="15" fillId="8" borderId="91" xfId="0" applyFont="1" applyFill="1" applyBorder="1" applyAlignment="1">
      <alignment horizontal="left" vertical="center" wrapText="1"/>
    </xf>
    <xf numFmtId="0" fontId="15" fillId="8" borderId="98" xfId="0" applyFont="1" applyFill="1" applyBorder="1" applyAlignment="1">
      <alignment vertical="center" wrapText="1"/>
    </xf>
    <xf numFmtId="0" fontId="15" fillId="8" borderId="98" xfId="0" applyFont="1" applyFill="1" applyBorder="1" applyAlignment="1">
      <alignment horizontal="left" vertical="center" wrapText="1"/>
    </xf>
    <xf numFmtId="0" fontId="15" fillId="8" borderId="95" xfId="0" applyFont="1" applyFill="1" applyBorder="1" applyAlignment="1">
      <alignment vertical="center" wrapText="1"/>
    </xf>
    <xf numFmtId="0" fontId="15" fillId="8" borderId="95" xfId="0" applyFont="1" applyFill="1" applyBorder="1" applyAlignment="1">
      <alignment horizontal="left" vertical="center" wrapText="1"/>
    </xf>
    <xf numFmtId="0" fontId="17" fillId="13" borderId="91" xfId="0" applyFont="1" applyFill="1" applyBorder="1" applyAlignment="1">
      <alignment vertical="center" wrapText="1"/>
    </xf>
    <xf numFmtId="0" fontId="31" fillId="11" borderId="0" xfId="0" applyFont="1" applyFill="1" applyAlignment="1">
      <alignment horizontal="right" vertical="top" textRotation="90"/>
    </xf>
    <xf numFmtId="49" fontId="24" fillId="11" borderId="46" xfId="2" applyNumberFormat="1" applyFont="1" applyFill="1" applyBorder="1" applyAlignment="1">
      <alignment horizontal="center" vertical="center" wrapText="1"/>
    </xf>
    <xf numFmtId="49" fontId="24" fillId="11" borderId="27" xfId="2" applyNumberFormat="1" applyFont="1" applyFill="1" applyBorder="1" applyAlignment="1">
      <alignment horizontal="center" vertical="center" wrapText="1"/>
    </xf>
    <xf numFmtId="0" fontId="25" fillId="11" borderId="27" xfId="2" applyFont="1" applyFill="1" applyBorder="1" applyAlignment="1">
      <alignment horizontal="right" vertical="center"/>
    </xf>
    <xf numFmtId="49" fontId="24" fillId="11" borderId="43" xfId="2" applyNumberFormat="1" applyFont="1" applyFill="1" applyBorder="1" applyAlignment="1">
      <alignment horizontal="center" vertical="center" wrapText="1"/>
    </xf>
    <xf numFmtId="49" fontId="23" fillId="11" borderId="31" xfId="2" applyNumberFormat="1" applyFont="1" applyFill="1" applyBorder="1" applyAlignment="1">
      <alignment horizontal="center" vertical="center" wrapText="1"/>
    </xf>
    <xf numFmtId="0" fontId="15" fillId="11" borderId="27" xfId="4" applyFont="1" applyFill="1" applyBorder="1" applyAlignment="1">
      <alignment horizontal="center" vertical="center"/>
    </xf>
    <xf numFmtId="3" fontId="13" fillId="11" borderId="52" xfId="0" applyNumberFormat="1" applyFont="1" applyFill="1" applyBorder="1" applyAlignment="1">
      <alignment horizontal="center" vertical="center"/>
    </xf>
    <xf numFmtId="3" fontId="13" fillId="11" borderId="53" xfId="0" applyNumberFormat="1" applyFont="1" applyFill="1" applyBorder="1" applyAlignment="1">
      <alignment vertical="center"/>
    </xf>
    <xf numFmtId="3" fontId="13" fillId="11" borderId="94" xfId="0" applyNumberFormat="1" applyFont="1" applyFill="1" applyBorder="1" applyAlignment="1">
      <alignment vertical="center"/>
    </xf>
    <xf numFmtId="0" fontId="13" fillId="0" borderId="0" xfId="0" applyFont="1" applyAlignment="1">
      <alignment horizontal="center"/>
    </xf>
    <xf numFmtId="164" fontId="14" fillId="0" borderId="0" xfId="0" applyNumberFormat="1" applyFont="1"/>
    <xf numFmtId="164" fontId="13" fillId="0" borderId="0" xfId="0" applyNumberFormat="1" applyFont="1"/>
    <xf numFmtId="164" fontId="29" fillId="0" borderId="0" xfId="0" applyNumberFormat="1" applyFont="1"/>
    <xf numFmtId="164" fontId="13" fillId="11" borderId="0" xfId="0" applyNumberFormat="1" applyFont="1" applyFill="1"/>
    <xf numFmtId="164" fontId="29" fillId="11" borderId="0" xfId="0" applyNumberFormat="1" applyFont="1" applyFill="1"/>
    <xf numFmtId="3" fontId="56" fillId="11" borderId="92" xfId="0" applyNumberFormat="1" applyFont="1" applyFill="1" applyBorder="1" applyAlignment="1">
      <alignment vertical="center"/>
    </xf>
    <xf numFmtId="3" fontId="14" fillId="11" borderId="81" xfId="0" applyNumberFormat="1" applyFont="1" applyFill="1" applyBorder="1" applyAlignment="1">
      <alignment horizontal="center" vertical="center"/>
    </xf>
    <xf numFmtId="3" fontId="14" fillId="11" borderId="82" xfId="0" applyNumberFormat="1" applyFont="1" applyFill="1" applyBorder="1" applyAlignment="1">
      <alignment vertical="center"/>
    </xf>
    <xf numFmtId="3" fontId="56" fillId="11" borderId="100" xfId="0" applyNumberFormat="1" applyFont="1" applyFill="1" applyBorder="1" applyAlignment="1">
      <alignment vertical="center"/>
    </xf>
    <xf numFmtId="3" fontId="13" fillId="11" borderId="101" xfId="0" applyNumberFormat="1" applyFont="1" applyFill="1" applyBorder="1" applyAlignment="1">
      <alignment horizontal="center" vertical="center"/>
    </xf>
    <xf numFmtId="3" fontId="13" fillId="11" borderId="102" xfId="0" applyNumberFormat="1" applyFont="1" applyFill="1" applyBorder="1" applyAlignment="1">
      <alignment vertical="center"/>
    </xf>
    <xf numFmtId="3" fontId="13" fillId="11" borderId="103" xfId="0" applyNumberFormat="1" applyFont="1" applyFill="1" applyBorder="1" applyAlignment="1">
      <alignment horizontal="center" vertical="center"/>
    </xf>
    <xf numFmtId="3" fontId="13" fillId="11" borderId="104" xfId="0" applyNumberFormat="1" applyFont="1" applyFill="1" applyBorder="1" applyAlignment="1">
      <alignment vertical="center"/>
    </xf>
    <xf numFmtId="3" fontId="13" fillId="11" borderId="105" xfId="0" applyNumberFormat="1" applyFont="1" applyFill="1" applyBorder="1" applyAlignment="1">
      <alignment vertical="center"/>
    </xf>
    <xf numFmtId="164" fontId="13" fillId="0" borderId="0" xfId="0" applyNumberFormat="1" applyFont="1" applyFill="1"/>
    <xf numFmtId="0" fontId="57" fillId="0" borderId="0" xfId="0" applyFont="1"/>
    <xf numFmtId="0" fontId="59" fillId="0" borderId="0" xfId="0" applyFont="1"/>
    <xf numFmtId="0" fontId="36" fillId="0" borderId="29" xfId="0" applyFont="1" applyBorder="1" applyAlignment="1">
      <alignment horizontal="center" vertical="center" wrapText="1"/>
    </xf>
    <xf numFmtId="0" fontId="29" fillId="0" borderId="0" xfId="0" applyFont="1"/>
    <xf numFmtId="0" fontId="42" fillId="0" borderId="29" xfId="0" applyFont="1" applyBorder="1" applyAlignment="1">
      <alignment horizontal="right" vertical="center"/>
    </xf>
    <xf numFmtId="0" fontId="57" fillId="0" borderId="0" xfId="0" applyFont="1" applyAlignment="1">
      <alignment horizontal="center"/>
    </xf>
    <xf numFmtId="2" fontId="13" fillId="0" borderId="0" xfId="0" applyNumberFormat="1" applyFont="1" applyAlignment="1">
      <alignment horizontal="right"/>
    </xf>
    <xf numFmtId="2" fontId="42" fillId="0" borderId="0" xfId="0" applyNumberFormat="1" applyFont="1" applyAlignment="1">
      <alignment horizontal="right"/>
    </xf>
    <xf numFmtId="9" fontId="13" fillId="0" borderId="0" xfId="0" applyNumberFormat="1" applyFont="1"/>
    <xf numFmtId="0" fontId="60" fillId="0" borderId="0" xfId="0" applyFont="1"/>
    <xf numFmtId="0" fontId="24" fillId="0" borderId="28" xfId="0" applyFont="1" applyBorder="1" applyAlignment="1">
      <alignment horizontal="center"/>
    </xf>
    <xf numFmtId="0" fontId="24" fillId="0" borderId="29" xfId="0" applyFont="1" applyBorder="1" applyAlignment="1">
      <alignment horizontal="center"/>
    </xf>
    <xf numFmtId="0" fontId="40" fillId="0" borderId="29" xfId="0" applyFont="1" applyBorder="1" applyAlignment="1">
      <alignment horizontal="center"/>
    </xf>
    <xf numFmtId="0" fontId="25" fillId="0" borderId="28" xfId="0" applyFont="1" applyBorder="1" applyAlignment="1">
      <alignment horizontal="center" vertical="center"/>
    </xf>
    <xf numFmtId="0" fontId="25" fillId="0" borderId="29" xfId="0" applyFont="1" applyBorder="1" applyAlignment="1">
      <alignment horizontal="center" vertical="center"/>
    </xf>
    <xf numFmtId="0" fontId="41" fillId="0" borderId="29" xfId="0" applyFont="1" applyBorder="1" applyAlignment="1">
      <alignment horizontal="center" vertical="center"/>
    </xf>
    <xf numFmtId="0" fontId="57" fillId="0" borderId="29" xfId="0" applyFont="1" applyBorder="1" applyAlignment="1">
      <alignment horizontal="right"/>
    </xf>
    <xf numFmtId="0" fontId="57" fillId="0" borderId="29" xfId="0" applyFont="1" applyBorder="1" applyAlignment="1">
      <alignment horizontal="center"/>
    </xf>
    <xf numFmtId="2" fontId="57" fillId="0" borderId="28" xfId="0" applyNumberFormat="1" applyFont="1" applyBorder="1" applyAlignment="1">
      <alignment horizontal="right"/>
    </xf>
    <xf numFmtId="2" fontId="57" fillId="0" borderId="29" xfId="0" applyNumberFormat="1" applyFont="1" applyBorder="1"/>
    <xf numFmtId="2" fontId="14" fillId="0" borderId="29" xfId="0" applyNumberFormat="1" applyFont="1" applyBorder="1"/>
    <xf numFmtId="2" fontId="36" fillId="0" borderId="29" xfId="0" applyNumberFormat="1" applyFont="1" applyBorder="1"/>
    <xf numFmtId="2" fontId="14" fillId="0" borderId="28" xfId="0" applyNumberFormat="1" applyFont="1" applyBorder="1" applyAlignment="1">
      <alignment horizontal="right"/>
    </xf>
    <xf numFmtId="0" fontId="57" fillId="0" borderId="29" xfId="0" applyFont="1" applyBorder="1"/>
    <xf numFmtId="0" fontId="14" fillId="0" borderId="29" xfId="0" applyFont="1" applyBorder="1"/>
    <xf numFmtId="0" fontId="36" fillId="0" borderId="29" xfId="0" applyFont="1" applyBorder="1"/>
    <xf numFmtId="0" fontId="61" fillId="0" borderId="37" xfId="0" applyFont="1" applyBorder="1" applyAlignment="1">
      <alignment horizontal="center" vertical="center"/>
    </xf>
    <xf numFmtId="0" fontId="61" fillId="0" borderId="56" xfId="0" applyFont="1" applyBorder="1" applyAlignment="1">
      <alignment horizontal="center" vertical="center"/>
    </xf>
    <xf numFmtId="0" fontId="62" fillId="0" borderId="56" xfId="0" applyFont="1" applyBorder="1" applyAlignment="1">
      <alignment horizontal="center" vertical="center"/>
    </xf>
    <xf numFmtId="0" fontId="25" fillId="0" borderId="0" xfId="0" applyFont="1" applyAlignment="1">
      <alignment horizontal="center" vertical="center"/>
    </xf>
    <xf numFmtId="0" fontId="14" fillId="0" borderId="29" xfId="0" applyFont="1" applyFill="1" applyBorder="1" applyAlignment="1">
      <alignment horizontal="center" vertical="center" wrapText="1"/>
    </xf>
    <xf numFmtId="0" fontId="13" fillId="0" borderId="29" xfId="0" applyFont="1" applyFill="1" applyBorder="1" applyAlignment="1">
      <alignment horizontal="right" vertical="center"/>
    </xf>
    <xf numFmtId="0" fontId="13" fillId="14" borderId="29" xfId="0" applyFont="1" applyFill="1" applyBorder="1" applyAlignment="1">
      <alignment horizontal="center" vertical="center" wrapText="1"/>
    </xf>
    <xf numFmtId="0" fontId="42" fillId="14" borderId="29" xfId="0" applyFont="1" applyFill="1" applyBorder="1" applyAlignment="1">
      <alignment horizontal="center" vertical="center" wrapText="1"/>
    </xf>
    <xf numFmtId="0" fontId="57" fillId="0" borderId="28" xfId="0" applyFont="1" applyBorder="1" applyAlignment="1">
      <alignment horizontal="center" wrapText="1"/>
    </xf>
    <xf numFmtId="0" fontId="57" fillId="0" borderId="28" xfId="0" applyFont="1" applyBorder="1" applyAlignment="1">
      <alignment horizontal="center"/>
    </xf>
    <xf numFmtId="3" fontId="14" fillId="0" borderId="0" xfId="0" applyNumberFormat="1" applyFont="1" applyAlignment="1">
      <alignment vertical="top"/>
    </xf>
    <xf numFmtId="2" fontId="14" fillId="0" borderId="0" xfId="0" applyNumberFormat="1" applyFont="1" applyAlignment="1">
      <alignment vertical="top"/>
    </xf>
    <xf numFmtId="0" fontId="13" fillId="0" borderId="0" xfId="0" applyFont="1" applyAlignment="1">
      <alignment vertical="top"/>
    </xf>
    <xf numFmtId="0" fontId="27" fillId="0" borderId="0" xfId="0" applyFont="1"/>
    <xf numFmtId="0" fontId="63" fillId="0" borderId="0" xfId="0" applyFont="1"/>
    <xf numFmtId="2" fontId="57" fillId="0" borderId="0" xfId="0" applyNumberFormat="1" applyFont="1" applyBorder="1" applyAlignment="1">
      <alignment horizontal="center"/>
    </xf>
    <xf numFmtId="2" fontId="36" fillId="0" borderId="0" xfId="0" applyNumberFormat="1" applyFont="1" applyBorder="1" applyAlignment="1">
      <alignment horizontal="center"/>
    </xf>
    <xf numFmtId="164" fontId="59" fillId="0" borderId="0" xfId="0" applyNumberFormat="1" applyFont="1" applyBorder="1" applyAlignment="1">
      <alignment horizontal="center"/>
    </xf>
    <xf numFmtId="164" fontId="48" fillId="0" borderId="0" xfId="0" applyNumberFormat="1" applyFont="1" applyBorder="1" applyAlignment="1">
      <alignment horizontal="center"/>
    </xf>
    <xf numFmtId="0" fontId="5" fillId="0" borderId="0" xfId="0" applyFont="1" applyBorder="1" applyAlignment="1">
      <alignment vertical="top"/>
    </xf>
    <xf numFmtId="0" fontId="36" fillId="0" borderId="0" xfId="0" applyFont="1" applyBorder="1"/>
    <xf numFmtId="0" fontId="15" fillId="5" borderId="29" xfId="0" applyFont="1" applyFill="1" applyBorder="1" applyAlignment="1">
      <alignment horizontal="center" vertical="center" wrapText="1"/>
    </xf>
    <xf numFmtId="2" fontId="57" fillId="0" borderId="29" xfId="0" applyNumberFormat="1" applyFont="1" applyBorder="1" applyAlignment="1">
      <alignment vertical="center"/>
    </xf>
    <xf numFmtId="2" fontId="14" fillId="0" borderId="29" xfId="0" applyNumberFormat="1" applyFont="1" applyBorder="1" applyAlignment="1">
      <alignment vertical="center"/>
    </xf>
    <xf numFmtId="2" fontId="36" fillId="0" borderId="29" xfId="0" applyNumberFormat="1" applyFont="1" applyBorder="1" applyAlignment="1">
      <alignment vertical="center"/>
    </xf>
    <xf numFmtId="0" fontId="16" fillId="11" borderId="29" xfId="4" applyFont="1" applyFill="1" applyBorder="1" applyAlignment="1">
      <alignment horizontal="center" vertical="center"/>
    </xf>
    <xf numFmtId="3" fontId="23" fillId="11" borderId="29" xfId="4" applyNumberFormat="1" applyFont="1" applyFill="1" applyBorder="1" applyAlignment="1">
      <alignment horizontal="center" vertical="center"/>
    </xf>
    <xf numFmtId="3" fontId="13" fillId="11" borderId="29" xfId="0" applyNumberFormat="1" applyFont="1" applyFill="1" applyBorder="1" applyAlignment="1">
      <alignment vertical="center"/>
    </xf>
    <xf numFmtId="3" fontId="55" fillId="11" borderId="29" xfId="0" applyNumberFormat="1" applyFont="1" applyFill="1" applyBorder="1" applyAlignment="1">
      <alignment vertical="center"/>
    </xf>
    <xf numFmtId="4" fontId="13" fillId="11" borderId="0" xfId="0" applyNumberFormat="1" applyFont="1" applyFill="1"/>
    <xf numFmtId="3" fontId="13" fillId="2" borderId="106" xfId="0" applyNumberFormat="1" applyFont="1" applyFill="1" applyBorder="1" applyAlignment="1">
      <alignment vertical="center"/>
    </xf>
    <xf numFmtId="3" fontId="13" fillId="0" borderId="50" xfId="0" applyNumberFormat="1" applyFont="1" applyFill="1" applyBorder="1" applyAlignment="1">
      <alignment vertical="center"/>
    </xf>
    <xf numFmtId="3" fontId="13" fillId="6" borderId="93" xfId="0" applyNumberFormat="1" applyFont="1" applyFill="1" applyBorder="1" applyAlignment="1">
      <alignment vertical="center"/>
    </xf>
    <xf numFmtId="3" fontId="14" fillId="2" borderId="106" xfId="0" applyNumberFormat="1" applyFont="1" applyFill="1" applyBorder="1" applyAlignment="1">
      <alignment vertical="center"/>
    </xf>
    <xf numFmtId="4" fontId="13" fillId="11" borderId="9" xfId="0" applyNumberFormat="1" applyFont="1" applyFill="1" applyBorder="1" applyAlignment="1">
      <alignment horizontal="right" vertical="center"/>
    </xf>
    <xf numFmtId="3" fontId="13" fillId="11" borderId="0" xfId="0" applyNumberFormat="1" applyFont="1" applyFill="1" applyAlignment="1">
      <alignment horizontal="right" vertical="center"/>
    </xf>
    <xf numFmtId="0" fontId="14" fillId="11" borderId="0" xfId="0" applyFont="1" applyFill="1" applyAlignment="1">
      <alignment horizontal="center" wrapText="1"/>
    </xf>
    <xf numFmtId="0" fontId="29" fillId="11" borderId="0" xfId="0" applyFont="1" applyFill="1" applyAlignment="1">
      <alignment horizontal="center" wrapText="1"/>
    </xf>
    <xf numFmtId="2" fontId="14" fillId="11" borderId="0" xfId="0" applyNumberFormat="1" applyFont="1" applyFill="1"/>
    <xf numFmtId="2" fontId="29" fillId="11" borderId="0" xfId="0" applyNumberFormat="1" applyFont="1" applyFill="1" applyAlignment="1">
      <alignment horizontal="center"/>
    </xf>
    <xf numFmtId="2" fontId="33" fillId="14" borderId="0" xfId="0" applyNumberFormat="1" applyFont="1" applyFill="1" applyAlignment="1">
      <alignment horizontal="center"/>
    </xf>
    <xf numFmtId="2" fontId="33" fillId="15" borderId="0" xfId="0" applyNumberFormat="1" applyFont="1" applyFill="1" applyAlignment="1">
      <alignment horizontal="center"/>
    </xf>
    <xf numFmtId="3" fontId="29" fillId="11" borderId="0" xfId="0" applyNumberFormat="1" applyFont="1" applyFill="1" applyAlignment="1">
      <alignment horizontal="center" vertical="top"/>
    </xf>
    <xf numFmtId="0" fontId="14" fillId="0" borderId="0" xfId="0" applyFont="1" applyFill="1" applyAlignment="1">
      <alignment horizontal="center" wrapText="1"/>
    </xf>
    <xf numFmtId="2" fontId="14" fillId="0" borderId="0" xfId="0" applyNumberFormat="1" applyFont="1" applyFill="1"/>
    <xf numFmtId="0" fontId="14" fillId="0" borderId="0" xfId="0" applyFont="1" applyFill="1"/>
    <xf numFmtId="3" fontId="24" fillId="11" borderId="29" xfId="2" applyNumberFormat="1" applyFont="1" applyFill="1" applyBorder="1" applyAlignment="1">
      <alignment horizontal="center" vertical="center" wrapText="1"/>
    </xf>
    <xf numFmtId="0" fontId="26" fillId="11" borderId="29" xfId="2" applyFont="1" applyFill="1" applyBorder="1" applyAlignment="1">
      <alignment horizontal="center" vertical="center"/>
    </xf>
    <xf numFmtId="3" fontId="25" fillId="11" borderId="29" xfId="2" applyNumberFormat="1" applyFont="1" applyFill="1" applyBorder="1" applyAlignment="1">
      <alignment horizontal="right" vertical="center"/>
    </xf>
    <xf numFmtId="0" fontId="15" fillId="11" borderId="56" xfId="4" applyFont="1" applyFill="1" applyBorder="1" applyAlignment="1">
      <alignment horizontal="center" vertical="center"/>
    </xf>
    <xf numFmtId="3" fontId="15" fillId="11" borderId="56" xfId="4" applyNumberFormat="1" applyFont="1" applyFill="1" applyBorder="1" applyAlignment="1">
      <alignment horizontal="center" vertical="center"/>
    </xf>
    <xf numFmtId="0" fontId="14" fillId="11" borderId="57" xfId="0" applyFont="1" applyFill="1" applyBorder="1" applyAlignment="1">
      <alignment horizontal="center" vertical="center"/>
    </xf>
    <xf numFmtId="4" fontId="14" fillId="11" borderId="57" xfId="0" applyNumberFormat="1" applyFont="1" applyFill="1" applyBorder="1" applyAlignment="1">
      <alignment vertical="center"/>
    </xf>
    <xf numFmtId="3" fontId="14" fillId="11" borderId="46" xfId="0" quotePrefix="1" applyNumberFormat="1" applyFont="1" applyFill="1" applyBorder="1" applyAlignment="1">
      <alignment vertical="center"/>
    </xf>
    <xf numFmtId="2" fontId="14" fillId="11" borderId="56" xfId="0" applyNumberFormat="1" applyFont="1" applyFill="1" applyBorder="1" applyAlignment="1">
      <alignment horizontal="center" vertical="center"/>
    </xf>
    <xf numFmtId="4" fontId="14" fillId="11" borderId="56" xfId="0" applyNumberFormat="1" applyFont="1" applyFill="1" applyBorder="1" applyAlignment="1">
      <alignment vertical="center"/>
    </xf>
    <xf numFmtId="3" fontId="14" fillId="11" borderId="83" xfId="0" quotePrefix="1" applyNumberFormat="1" applyFont="1" applyFill="1" applyBorder="1" applyAlignment="1">
      <alignment vertical="center"/>
    </xf>
    <xf numFmtId="0" fontId="14" fillId="11" borderId="29" xfId="0" applyFont="1" applyFill="1" applyBorder="1" applyAlignment="1">
      <alignment horizontal="center" vertical="center"/>
    </xf>
    <xf numFmtId="4" fontId="14" fillId="11" borderId="29" xfId="0" applyNumberFormat="1" applyFont="1" applyFill="1" applyBorder="1" applyAlignment="1">
      <alignment vertical="center"/>
    </xf>
    <xf numFmtId="3" fontId="14" fillId="11" borderId="27" xfId="0" quotePrefix="1" applyNumberFormat="1" applyFont="1" applyFill="1" applyBorder="1" applyAlignment="1">
      <alignment vertical="center"/>
    </xf>
    <xf numFmtId="2" fontId="14" fillId="11" borderId="29" xfId="0" applyNumberFormat="1" applyFont="1" applyFill="1" applyBorder="1" applyAlignment="1">
      <alignment horizontal="center" vertical="center"/>
    </xf>
    <xf numFmtId="0" fontId="14" fillId="11" borderId="56" xfId="0" applyFont="1" applyFill="1" applyBorder="1" applyAlignment="1">
      <alignment horizontal="center" vertical="center"/>
    </xf>
    <xf numFmtId="0" fontId="14" fillId="11" borderId="58" xfId="0" applyFont="1" applyFill="1" applyBorder="1" applyAlignment="1">
      <alignment horizontal="center" vertical="center"/>
    </xf>
    <xf numFmtId="4" fontId="14" fillId="11" borderId="58" xfId="0" applyNumberFormat="1" applyFont="1" applyFill="1" applyBorder="1" applyAlignment="1">
      <alignment vertical="center"/>
    </xf>
    <xf numFmtId="3" fontId="14" fillId="11" borderId="22" xfId="0" quotePrefix="1" applyNumberFormat="1" applyFont="1" applyFill="1" applyBorder="1" applyAlignment="1">
      <alignment vertical="center"/>
    </xf>
    <xf numFmtId="4" fontId="14" fillId="11" borderId="61" xfId="0" applyNumberFormat="1" applyFont="1" applyFill="1" applyBorder="1" applyAlignment="1">
      <alignment vertical="center"/>
    </xf>
    <xf numFmtId="3" fontId="14" fillId="11" borderId="86" xfId="0" quotePrefix="1" applyNumberFormat="1" applyFont="1" applyFill="1" applyBorder="1" applyAlignment="1">
      <alignment vertical="center"/>
    </xf>
    <xf numFmtId="0" fontId="16" fillId="12" borderId="91" xfId="0" applyFont="1" applyFill="1" applyBorder="1" applyAlignment="1">
      <alignment horizontal="right" vertical="center" wrapText="1"/>
    </xf>
    <xf numFmtId="3" fontId="17" fillId="12" borderId="91" xfId="0" applyNumberFormat="1" applyFont="1" applyFill="1" applyBorder="1" applyAlignment="1">
      <alignment horizontal="right" vertical="center" wrapText="1"/>
    </xf>
    <xf numFmtId="0" fontId="49" fillId="8" borderId="91" xfId="0" applyFont="1" applyFill="1" applyBorder="1" applyAlignment="1">
      <alignment horizontal="left" vertical="center" wrapText="1"/>
    </xf>
    <xf numFmtId="3" fontId="18" fillId="8" borderId="91" xfId="0" applyNumberFormat="1" applyFont="1" applyFill="1" applyBorder="1" applyAlignment="1">
      <alignment horizontal="right" vertical="center"/>
    </xf>
    <xf numFmtId="0" fontId="49" fillId="8" borderId="98" xfId="0" applyFont="1" applyFill="1" applyBorder="1" applyAlignment="1">
      <alignment horizontal="left" vertical="center" wrapText="1"/>
    </xf>
    <xf numFmtId="3" fontId="18" fillId="8" borderId="98" xfId="0" applyNumberFormat="1" applyFont="1" applyFill="1" applyBorder="1" applyAlignment="1">
      <alignment horizontal="right" vertical="center"/>
    </xf>
    <xf numFmtId="4" fontId="49" fillId="8" borderId="98" xfId="0" applyNumberFormat="1" applyFont="1" applyFill="1" applyBorder="1" applyAlignment="1">
      <alignment horizontal="left" vertical="center" wrapText="1"/>
    </xf>
    <xf numFmtId="4" fontId="49" fillId="8" borderId="95" xfId="0" applyNumberFormat="1" applyFont="1" applyFill="1" applyBorder="1" applyAlignment="1">
      <alignment horizontal="left" vertical="center" wrapText="1"/>
    </xf>
    <xf numFmtId="3" fontId="18" fillId="8" borderId="95" xfId="0" applyNumberFormat="1" applyFont="1" applyFill="1" applyBorder="1" applyAlignment="1">
      <alignment horizontal="right" vertical="center"/>
    </xf>
    <xf numFmtId="0" fontId="16" fillId="10" borderId="99" xfId="0" applyFont="1" applyFill="1" applyBorder="1" applyAlignment="1">
      <alignment horizontal="left" vertical="center" wrapText="1"/>
    </xf>
    <xf numFmtId="0" fontId="15" fillId="0" borderId="99" xfId="0" applyFont="1" applyFill="1" applyBorder="1" applyAlignment="1">
      <alignment horizontal="left" vertical="center" wrapText="1"/>
    </xf>
    <xf numFmtId="3" fontId="18" fillId="6" borderId="97" xfId="0" applyNumberFormat="1" applyFont="1" applyFill="1" applyBorder="1" applyAlignment="1">
      <alignment horizontal="right" vertical="center"/>
    </xf>
    <xf numFmtId="49" fontId="23" fillId="11" borderId="16" xfId="2" applyNumberFormat="1" applyFont="1" applyFill="1" applyBorder="1" applyAlignment="1">
      <alignment horizontal="center" vertical="center" wrapText="1"/>
    </xf>
    <xf numFmtId="49" fontId="23" fillId="11" borderId="17" xfId="2" applyNumberFormat="1" applyFont="1" applyFill="1" applyBorder="1" applyAlignment="1">
      <alignment horizontal="center" vertical="center" wrapText="1"/>
    </xf>
    <xf numFmtId="0" fontId="23" fillId="11" borderId="35" xfId="4" applyFont="1" applyFill="1" applyBorder="1" applyAlignment="1">
      <alignment horizontal="center" vertical="center"/>
    </xf>
    <xf numFmtId="0" fontId="23" fillId="11" borderId="36" xfId="4" applyFont="1" applyFill="1" applyBorder="1" applyAlignment="1">
      <alignment horizontal="center" vertical="center"/>
    </xf>
    <xf numFmtId="0" fontId="23" fillId="11" borderId="68" xfId="4" applyFont="1" applyFill="1" applyBorder="1" applyAlignment="1">
      <alignment horizontal="center" vertical="center"/>
    </xf>
    <xf numFmtId="0" fontId="23" fillId="11" borderId="69" xfId="4" applyFont="1" applyFill="1" applyBorder="1" applyAlignment="1">
      <alignment horizontal="center" vertical="center"/>
    </xf>
    <xf numFmtId="0" fontId="23" fillId="11" borderId="80" xfId="4" applyFont="1" applyFill="1" applyBorder="1" applyAlignment="1">
      <alignment horizontal="center" vertical="center"/>
    </xf>
    <xf numFmtId="0" fontId="24" fillId="11" borderId="66" xfId="4" applyFont="1" applyFill="1" applyBorder="1" applyAlignment="1">
      <alignment horizontal="center" vertical="center"/>
    </xf>
    <xf numFmtId="3" fontId="23" fillId="11" borderId="70" xfId="4" applyNumberFormat="1" applyFont="1" applyFill="1" applyBorder="1" applyAlignment="1">
      <alignment horizontal="center" vertical="center"/>
    </xf>
    <xf numFmtId="4" fontId="23" fillId="11" borderId="46" xfId="4" applyNumberFormat="1" applyFont="1" applyFill="1" applyBorder="1" applyAlignment="1">
      <alignment horizontal="right" vertical="center"/>
    </xf>
    <xf numFmtId="4" fontId="24" fillId="11" borderId="64" xfId="4" applyNumberFormat="1" applyFont="1" applyFill="1" applyBorder="1" applyAlignment="1">
      <alignment horizontal="right" vertical="center"/>
    </xf>
    <xf numFmtId="3" fontId="23" fillId="11" borderId="33" xfId="4" applyNumberFormat="1" applyFont="1" applyFill="1" applyBorder="1" applyAlignment="1">
      <alignment horizontal="center" vertical="center"/>
    </xf>
    <xf numFmtId="4" fontId="23" fillId="11" borderId="27" xfId="4" applyNumberFormat="1" applyFont="1" applyFill="1" applyBorder="1" applyAlignment="1">
      <alignment horizontal="right" vertical="center"/>
    </xf>
    <xf numFmtId="4" fontId="24" fillId="11" borderId="17" xfId="4" applyNumberFormat="1" applyFont="1" applyFill="1" applyBorder="1" applyAlignment="1">
      <alignment horizontal="right" vertical="center"/>
    </xf>
    <xf numFmtId="3" fontId="23" fillId="11" borderId="73" xfId="4" applyNumberFormat="1" applyFont="1" applyFill="1" applyBorder="1" applyAlignment="1">
      <alignment horizontal="center" vertical="center"/>
    </xf>
    <xf numFmtId="4" fontId="23" fillId="11" borderId="22" xfId="4" applyNumberFormat="1" applyFont="1" applyFill="1" applyBorder="1" applyAlignment="1">
      <alignment horizontal="right" vertical="center"/>
    </xf>
    <xf numFmtId="4" fontId="24" fillId="11" borderId="89" xfId="4" applyNumberFormat="1" applyFont="1" applyFill="1" applyBorder="1" applyAlignment="1">
      <alignment horizontal="right" vertical="center"/>
    </xf>
    <xf numFmtId="3" fontId="24" fillId="11" borderId="75" xfId="4" applyNumberFormat="1" applyFont="1" applyFill="1" applyBorder="1" applyAlignment="1">
      <alignment horizontal="center" vertical="center"/>
    </xf>
    <xf numFmtId="3" fontId="24" fillId="11" borderId="89" xfId="4" applyNumberFormat="1" applyFont="1" applyFill="1" applyBorder="1" applyAlignment="1">
      <alignment horizontal="center" vertical="center"/>
    </xf>
    <xf numFmtId="0" fontId="12" fillId="11" borderId="0" xfId="0" applyFont="1" applyFill="1"/>
    <xf numFmtId="2" fontId="13" fillId="11" borderId="0" xfId="4" applyNumberFormat="1" applyFont="1" applyFill="1" applyAlignment="1">
      <alignment vertical="center"/>
    </xf>
    <xf numFmtId="3" fontId="13" fillId="11" borderId="0" xfId="4" applyNumberFormat="1" applyFont="1" applyFill="1" applyAlignment="1">
      <alignment horizontal="center" vertical="center"/>
    </xf>
    <xf numFmtId="3" fontId="13" fillId="11" borderId="0" xfId="4" applyNumberFormat="1" applyFont="1" applyFill="1" applyAlignment="1">
      <alignment vertical="center"/>
    </xf>
    <xf numFmtId="0" fontId="5" fillId="0" borderId="47" xfId="0" applyFont="1" applyBorder="1" applyAlignment="1">
      <alignment vertical="top"/>
    </xf>
    <xf numFmtId="49" fontId="24" fillId="11" borderId="29" xfId="2" applyNumberFormat="1" applyFont="1" applyFill="1" applyBorder="1" applyAlignment="1">
      <alignment horizontal="center" vertical="center" wrapText="1"/>
    </xf>
    <xf numFmtId="0" fontId="25" fillId="11" borderId="29" xfId="2" applyFont="1" applyFill="1" applyBorder="1" applyAlignment="1">
      <alignment horizontal="center" vertical="center"/>
    </xf>
    <xf numFmtId="0" fontId="25" fillId="11" borderId="29" xfId="2" applyFont="1" applyFill="1" applyBorder="1" applyAlignment="1">
      <alignment horizontal="right" vertical="center"/>
    </xf>
    <xf numFmtId="0" fontId="26" fillId="11" borderId="29" xfId="2" applyFont="1" applyFill="1" applyBorder="1" applyAlignment="1">
      <alignment horizontal="right" vertical="center"/>
    </xf>
    <xf numFmtId="49" fontId="23" fillId="11" borderId="29" xfId="2" applyNumberFormat="1" applyFont="1" applyFill="1" applyBorder="1" applyAlignment="1">
      <alignment horizontal="center" vertical="center" wrapText="1"/>
    </xf>
    <xf numFmtId="0" fontId="15" fillId="11" borderId="29" xfId="0" applyFont="1" applyFill="1" applyBorder="1" applyAlignment="1">
      <alignment horizontal="center"/>
    </xf>
    <xf numFmtId="0" fontId="15" fillId="11" borderId="29" xfId="4" applyFont="1" applyFill="1" applyBorder="1" applyAlignment="1">
      <alignment horizontal="center" vertical="center"/>
    </xf>
    <xf numFmtId="0" fontId="23" fillId="11" borderId="29" xfId="0" applyFont="1" applyFill="1" applyBorder="1" applyAlignment="1">
      <alignment horizontal="justify" vertical="center"/>
    </xf>
    <xf numFmtId="3" fontId="14" fillId="11" borderId="29" xfId="0" applyNumberFormat="1" applyFont="1" applyFill="1" applyBorder="1" applyAlignment="1">
      <alignment horizontal="center" vertical="center"/>
    </xf>
    <xf numFmtId="3" fontId="14" fillId="11" borderId="29" xfId="0" applyNumberFormat="1" applyFont="1" applyFill="1" applyBorder="1" applyAlignment="1">
      <alignment vertical="center"/>
    </xf>
    <xf numFmtId="3" fontId="17" fillId="13" borderId="91" xfId="0" applyNumberFormat="1" applyFont="1" applyFill="1" applyBorder="1" applyAlignment="1">
      <alignment horizontal="right" vertical="center"/>
    </xf>
    <xf numFmtId="3" fontId="18" fillId="10" borderId="91" xfId="0" applyNumberFormat="1" applyFont="1" applyFill="1" applyBorder="1" applyAlignment="1">
      <alignment horizontal="right" vertical="center"/>
    </xf>
    <xf numFmtId="49" fontId="23" fillId="11" borderId="63" xfId="2" applyNumberFormat="1" applyFont="1" applyFill="1" applyBorder="1" applyAlignment="1">
      <alignment horizontal="center" vertical="center" wrapText="1"/>
    </xf>
    <xf numFmtId="4" fontId="35" fillId="11" borderId="4" xfId="4" applyNumberFormat="1" applyFont="1" applyFill="1" applyBorder="1" applyAlignment="1">
      <alignment horizontal="right" vertical="center"/>
    </xf>
    <xf numFmtId="3" fontId="35" fillId="11" borderId="5" xfId="4" applyNumberFormat="1" applyFont="1" applyFill="1" applyBorder="1" applyAlignment="1">
      <alignment horizontal="center" vertical="center"/>
    </xf>
    <xf numFmtId="3" fontId="35" fillId="11" borderId="4" xfId="4" applyNumberFormat="1" applyFont="1" applyFill="1" applyBorder="1" applyAlignment="1">
      <alignment horizontal="right" vertical="center"/>
    </xf>
    <xf numFmtId="4" fontId="24" fillId="11" borderId="21" xfId="4" applyNumberFormat="1" applyFont="1" applyFill="1" applyBorder="1" applyAlignment="1">
      <alignment horizontal="right" vertical="center"/>
    </xf>
    <xf numFmtId="3" fontId="32" fillId="11" borderId="75" xfId="4" applyNumberFormat="1" applyFont="1" applyFill="1" applyBorder="1" applyAlignment="1">
      <alignment horizontal="center" vertical="center"/>
    </xf>
    <xf numFmtId="0" fontId="35" fillId="6" borderId="91" xfId="0" applyFont="1" applyFill="1" applyBorder="1" applyAlignment="1">
      <alignment horizontal="left" vertical="center" wrapText="1"/>
    </xf>
    <xf numFmtId="0" fontId="12" fillId="0" borderId="108" xfId="0" applyFont="1" applyBorder="1" applyAlignment="1">
      <alignment vertical="top"/>
    </xf>
    <xf numFmtId="0" fontId="12" fillId="0" borderId="10" xfId="0" applyFont="1" applyBorder="1" applyAlignment="1">
      <alignment vertical="top"/>
    </xf>
    <xf numFmtId="0" fontId="12" fillId="0" borderId="109" xfId="0" applyFont="1" applyFill="1" applyBorder="1" applyAlignment="1">
      <alignment vertical="top"/>
    </xf>
    <xf numFmtId="0" fontId="12" fillId="0" borderId="109" xfId="0" applyFont="1" applyBorder="1" applyAlignment="1">
      <alignment vertical="top"/>
    </xf>
    <xf numFmtId="0" fontId="12" fillId="0" borderId="110" xfId="0" applyFont="1" applyBorder="1" applyAlignment="1">
      <alignment vertical="top"/>
    </xf>
    <xf numFmtId="0" fontId="12" fillId="0" borderId="111" xfId="0" applyFont="1" applyBorder="1" applyAlignment="1">
      <alignment vertical="top"/>
    </xf>
    <xf numFmtId="0" fontId="12" fillId="0" borderId="0" xfId="0" applyFont="1" applyAlignment="1">
      <alignment vertical="top"/>
    </xf>
    <xf numFmtId="0" fontId="5" fillId="0" borderId="47" xfId="0" applyFont="1" applyBorder="1" applyAlignment="1">
      <alignment vertical="top" wrapText="1"/>
    </xf>
    <xf numFmtId="0" fontId="5" fillId="0" borderId="0" xfId="0" applyFont="1" applyBorder="1" applyAlignment="1">
      <alignment vertical="top" wrapText="1"/>
    </xf>
    <xf numFmtId="49" fontId="23" fillId="4" borderId="31" xfId="2" applyNumberFormat="1" applyFont="1" applyFill="1" applyBorder="1" applyAlignment="1">
      <alignment horizontal="center" vertical="center" wrapText="1"/>
    </xf>
    <xf numFmtId="3" fontId="6" fillId="11" borderId="40" xfId="4" applyNumberFormat="1" applyFont="1" applyFill="1" applyBorder="1" applyAlignment="1">
      <alignment horizontal="center" vertical="center"/>
    </xf>
    <xf numFmtId="3" fontId="11" fillId="11" borderId="3" xfId="4" applyNumberFormat="1" applyFont="1" applyFill="1" applyBorder="1" applyAlignment="1">
      <alignment horizontal="center" vertical="center"/>
    </xf>
    <xf numFmtId="4" fontId="11" fillId="11" borderId="4" xfId="4" applyNumberFormat="1" applyFont="1" applyFill="1" applyBorder="1" applyAlignment="1">
      <alignment horizontal="right" vertical="center"/>
    </xf>
    <xf numFmtId="3" fontId="11" fillId="11" borderId="5" xfId="4" applyNumberFormat="1" applyFont="1" applyFill="1" applyBorder="1" applyAlignment="1">
      <alignment horizontal="center" vertical="center"/>
    </xf>
    <xf numFmtId="0" fontId="25" fillId="5" borderId="161" xfId="2" applyFont="1" applyFill="1" applyBorder="1" applyAlignment="1">
      <alignment horizontal="center" vertical="center"/>
    </xf>
    <xf numFmtId="0" fontId="25" fillId="7" borderId="31" xfId="2" applyFont="1" applyFill="1" applyBorder="1" applyAlignment="1">
      <alignment horizontal="right" vertical="center"/>
    </xf>
    <xf numFmtId="0" fontId="25" fillId="5" borderId="158" xfId="2" applyFont="1" applyFill="1" applyBorder="1" applyAlignment="1">
      <alignment horizontal="center" vertical="center"/>
    </xf>
    <xf numFmtId="0" fontId="25" fillId="7" borderId="162" xfId="2" applyFont="1" applyFill="1" applyBorder="1" applyAlignment="1">
      <alignment horizontal="right" vertical="center"/>
    </xf>
    <xf numFmtId="0" fontId="25" fillId="7" borderId="157" xfId="2" applyFont="1" applyFill="1" applyBorder="1" applyAlignment="1">
      <alignment horizontal="right" vertical="center"/>
    </xf>
    <xf numFmtId="0" fontId="26" fillId="4" borderId="157" xfId="2" applyFont="1" applyFill="1" applyBorder="1" applyAlignment="1">
      <alignment horizontal="right" vertical="center"/>
    </xf>
    <xf numFmtId="0" fontId="25" fillId="7" borderId="158" xfId="2" applyFont="1" applyFill="1" applyBorder="1" applyAlignment="1">
      <alignment horizontal="right" vertical="center"/>
    </xf>
    <xf numFmtId="0" fontId="25" fillId="9" borderId="157" xfId="2" applyFont="1" applyFill="1" applyBorder="1" applyAlignment="1">
      <alignment horizontal="right" vertical="center"/>
    </xf>
    <xf numFmtId="49" fontId="23" fillId="5" borderId="161" xfId="2" applyNumberFormat="1" applyFont="1" applyFill="1" applyBorder="1" applyAlignment="1">
      <alignment horizontal="center" vertical="center" wrapText="1"/>
    </xf>
    <xf numFmtId="49" fontId="23" fillId="7" borderId="31" xfId="2" applyNumberFormat="1" applyFont="1" applyFill="1" applyBorder="1" applyAlignment="1">
      <alignment horizontal="center" vertical="center" wrapText="1"/>
    </xf>
    <xf numFmtId="49" fontId="23" fillId="5" borderId="158" xfId="2" applyNumberFormat="1" applyFont="1" applyFill="1" applyBorder="1" applyAlignment="1">
      <alignment horizontal="center" vertical="center" wrapText="1"/>
    </xf>
    <xf numFmtId="49" fontId="23" fillId="7" borderId="162" xfId="2" applyNumberFormat="1" applyFont="1" applyFill="1" applyBorder="1" applyAlignment="1">
      <alignment horizontal="center" vertical="center" wrapText="1"/>
    </xf>
    <xf numFmtId="49" fontId="23" fillId="4" borderId="157" xfId="2" applyNumberFormat="1" applyFont="1" applyFill="1" applyBorder="1" applyAlignment="1">
      <alignment horizontal="center" vertical="center" wrapText="1"/>
    </xf>
    <xf numFmtId="49" fontId="23" fillId="7" borderId="163" xfId="2" applyNumberFormat="1" applyFont="1" applyFill="1" applyBorder="1" applyAlignment="1">
      <alignment horizontal="center" vertical="center" wrapText="1"/>
    </xf>
    <xf numFmtId="49" fontId="24" fillId="9" borderId="157" xfId="2" applyNumberFormat="1" applyFont="1" applyFill="1" applyBorder="1" applyAlignment="1">
      <alignment horizontal="center" vertical="center" wrapText="1"/>
    </xf>
    <xf numFmtId="0" fontId="15" fillId="0" borderId="157" xfId="0" applyFont="1" applyBorder="1" applyAlignment="1">
      <alignment horizontal="center"/>
    </xf>
    <xf numFmtId="0" fontId="15" fillId="5" borderId="161" xfId="4" applyFont="1" applyFill="1" applyBorder="1" applyAlignment="1">
      <alignment horizontal="center" vertical="center"/>
    </xf>
    <xf numFmtId="0" fontId="15" fillId="7" borderId="31" xfId="4" applyFont="1" applyFill="1" applyBorder="1" applyAlignment="1">
      <alignment horizontal="center" vertical="center"/>
    </xf>
    <xf numFmtId="0" fontId="15" fillId="5" borderId="158" xfId="4" applyFont="1" applyFill="1" applyBorder="1" applyAlignment="1">
      <alignment horizontal="center" vertical="center"/>
    </xf>
    <xf numFmtId="0" fontId="15" fillId="7" borderId="162" xfId="4" applyFont="1" applyFill="1" applyBorder="1" applyAlignment="1">
      <alignment horizontal="center" vertical="center"/>
    </xf>
    <xf numFmtId="0" fontId="15" fillId="7" borderId="157" xfId="4" applyFont="1" applyFill="1" applyBorder="1" applyAlignment="1">
      <alignment horizontal="center" vertical="center"/>
    </xf>
    <xf numFmtId="0" fontId="15" fillId="4" borderId="157" xfId="4" applyFont="1" applyFill="1" applyBorder="1" applyAlignment="1">
      <alignment horizontal="center" vertical="center"/>
    </xf>
    <xf numFmtId="0" fontId="15" fillId="7" borderId="158" xfId="4" applyFont="1" applyFill="1" applyBorder="1" applyAlignment="1">
      <alignment horizontal="center" vertical="center"/>
    </xf>
    <xf numFmtId="0" fontId="15" fillId="9" borderId="157" xfId="4" applyFont="1" applyFill="1" applyBorder="1" applyAlignment="1">
      <alignment horizontal="center" vertical="center"/>
    </xf>
    <xf numFmtId="0" fontId="23" fillId="0" borderId="157" xfId="0" applyFont="1" applyBorder="1" applyAlignment="1">
      <alignment horizontal="justify" vertical="center"/>
    </xf>
    <xf numFmtId="3" fontId="14" fillId="0" borderId="161" xfId="0" applyNumberFormat="1" applyFont="1" applyBorder="1" applyAlignment="1">
      <alignment horizontal="center" vertical="center"/>
    </xf>
    <xf numFmtId="3" fontId="14" fillId="7" borderId="162" xfId="0" applyNumberFormat="1" applyFont="1" applyFill="1" applyBorder="1" applyAlignment="1">
      <alignment horizontal="right" vertical="center"/>
    </xf>
    <xf numFmtId="3" fontId="14" fillId="7" borderId="163" xfId="0" applyNumberFormat="1" applyFont="1" applyFill="1" applyBorder="1" applyAlignment="1">
      <alignment horizontal="right" vertical="center"/>
    </xf>
    <xf numFmtId="3" fontId="13" fillId="9" borderId="157" xfId="0" applyNumberFormat="1" applyFont="1" applyFill="1" applyBorder="1" applyAlignment="1">
      <alignment vertical="center"/>
    </xf>
    <xf numFmtId="0" fontId="27" fillId="0" borderId="157" xfId="0" applyFont="1" applyBorder="1" applyAlignment="1">
      <alignment horizontal="right" vertical="center"/>
    </xf>
    <xf numFmtId="3" fontId="14" fillId="7" borderId="162" xfId="0" applyNumberFormat="1" applyFont="1" applyFill="1" applyBorder="1" applyAlignment="1">
      <alignment vertical="center"/>
    </xf>
    <xf numFmtId="3" fontId="14" fillId="7" borderId="163" xfId="0" applyNumberFormat="1" applyFont="1" applyFill="1" applyBorder="1" applyAlignment="1">
      <alignment vertical="center"/>
    </xf>
    <xf numFmtId="3" fontId="14" fillId="9" borderId="157" xfId="0" applyNumberFormat="1" applyFont="1" applyFill="1" applyBorder="1" applyAlignment="1">
      <alignment vertical="center"/>
    </xf>
    <xf numFmtId="0" fontId="27" fillId="0" borderId="160" xfId="0" applyFont="1" applyBorder="1" applyAlignment="1">
      <alignment horizontal="right" vertical="center"/>
    </xf>
    <xf numFmtId="3" fontId="14" fillId="0" borderId="160" xfId="0" applyNumberFormat="1" applyFont="1" applyBorder="1" applyAlignment="1">
      <alignment horizontal="center" vertical="center"/>
    </xf>
    <xf numFmtId="3" fontId="14" fillId="0" borderId="160" xfId="0" applyNumberFormat="1" applyFont="1" applyBorder="1" applyAlignment="1">
      <alignment vertical="center"/>
    </xf>
    <xf numFmtId="4" fontId="14" fillId="0" borderId="160" xfId="0" applyNumberFormat="1" applyFont="1" applyBorder="1" applyAlignment="1">
      <alignment vertical="center"/>
    </xf>
    <xf numFmtId="0" fontId="67" fillId="0" borderId="0" xfId="0" applyFont="1"/>
    <xf numFmtId="0" fontId="41" fillId="7" borderId="157" xfId="2" applyFont="1" applyFill="1" applyBorder="1" applyAlignment="1">
      <alignment horizontal="right" vertical="center"/>
    </xf>
    <xf numFmtId="0" fontId="68" fillId="4" borderId="157" xfId="2" applyFont="1" applyFill="1" applyBorder="1" applyAlignment="1">
      <alignment horizontal="right" vertical="center"/>
    </xf>
    <xf numFmtId="49" fontId="39" fillId="4" borderId="157" xfId="2" applyNumberFormat="1" applyFont="1" applyFill="1" applyBorder="1" applyAlignment="1">
      <alignment horizontal="center" vertical="center" wrapText="1"/>
    </xf>
    <xf numFmtId="49" fontId="39" fillId="7" borderId="162" xfId="2" applyNumberFormat="1" applyFont="1" applyFill="1" applyBorder="1" applyAlignment="1">
      <alignment horizontal="center" vertical="center" wrapText="1"/>
    </xf>
    <xf numFmtId="0" fontId="69" fillId="7" borderId="157" xfId="4" applyFont="1" applyFill="1" applyBorder="1" applyAlignment="1">
      <alignment horizontal="center" vertical="center"/>
    </xf>
    <xf numFmtId="0" fontId="69" fillId="4" borderId="157" xfId="4" applyFont="1" applyFill="1" applyBorder="1" applyAlignment="1">
      <alignment horizontal="center" vertical="center"/>
    </xf>
    <xf numFmtId="3" fontId="36" fillId="0" borderId="161" xfId="0" applyNumberFormat="1" applyFont="1" applyBorder="1" applyAlignment="1">
      <alignment horizontal="center" vertical="center"/>
    </xf>
    <xf numFmtId="3" fontId="36" fillId="7" borderId="162" xfId="0" applyNumberFormat="1" applyFont="1" applyFill="1" applyBorder="1" applyAlignment="1">
      <alignment horizontal="right" vertical="center"/>
    </xf>
    <xf numFmtId="3" fontId="36" fillId="0" borderId="45" xfId="0" applyNumberFormat="1" applyFont="1" applyBorder="1" applyAlignment="1">
      <alignment horizontal="center" vertical="center"/>
    </xf>
    <xf numFmtId="3" fontId="36" fillId="7" borderId="162" xfId="0" applyNumberFormat="1" applyFont="1" applyFill="1" applyBorder="1" applyAlignment="1">
      <alignment vertical="center"/>
    </xf>
    <xf numFmtId="0" fontId="25" fillId="0" borderId="10" xfId="2" applyFont="1" applyFill="1" applyBorder="1" applyAlignment="1">
      <alignment horizontal="center" vertical="center"/>
    </xf>
    <xf numFmtId="0" fontId="25" fillId="0" borderId="2" xfId="2" applyFont="1" applyFill="1" applyBorder="1" applyAlignment="1">
      <alignment horizontal="right" vertical="center"/>
    </xf>
    <xf numFmtId="49" fontId="23" fillId="0" borderId="13" xfId="2" applyNumberFormat="1" applyFont="1" applyFill="1" applyBorder="1" applyAlignment="1">
      <alignment horizontal="center" vertical="center" wrapText="1"/>
    </xf>
    <xf numFmtId="49" fontId="23" fillId="0" borderId="14" xfId="2" applyNumberFormat="1" applyFont="1" applyFill="1" applyBorder="1" applyAlignment="1">
      <alignment horizontal="center" vertical="center" wrapText="1"/>
    </xf>
    <xf numFmtId="0" fontId="23" fillId="0" borderId="13" xfId="4" applyFont="1" applyFill="1" applyBorder="1" applyAlignment="1">
      <alignment horizontal="center" vertical="center"/>
    </xf>
    <xf numFmtId="0" fontId="23" fillId="0" borderId="14" xfId="4" applyFont="1" applyFill="1" applyBorder="1" applyAlignment="1">
      <alignment horizontal="center" vertical="center"/>
    </xf>
    <xf numFmtId="3" fontId="23" fillId="0" borderId="13" xfId="4" applyNumberFormat="1" applyFont="1" applyFill="1" applyBorder="1" applyAlignment="1">
      <alignment horizontal="center" vertical="center"/>
    </xf>
    <xf numFmtId="4" fontId="23" fillId="0" borderId="14" xfId="4" applyNumberFormat="1" applyFont="1" applyFill="1" applyBorder="1" applyAlignment="1">
      <alignment horizontal="right" vertical="center"/>
    </xf>
    <xf numFmtId="0" fontId="25" fillId="0" borderId="10" xfId="2" applyFont="1" applyFill="1" applyBorder="1" applyAlignment="1">
      <alignment horizontal="right" vertical="center"/>
    </xf>
    <xf numFmtId="0" fontId="23" fillId="0" borderId="15" xfId="4" applyFont="1" applyFill="1" applyBorder="1" applyAlignment="1">
      <alignment horizontal="center" vertical="center"/>
    </xf>
    <xf numFmtId="0" fontId="23" fillId="0" borderId="16" xfId="4" applyFont="1" applyFill="1" applyBorder="1" applyAlignment="1">
      <alignment horizontal="center" vertical="center"/>
    </xf>
    <xf numFmtId="0" fontId="25" fillId="0" borderId="0" xfId="2" applyFont="1" applyFill="1" applyAlignment="1">
      <alignment horizontal="right" vertical="center"/>
    </xf>
    <xf numFmtId="49" fontId="23" fillId="0" borderId="15" xfId="2" applyNumberFormat="1" applyFont="1" applyFill="1" applyBorder="1" applyAlignment="1">
      <alignment horizontal="center" vertical="center" wrapText="1"/>
    </xf>
    <xf numFmtId="3" fontId="36" fillId="0" borderId="0" xfId="0" applyNumberFormat="1" applyFont="1"/>
    <xf numFmtId="0" fontId="15" fillId="0" borderId="13" xfId="4" applyFont="1" applyFill="1" applyBorder="1" applyAlignment="1">
      <alignment horizontal="center" vertical="center"/>
    </xf>
    <xf numFmtId="0" fontId="15" fillId="0" borderId="14" xfId="4" applyFont="1" applyFill="1" applyBorder="1" applyAlignment="1">
      <alignment horizontal="center" vertical="center"/>
    </xf>
    <xf numFmtId="0" fontId="15" fillId="0" borderId="15" xfId="4" applyFont="1" applyFill="1" applyBorder="1" applyAlignment="1">
      <alignment horizontal="center" vertical="center"/>
    </xf>
    <xf numFmtId="0" fontId="15" fillId="0" borderId="16" xfId="4" applyFont="1" applyFill="1" applyBorder="1" applyAlignment="1">
      <alignment horizontal="center" vertical="center"/>
    </xf>
    <xf numFmtId="3" fontId="23" fillId="0" borderId="26" xfId="4" applyNumberFormat="1" applyFont="1" applyFill="1" applyBorder="1" applyAlignment="1">
      <alignment horizontal="center" vertical="center"/>
    </xf>
    <xf numFmtId="3" fontId="7" fillId="4" borderId="52" xfId="0" applyNumberFormat="1" applyFont="1" applyFill="1" applyBorder="1" applyAlignment="1">
      <alignment horizontal="center" vertical="center"/>
    </xf>
    <xf numFmtId="3" fontId="7" fillId="4" borderId="54" xfId="0" applyNumberFormat="1" applyFont="1" applyFill="1" applyBorder="1" applyAlignment="1">
      <alignment horizontal="center" vertical="center"/>
    </xf>
    <xf numFmtId="0" fontId="15" fillId="17" borderId="43" xfId="4" applyFont="1" applyFill="1" applyBorder="1" applyAlignment="1">
      <alignment horizontal="center" vertical="center"/>
    </xf>
    <xf numFmtId="3" fontId="14" fillId="17" borderId="43" xfId="0" applyNumberFormat="1" applyFont="1" applyFill="1" applyBorder="1" applyAlignment="1">
      <alignment vertical="center"/>
    </xf>
    <xf numFmtId="3" fontId="13" fillId="17" borderId="53" xfId="0" applyNumberFormat="1" applyFont="1" applyFill="1" applyBorder="1" applyAlignment="1">
      <alignment vertical="center"/>
    </xf>
    <xf numFmtId="3" fontId="13" fillId="17" borderId="55" xfId="0" applyNumberFormat="1" applyFont="1" applyFill="1" applyBorder="1" applyAlignment="1">
      <alignment vertical="center"/>
    </xf>
    <xf numFmtId="0" fontId="15" fillId="17" borderId="29" xfId="4" applyFont="1" applyFill="1" applyBorder="1" applyAlignment="1">
      <alignment horizontal="center" vertical="center"/>
    </xf>
    <xf numFmtId="49" fontId="23" fillId="17" borderId="43" xfId="2" applyNumberFormat="1" applyFont="1" applyFill="1" applyBorder="1" applyAlignment="1">
      <alignment horizontal="center" vertical="center" wrapText="1"/>
    </xf>
    <xf numFmtId="49" fontId="24" fillId="2" borderId="29" xfId="2" applyNumberFormat="1" applyFont="1" applyFill="1" applyBorder="1" applyAlignment="1">
      <alignment horizontal="center" vertical="center" wrapText="1"/>
    </xf>
    <xf numFmtId="0" fontId="25" fillId="5" borderId="29" xfId="2" applyFont="1" applyFill="1" applyBorder="1" applyAlignment="1">
      <alignment horizontal="center" vertical="center"/>
    </xf>
    <xf numFmtId="0" fontId="49" fillId="0" borderId="0" xfId="0" applyFont="1"/>
    <xf numFmtId="49" fontId="23" fillId="4" borderId="14" xfId="2" applyNumberFormat="1" applyFont="1" applyFill="1" applyBorder="1" applyAlignment="1">
      <alignment horizontal="center" vertical="center" wrapText="1"/>
    </xf>
    <xf numFmtId="0" fontId="23" fillId="4" borderId="35" xfId="4" applyFont="1" applyFill="1" applyBorder="1" applyAlignment="1">
      <alignment horizontal="center" vertical="center"/>
    </xf>
    <xf numFmtId="0" fontId="23" fillId="4" borderId="36" xfId="4" applyFont="1" applyFill="1" applyBorder="1" applyAlignment="1">
      <alignment horizontal="center" vertical="center"/>
    </xf>
    <xf numFmtId="0" fontId="23" fillId="4" borderId="68" xfId="4" applyFont="1" applyFill="1" applyBorder="1" applyAlignment="1">
      <alignment horizontal="center" vertical="center"/>
    </xf>
    <xf numFmtId="0" fontId="23" fillId="4" borderId="69" xfId="4" applyFont="1" applyFill="1" applyBorder="1" applyAlignment="1">
      <alignment horizontal="center" vertical="center"/>
    </xf>
    <xf numFmtId="3" fontId="24" fillId="4" borderId="75" xfId="4" applyNumberFormat="1" applyFont="1" applyFill="1" applyBorder="1" applyAlignment="1">
      <alignment horizontal="center" vertical="center"/>
    </xf>
    <xf numFmtId="0" fontId="25" fillId="4" borderId="29" xfId="2" applyFont="1" applyFill="1" applyBorder="1" applyAlignment="1">
      <alignment horizontal="center" vertical="center"/>
    </xf>
    <xf numFmtId="0" fontId="26" fillId="4" borderId="29" xfId="2" applyFont="1" applyFill="1" applyBorder="1" applyAlignment="1">
      <alignment horizontal="center" vertical="center"/>
    </xf>
    <xf numFmtId="0" fontId="15" fillId="4" borderId="56" xfId="4" applyFont="1" applyFill="1" applyBorder="1" applyAlignment="1">
      <alignment horizontal="center" vertical="center"/>
    </xf>
    <xf numFmtId="0" fontId="14" fillId="4" borderId="57" xfId="0" applyFont="1" applyFill="1" applyBorder="1" applyAlignment="1">
      <alignment horizontal="center" vertical="center"/>
    </xf>
    <xf numFmtId="2" fontId="14" fillId="4" borderId="56" xfId="0" applyNumberFormat="1" applyFont="1" applyFill="1" applyBorder="1" applyAlignment="1">
      <alignment horizontal="center" vertical="center"/>
    </xf>
    <xf numFmtId="0" fontId="14" fillId="4" borderId="29" xfId="0" applyFont="1" applyFill="1" applyBorder="1" applyAlignment="1">
      <alignment horizontal="center" vertical="center"/>
    </xf>
    <xf numFmtId="2" fontId="14" fillId="4" borderId="29" xfId="0" applyNumberFormat="1" applyFont="1" applyFill="1" applyBorder="1" applyAlignment="1">
      <alignment horizontal="center" vertical="center"/>
    </xf>
    <xf numFmtId="0" fontId="14" fillId="4" borderId="56" xfId="0" applyFont="1" applyFill="1" applyBorder="1" applyAlignment="1">
      <alignment horizontal="center" vertical="center"/>
    </xf>
    <xf numFmtId="0" fontId="14" fillId="4" borderId="58" xfId="0" applyFont="1" applyFill="1" applyBorder="1" applyAlignment="1">
      <alignment horizontal="center" vertical="center"/>
    </xf>
    <xf numFmtId="4" fontId="13" fillId="4" borderId="0" xfId="0" applyNumberFormat="1" applyFont="1" applyFill="1"/>
    <xf numFmtId="0" fontId="15" fillId="9" borderId="91" xfId="0" applyFont="1" applyFill="1" applyBorder="1" applyAlignment="1">
      <alignment vertical="center" wrapText="1"/>
    </xf>
    <xf numFmtId="0" fontId="15" fillId="9" borderId="91" xfId="0" applyFont="1" applyFill="1" applyBorder="1" applyAlignment="1">
      <alignment horizontal="left" vertical="center" wrapText="1"/>
    </xf>
    <xf numFmtId="0" fontId="49" fillId="9" borderId="91" xfId="0" applyFont="1" applyFill="1" applyBorder="1" applyAlignment="1">
      <alignment horizontal="left" vertical="center" wrapText="1"/>
    </xf>
    <xf numFmtId="3" fontId="18" fillId="9" borderId="91" xfId="0" applyNumberFormat="1" applyFont="1" applyFill="1" applyBorder="1" applyAlignment="1">
      <alignment horizontal="right" vertical="center"/>
    </xf>
    <xf numFmtId="1" fontId="14" fillId="19" borderId="61" xfId="0" applyNumberFormat="1" applyFont="1" applyFill="1" applyBorder="1" applyAlignment="1">
      <alignment horizontal="center" vertical="center"/>
    </xf>
    <xf numFmtId="1" fontId="14" fillId="11" borderId="61" xfId="0" applyNumberFormat="1" applyFont="1" applyFill="1" applyBorder="1" applyAlignment="1">
      <alignment horizontal="center" vertical="center"/>
    </xf>
    <xf numFmtId="0" fontId="23" fillId="0" borderId="18" xfId="4" applyFont="1" applyFill="1" applyBorder="1" applyAlignment="1">
      <alignment horizontal="center" vertical="center"/>
    </xf>
    <xf numFmtId="3" fontId="32" fillId="0" borderId="20" xfId="4" applyNumberFormat="1" applyFont="1" applyFill="1" applyBorder="1" applyAlignment="1">
      <alignment horizontal="center" vertical="center"/>
    </xf>
    <xf numFmtId="4" fontId="24" fillId="0" borderId="21" xfId="4" applyNumberFormat="1" applyFont="1" applyFill="1" applyBorder="1" applyAlignment="1">
      <alignment horizontal="right" vertical="center"/>
    </xf>
    <xf numFmtId="3" fontId="32" fillId="0" borderId="75" xfId="4" applyNumberFormat="1" applyFont="1" applyFill="1" applyBorder="1" applyAlignment="1">
      <alignment horizontal="center" vertical="center"/>
    </xf>
    <xf numFmtId="0" fontId="41" fillId="7" borderId="164" xfId="2" applyFont="1" applyFill="1" applyBorder="1" applyAlignment="1">
      <alignment horizontal="right" vertical="center"/>
    </xf>
    <xf numFmtId="49" fontId="39" fillId="7" borderId="165" xfId="2" applyNumberFormat="1" applyFont="1" applyFill="1" applyBorder="1" applyAlignment="1">
      <alignment horizontal="center" vertical="center" wrapText="1"/>
    </xf>
    <xf numFmtId="0" fontId="69" fillId="7" borderId="164" xfId="4" applyFont="1" applyFill="1" applyBorder="1" applyAlignment="1">
      <alignment horizontal="center" vertical="center"/>
    </xf>
    <xf numFmtId="3" fontId="36" fillId="7" borderId="165" xfId="0" applyNumberFormat="1" applyFont="1" applyFill="1" applyBorder="1" applyAlignment="1">
      <alignment horizontal="right" vertical="center"/>
    </xf>
    <xf numFmtId="3" fontId="36" fillId="7" borderId="165" xfId="0" applyNumberFormat="1" applyFont="1" applyFill="1" applyBorder="1" applyAlignment="1">
      <alignment vertical="center"/>
    </xf>
    <xf numFmtId="0" fontId="41" fillId="9" borderId="167" xfId="2" applyFont="1" applyFill="1" applyBorder="1" applyAlignment="1">
      <alignment horizontal="right" vertical="center"/>
    </xf>
    <xf numFmtId="49" fontId="40" fillId="9" borderId="167" xfId="2" applyNumberFormat="1" applyFont="1" applyFill="1" applyBorder="1" applyAlignment="1">
      <alignment horizontal="center" vertical="center" wrapText="1"/>
    </xf>
    <xf numFmtId="0" fontId="69" fillId="9" borderId="167" xfId="4" applyFont="1" applyFill="1" applyBorder="1" applyAlignment="1">
      <alignment horizontal="center" vertical="center"/>
    </xf>
    <xf numFmtId="3" fontId="42" fillId="9" borderId="167" xfId="0" applyNumberFormat="1" applyFont="1" applyFill="1" applyBorder="1" applyAlignment="1">
      <alignment vertical="center"/>
    </xf>
    <xf numFmtId="3" fontId="36" fillId="9" borderId="167" xfId="0" applyNumberFormat="1" applyFont="1" applyFill="1" applyBorder="1" applyAlignment="1">
      <alignment vertical="center"/>
    </xf>
    <xf numFmtId="0" fontId="68" fillId="4" borderId="168" xfId="2" applyFont="1" applyFill="1" applyBorder="1" applyAlignment="1">
      <alignment horizontal="right" vertical="center"/>
    </xf>
    <xf numFmtId="0" fontId="41" fillId="7" borderId="169" xfId="2" applyFont="1" applyFill="1" applyBorder="1" applyAlignment="1">
      <alignment horizontal="right" vertical="center"/>
    </xf>
    <xf numFmtId="49" fontId="39" fillId="4" borderId="168" xfId="2" applyNumberFormat="1" applyFont="1" applyFill="1" applyBorder="1" applyAlignment="1">
      <alignment horizontal="center" vertical="center" wrapText="1"/>
    </xf>
    <xf numFmtId="49" fontId="39" fillId="7" borderId="170" xfId="2" applyNumberFormat="1" applyFont="1" applyFill="1" applyBorder="1" applyAlignment="1">
      <alignment horizontal="center" vertical="center" wrapText="1"/>
    </xf>
    <xf numFmtId="0" fontId="69" fillId="4" borderId="168" xfId="4" applyFont="1" applyFill="1" applyBorder="1" applyAlignment="1">
      <alignment horizontal="center" vertical="center"/>
    </xf>
    <xf numFmtId="0" fontId="69" fillId="7" borderId="169" xfId="4" applyFont="1" applyFill="1" applyBorder="1" applyAlignment="1">
      <alignment horizontal="center" vertical="center"/>
    </xf>
    <xf numFmtId="3" fontId="36" fillId="0" borderId="171" xfId="0" applyNumberFormat="1" applyFont="1" applyBorder="1" applyAlignment="1">
      <alignment horizontal="center" vertical="center"/>
    </xf>
    <xf numFmtId="3" fontId="36" fillId="7" borderId="170" xfId="0" applyNumberFormat="1" applyFont="1" applyFill="1" applyBorder="1" applyAlignment="1">
      <alignment horizontal="right" vertical="center"/>
    </xf>
    <xf numFmtId="3" fontId="36" fillId="7" borderId="170" xfId="0" applyNumberFormat="1" applyFont="1" applyFill="1" applyBorder="1" applyAlignment="1">
      <alignment vertical="center"/>
    </xf>
    <xf numFmtId="3" fontId="36" fillId="0" borderId="172" xfId="0" applyNumberFormat="1" applyFont="1" applyBorder="1" applyAlignment="1">
      <alignment horizontal="center" vertical="center"/>
    </xf>
    <xf numFmtId="3" fontId="36" fillId="7" borderId="173" xfId="0" applyNumberFormat="1" applyFont="1" applyFill="1" applyBorder="1" applyAlignment="1">
      <alignment vertical="center"/>
    </xf>
    <xf numFmtId="0" fontId="12" fillId="0" borderId="10" xfId="0" applyFont="1" applyFill="1" applyBorder="1" applyAlignment="1">
      <alignment vertical="top"/>
    </xf>
    <xf numFmtId="0" fontId="49" fillId="9" borderId="91" xfId="0" applyFont="1" applyFill="1" applyBorder="1" applyAlignment="1">
      <alignment vertical="top" wrapText="1"/>
    </xf>
    <xf numFmtId="49" fontId="24" fillId="11" borderId="169" xfId="2" applyNumberFormat="1" applyFont="1" applyFill="1" applyBorder="1" applyAlignment="1">
      <alignment horizontal="center" vertical="center" wrapText="1"/>
    </xf>
    <xf numFmtId="0" fontId="25" fillId="0" borderId="175" xfId="2" applyFont="1" applyFill="1" applyBorder="1" applyAlignment="1">
      <alignment horizontal="center" vertical="center"/>
    </xf>
    <xf numFmtId="0" fontId="25" fillId="0" borderId="167" xfId="2" applyFont="1" applyFill="1" applyBorder="1" applyAlignment="1">
      <alignment horizontal="right" vertical="center"/>
    </xf>
    <xf numFmtId="0" fontId="25" fillId="0" borderId="164" xfId="2" applyFont="1" applyFill="1" applyBorder="1" applyAlignment="1">
      <alignment horizontal="center" vertical="center"/>
    </xf>
    <xf numFmtId="0" fontId="25" fillId="0" borderId="176" xfId="2" applyFont="1" applyFill="1" applyBorder="1" applyAlignment="1">
      <alignment horizontal="right" vertical="center"/>
    </xf>
    <xf numFmtId="0" fontId="25" fillId="4" borderId="175" xfId="2" applyFont="1" applyFill="1" applyBorder="1" applyAlignment="1">
      <alignment horizontal="center" vertical="center"/>
    </xf>
    <xf numFmtId="0" fontId="25" fillId="4" borderId="176" xfId="2" applyFont="1" applyFill="1" applyBorder="1" applyAlignment="1">
      <alignment horizontal="right" vertical="center"/>
    </xf>
    <xf numFmtId="0" fontId="26" fillId="4" borderId="167" xfId="2" applyFont="1" applyFill="1" applyBorder="1" applyAlignment="1">
      <alignment horizontal="right" vertical="center"/>
    </xf>
    <xf numFmtId="0" fontId="25" fillId="17" borderId="174" xfId="2" applyFont="1" applyFill="1" applyBorder="1" applyAlignment="1">
      <alignment horizontal="right" vertical="center"/>
    </xf>
    <xf numFmtId="0" fontId="26" fillId="11" borderId="174" xfId="2" applyFont="1" applyFill="1" applyBorder="1" applyAlignment="1">
      <alignment horizontal="right" vertical="center"/>
    </xf>
    <xf numFmtId="0" fontId="25" fillId="11" borderId="174" xfId="2" applyFont="1" applyFill="1" applyBorder="1" applyAlignment="1">
      <alignment horizontal="right" vertical="center"/>
    </xf>
    <xf numFmtId="0" fontId="25" fillId="11" borderId="169" xfId="2" applyFont="1" applyFill="1" applyBorder="1" applyAlignment="1">
      <alignment horizontal="right" vertical="center"/>
    </xf>
    <xf numFmtId="49" fontId="23" fillId="5" borderId="175" xfId="2" applyNumberFormat="1" applyFont="1" applyFill="1" applyBorder="1" applyAlignment="1">
      <alignment horizontal="center" vertical="center" wrapText="1"/>
    </xf>
    <xf numFmtId="49" fontId="24" fillId="2" borderId="167" xfId="2" applyNumberFormat="1" applyFont="1" applyFill="1" applyBorder="1" applyAlignment="1">
      <alignment horizontal="center" vertical="center" wrapText="1"/>
    </xf>
    <xf numFmtId="49" fontId="23" fillId="5" borderId="164" xfId="2" applyNumberFormat="1" applyFont="1" applyFill="1" applyBorder="1" applyAlignment="1">
      <alignment horizontal="center" vertical="center" wrapText="1"/>
    </xf>
    <xf numFmtId="49" fontId="24" fillId="2" borderId="176" xfId="2" applyNumberFormat="1" applyFont="1" applyFill="1" applyBorder="1" applyAlignment="1">
      <alignment horizontal="center" vertical="center" wrapText="1"/>
    </xf>
    <xf numFmtId="49" fontId="23" fillId="4" borderId="175" xfId="2" applyNumberFormat="1" applyFont="1" applyFill="1" applyBorder="1" applyAlignment="1">
      <alignment horizontal="center" vertical="center" wrapText="1"/>
    </xf>
    <xf numFmtId="49" fontId="23" fillId="4" borderId="167" xfId="2" applyNumberFormat="1" applyFont="1" applyFill="1" applyBorder="1" applyAlignment="1">
      <alignment horizontal="center" vertical="center" wrapText="1"/>
    </xf>
    <xf numFmtId="49" fontId="23" fillId="11" borderId="174" xfId="2" applyNumberFormat="1" applyFont="1" applyFill="1" applyBorder="1" applyAlignment="1">
      <alignment horizontal="center" vertical="center" wrapText="1"/>
    </xf>
    <xf numFmtId="49" fontId="24" fillId="11" borderId="176" xfId="2" applyNumberFormat="1" applyFont="1" applyFill="1" applyBorder="1" applyAlignment="1">
      <alignment horizontal="center" vertical="center" wrapText="1"/>
    </xf>
    <xf numFmtId="0" fontId="15" fillId="0" borderId="175" xfId="4" applyFont="1" applyFill="1" applyBorder="1" applyAlignment="1">
      <alignment horizontal="center" vertical="center"/>
    </xf>
    <xf numFmtId="0" fontId="15" fillId="0" borderId="167" xfId="4" applyFont="1" applyFill="1" applyBorder="1" applyAlignment="1">
      <alignment horizontal="center" vertical="center"/>
    </xf>
    <xf numFmtId="0" fontId="15" fillId="0" borderId="164" xfId="4" applyFont="1" applyFill="1" applyBorder="1" applyAlignment="1">
      <alignment horizontal="center" vertical="center"/>
    </xf>
    <xf numFmtId="0" fontId="15" fillId="0" borderId="176" xfId="4" applyFont="1" applyFill="1" applyBorder="1" applyAlignment="1">
      <alignment horizontal="center" vertical="center"/>
    </xf>
    <xf numFmtId="0" fontId="15" fillId="4" borderId="175" xfId="4" applyFont="1" applyFill="1" applyBorder="1" applyAlignment="1">
      <alignment horizontal="center" vertical="center"/>
    </xf>
    <xf numFmtId="0" fontId="15" fillId="17" borderId="176" xfId="4" applyFont="1" applyFill="1" applyBorder="1" applyAlignment="1">
      <alignment horizontal="center" vertical="center"/>
    </xf>
    <xf numFmtId="0" fontId="15" fillId="4" borderId="167" xfId="4" applyFont="1" applyFill="1" applyBorder="1" applyAlignment="1">
      <alignment horizontal="center" vertical="center"/>
    </xf>
    <xf numFmtId="0" fontId="15" fillId="17" borderId="174" xfId="4" applyFont="1" applyFill="1" applyBorder="1" applyAlignment="1">
      <alignment horizontal="center" vertical="center"/>
    </xf>
    <xf numFmtId="0" fontId="15" fillId="11" borderId="174" xfId="4" applyFont="1" applyFill="1" applyBorder="1" applyAlignment="1">
      <alignment horizontal="center" vertical="center"/>
    </xf>
    <xf numFmtId="0" fontId="15" fillId="11" borderId="169" xfId="4" applyFont="1" applyFill="1" applyBorder="1" applyAlignment="1">
      <alignment horizontal="center" vertical="center"/>
    </xf>
    <xf numFmtId="3" fontId="14" fillId="0" borderId="175" xfId="0" applyNumberFormat="1" applyFont="1" applyBorder="1" applyAlignment="1">
      <alignment horizontal="center" vertical="center"/>
    </xf>
    <xf numFmtId="3" fontId="14" fillId="2" borderId="176" xfId="0" applyNumberFormat="1" applyFont="1" applyFill="1" applyBorder="1" applyAlignment="1">
      <alignment vertical="center"/>
    </xf>
    <xf numFmtId="3" fontId="14" fillId="4" borderId="175" xfId="0" applyNumberFormat="1" applyFont="1" applyFill="1" applyBorder="1" applyAlignment="1">
      <alignment horizontal="center" vertical="center"/>
    </xf>
    <xf numFmtId="3" fontId="14" fillId="17" borderId="176" xfId="0" applyNumberFormat="1" applyFont="1" applyFill="1" applyBorder="1" applyAlignment="1">
      <alignment vertical="center"/>
    </xf>
    <xf numFmtId="3" fontId="14" fillId="11" borderId="175" xfId="0" applyNumberFormat="1" applyFont="1" applyFill="1" applyBorder="1" applyAlignment="1">
      <alignment horizontal="center" vertical="center"/>
    </xf>
    <xf numFmtId="3" fontId="14" fillId="11" borderId="176" xfId="0" applyNumberFormat="1" applyFont="1" applyFill="1" applyBorder="1" applyAlignment="1">
      <alignment vertical="center"/>
    </xf>
    <xf numFmtId="3" fontId="14" fillId="11" borderId="170" xfId="0" applyNumberFormat="1" applyFont="1" applyFill="1" applyBorder="1" applyAlignment="1">
      <alignment vertical="center"/>
    </xf>
    <xf numFmtId="3" fontId="14" fillId="0" borderId="180" xfId="0" applyNumberFormat="1" applyFont="1" applyBorder="1" applyAlignment="1">
      <alignment horizontal="center" vertical="center"/>
    </xf>
    <xf numFmtId="3" fontId="14" fillId="2" borderId="181" xfId="0" applyNumberFormat="1" applyFont="1" applyFill="1" applyBorder="1" applyAlignment="1">
      <alignment vertical="center"/>
    </xf>
    <xf numFmtId="3" fontId="14" fillId="4" borderId="180" xfId="0" applyNumberFormat="1" applyFont="1" applyFill="1" applyBorder="1" applyAlignment="1">
      <alignment horizontal="center" vertical="center"/>
    </xf>
    <xf numFmtId="3" fontId="14" fillId="17" borderId="181" xfId="0" applyNumberFormat="1" applyFont="1" applyFill="1" applyBorder="1" applyAlignment="1">
      <alignment vertical="center"/>
    </xf>
    <xf numFmtId="3" fontId="14" fillId="11" borderId="180" xfId="0" applyNumberFormat="1" applyFont="1" applyFill="1" applyBorder="1" applyAlignment="1">
      <alignment horizontal="center" vertical="center"/>
    </xf>
    <xf numFmtId="3" fontId="14" fillId="11" borderId="181" xfId="0" applyNumberFormat="1" applyFont="1" applyFill="1" applyBorder="1" applyAlignment="1">
      <alignment vertical="center"/>
    </xf>
    <xf numFmtId="3" fontId="14" fillId="11" borderId="173" xfId="0" applyNumberFormat="1" applyFont="1" applyFill="1" applyBorder="1" applyAlignment="1">
      <alignment vertical="center"/>
    </xf>
    <xf numFmtId="0" fontId="15" fillId="0" borderId="107" xfId="0" applyFont="1" applyFill="1" applyBorder="1" applyAlignment="1">
      <alignment horizontal="left" vertical="center" wrapText="1"/>
    </xf>
    <xf numFmtId="0" fontId="49" fillId="6" borderId="97" xfId="0" applyFont="1" applyFill="1" applyBorder="1" applyAlignment="1">
      <alignment horizontal="left" vertical="center" wrapText="1"/>
    </xf>
    <xf numFmtId="3" fontId="71" fillId="0" borderId="0" xfId="0" applyNumberFormat="1" applyFont="1" applyAlignment="1">
      <alignment horizontal="right"/>
    </xf>
    <xf numFmtId="0" fontId="12" fillId="0" borderId="0" xfId="0" applyFont="1" applyAlignment="1">
      <alignment vertical="center"/>
    </xf>
    <xf numFmtId="0" fontId="16" fillId="10" borderId="121" xfId="0" applyFont="1" applyFill="1" applyBorder="1" applyAlignment="1">
      <alignment horizontal="center" vertical="center" wrapText="1"/>
    </xf>
    <xf numFmtId="0" fontId="15" fillId="6" borderId="121" xfId="0" applyFont="1" applyFill="1" applyBorder="1" applyAlignment="1">
      <alignment vertical="center" wrapText="1"/>
    </xf>
    <xf numFmtId="0" fontId="15" fillId="6" borderId="182" xfId="0" applyFont="1" applyFill="1" applyBorder="1" applyAlignment="1">
      <alignment vertical="center" wrapText="1"/>
    </xf>
    <xf numFmtId="0" fontId="12" fillId="0" borderId="183" xfId="0" applyFont="1" applyBorder="1" applyAlignment="1">
      <alignment vertical="top"/>
    </xf>
    <xf numFmtId="0" fontId="12" fillId="0" borderId="184" xfId="0" applyFont="1" applyBorder="1" applyAlignment="1">
      <alignment vertical="top"/>
    </xf>
    <xf numFmtId="0" fontId="12" fillId="0" borderId="185" xfId="0" applyFont="1" applyBorder="1" applyAlignment="1">
      <alignment vertical="top"/>
    </xf>
    <xf numFmtId="0" fontId="12" fillId="0" borderId="187" xfId="0" applyFont="1" applyBorder="1" applyAlignment="1">
      <alignment vertical="top"/>
    </xf>
    <xf numFmtId="0" fontId="12" fillId="0" borderId="186" xfId="0" applyFont="1" applyBorder="1" applyAlignment="1">
      <alignment vertical="top"/>
    </xf>
    <xf numFmtId="0" fontId="12" fillId="0" borderId="188" xfId="0" applyFont="1" applyBorder="1" applyAlignment="1">
      <alignment vertical="top"/>
    </xf>
    <xf numFmtId="0" fontId="13" fillId="18" borderId="116" xfId="0" applyFont="1" applyFill="1" applyBorder="1" applyAlignment="1">
      <alignment vertical="center" wrapText="1"/>
    </xf>
    <xf numFmtId="0" fontId="13" fillId="18" borderId="79" xfId="0" applyFont="1" applyFill="1" applyBorder="1" applyAlignment="1">
      <alignment vertical="center" wrapText="1"/>
    </xf>
    <xf numFmtId="0" fontId="13" fillId="18" borderId="112" xfId="0" applyFont="1" applyFill="1" applyBorder="1" applyAlignment="1">
      <alignment vertical="center" wrapText="1"/>
    </xf>
    <xf numFmtId="0" fontId="13" fillId="0" borderId="0" xfId="0" applyFont="1" applyBorder="1" applyAlignment="1">
      <alignment horizontal="center" vertical="center"/>
    </xf>
    <xf numFmtId="0" fontId="13" fillId="0" borderId="2" xfId="0" applyFont="1" applyBorder="1" applyAlignment="1">
      <alignment horizontal="center" vertical="center"/>
    </xf>
    <xf numFmtId="0" fontId="14" fillId="0" borderId="0" xfId="0" applyFont="1" applyBorder="1" applyAlignment="1">
      <alignment horizontal="center" vertical="center" wrapText="1"/>
    </xf>
    <xf numFmtId="0" fontId="14" fillId="0" borderId="2" xfId="0" applyFont="1" applyBorder="1" applyAlignment="1">
      <alignment horizontal="center" vertical="center" wrapText="1"/>
    </xf>
    <xf numFmtId="0" fontId="15" fillId="0" borderId="118" xfId="0" applyFont="1" applyBorder="1" applyAlignment="1">
      <alignment horizontal="center" vertical="top" wrapText="1"/>
    </xf>
    <xf numFmtId="0" fontId="15" fillId="0" borderId="119" xfId="0" applyFont="1" applyBorder="1" applyAlignment="1">
      <alignment horizontal="center" vertical="top" wrapText="1"/>
    </xf>
    <xf numFmtId="0" fontId="15" fillId="0" borderId="107" xfId="0" applyFont="1" applyFill="1" applyBorder="1" applyAlignment="1">
      <alignment horizontal="left" vertical="center" wrapText="1"/>
    </xf>
    <xf numFmtId="0" fontId="15" fillId="0" borderId="115" xfId="0" applyFont="1" applyFill="1" applyBorder="1" applyAlignment="1">
      <alignment horizontal="left" vertical="center" wrapText="1"/>
    </xf>
    <xf numFmtId="0" fontId="15" fillId="0" borderId="114" xfId="0" applyFont="1" applyFill="1" applyBorder="1" applyAlignment="1">
      <alignment horizontal="left" vertical="center" wrapText="1"/>
    </xf>
    <xf numFmtId="0" fontId="27" fillId="0" borderId="122" xfId="0" applyFont="1" applyFill="1" applyBorder="1" applyAlignment="1">
      <alignment horizontal="left" vertical="top" wrapText="1"/>
    </xf>
    <xf numFmtId="0" fontId="27" fillId="0" borderId="123" xfId="0" applyFont="1" applyFill="1" applyBorder="1" applyAlignment="1">
      <alignment horizontal="left" vertical="top" wrapText="1"/>
    </xf>
    <xf numFmtId="0" fontId="49" fillId="20" borderId="107" xfId="0" applyFont="1" applyFill="1" applyBorder="1" applyAlignment="1">
      <alignment horizontal="left" vertical="center" wrapText="1"/>
    </xf>
    <xf numFmtId="0" fontId="49" fillId="20" borderId="115" xfId="0" applyFont="1" applyFill="1" applyBorder="1" applyAlignment="1">
      <alignment horizontal="left" vertical="center" wrapText="1"/>
    </xf>
    <xf numFmtId="0" fontId="49" fillId="20" borderId="114" xfId="0" applyFont="1" applyFill="1" applyBorder="1" applyAlignment="1">
      <alignment horizontal="left" vertical="center" wrapText="1"/>
    </xf>
    <xf numFmtId="0" fontId="13" fillId="0" borderId="0" xfId="0" applyFont="1" applyAlignment="1">
      <alignment horizontal="center" vertical="center"/>
    </xf>
    <xf numFmtId="0" fontId="14" fillId="0" borderId="0" xfId="0" applyFont="1" applyAlignment="1">
      <alignment horizontal="center" vertical="center" wrapText="1"/>
    </xf>
    <xf numFmtId="0" fontId="15" fillId="0" borderId="130" xfId="0" applyFont="1" applyFill="1" applyBorder="1" applyAlignment="1">
      <alignment horizontal="left" vertical="center" wrapText="1"/>
    </xf>
    <xf numFmtId="0" fontId="53" fillId="3" borderId="124" xfId="0" applyFont="1" applyFill="1" applyBorder="1" applyAlignment="1">
      <alignment horizontal="left" wrapText="1"/>
    </xf>
    <xf numFmtId="0" fontId="53" fillId="3" borderId="125" xfId="0" applyFont="1" applyFill="1" applyBorder="1" applyAlignment="1">
      <alignment horizontal="left" wrapText="1"/>
    </xf>
    <xf numFmtId="0" fontId="53" fillId="3" borderId="126" xfId="0" applyFont="1" applyFill="1" applyBorder="1" applyAlignment="1">
      <alignment horizontal="left" wrapText="1"/>
    </xf>
    <xf numFmtId="0" fontId="15" fillId="0" borderId="0" xfId="0" applyFont="1" applyBorder="1" applyAlignment="1">
      <alignment horizontal="center" vertical="top" wrapText="1"/>
    </xf>
    <xf numFmtId="0" fontId="15" fillId="0" borderId="2" xfId="0" applyFont="1" applyBorder="1" applyAlignment="1">
      <alignment horizontal="center" vertical="top" wrapText="1"/>
    </xf>
    <xf numFmtId="0" fontId="29" fillId="0" borderId="129" xfId="0" applyFont="1" applyFill="1" applyBorder="1" applyAlignment="1">
      <alignment vertical="center" wrapText="1"/>
    </xf>
    <xf numFmtId="0" fontId="29" fillId="0" borderId="122" xfId="0" applyFont="1" applyFill="1" applyBorder="1" applyAlignment="1">
      <alignment vertical="center" wrapText="1"/>
    </xf>
    <xf numFmtId="0" fontId="29" fillId="0" borderId="123" xfId="0" applyFont="1" applyFill="1" applyBorder="1" applyAlignment="1">
      <alignment vertical="center" wrapText="1"/>
    </xf>
    <xf numFmtId="0" fontId="15" fillId="0" borderId="117" xfId="0" applyFont="1" applyFill="1" applyBorder="1" applyAlignment="1">
      <alignment horizontal="left" vertical="center" wrapText="1"/>
    </xf>
    <xf numFmtId="0" fontId="13" fillId="16" borderId="116" xfId="0" applyFont="1" applyFill="1" applyBorder="1" applyAlignment="1">
      <alignment vertical="center" wrapText="1"/>
    </xf>
    <xf numFmtId="0" fontId="13" fillId="16" borderId="79" xfId="0" applyFont="1" applyFill="1" applyBorder="1" applyAlignment="1">
      <alignment vertical="center" wrapText="1"/>
    </xf>
    <xf numFmtId="0" fontId="13" fillId="16" borderId="112" xfId="0" applyFont="1" applyFill="1" applyBorder="1" applyAlignment="1">
      <alignment vertical="center" wrapText="1"/>
    </xf>
    <xf numFmtId="0" fontId="14" fillId="0" borderId="0" xfId="0" applyFont="1" applyBorder="1" applyAlignment="1">
      <alignment horizontal="center" vertical="center"/>
    </xf>
    <xf numFmtId="0" fontId="14" fillId="0" borderId="2" xfId="0" applyFont="1" applyBorder="1" applyAlignment="1">
      <alignment horizontal="center" vertical="center"/>
    </xf>
    <xf numFmtId="0" fontId="23" fillId="0" borderId="0" xfId="0" applyFont="1" applyAlignment="1">
      <alignment horizontal="right" vertical="center" wrapText="1"/>
    </xf>
    <xf numFmtId="0" fontId="17" fillId="13" borderId="120" xfId="0" applyFont="1" applyFill="1" applyBorder="1" applyAlignment="1">
      <alignment horizontal="right" vertical="center" wrapText="1"/>
    </xf>
    <xf numFmtId="0" fontId="17" fillId="13" borderId="121" xfId="0" applyFont="1" applyFill="1" applyBorder="1" applyAlignment="1">
      <alignment horizontal="right" vertical="center" wrapText="1"/>
    </xf>
    <xf numFmtId="0" fontId="49" fillId="6" borderId="97" xfId="0" applyFont="1" applyFill="1" applyBorder="1" applyAlignment="1">
      <alignment horizontal="left" vertical="center" wrapText="1"/>
    </xf>
    <xf numFmtId="0" fontId="49" fillId="6" borderId="113" xfId="0" applyFont="1" applyFill="1" applyBorder="1" applyAlignment="1">
      <alignment horizontal="left" vertical="center" wrapText="1"/>
    </xf>
    <xf numFmtId="0" fontId="29" fillId="0" borderId="120" xfId="0" applyFont="1" applyFill="1" applyBorder="1" applyAlignment="1">
      <alignment vertical="top" wrapText="1"/>
    </xf>
    <xf numFmtId="0" fontId="29" fillId="0" borderId="127" xfId="0" applyFont="1" applyFill="1" applyBorder="1" applyAlignment="1">
      <alignment vertical="top" wrapText="1"/>
    </xf>
    <xf numFmtId="0" fontId="29" fillId="0" borderId="128" xfId="0" applyFont="1" applyFill="1" applyBorder="1" applyAlignment="1">
      <alignment vertical="top" wrapText="1"/>
    </xf>
    <xf numFmtId="0" fontId="29" fillId="0" borderId="129" xfId="0" applyFont="1" applyFill="1" applyBorder="1" applyAlignment="1">
      <alignment vertical="top" wrapText="1"/>
    </xf>
    <xf numFmtId="0" fontId="29" fillId="0" borderId="122" xfId="0" applyFont="1" applyFill="1" applyBorder="1" applyAlignment="1">
      <alignment vertical="top" wrapText="1"/>
    </xf>
    <xf numFmtId="0" fontId="29" fillId="0" borderId="123" xfId="0" applyFont="1" applyFill="1" applyBorder="1" applyAlignment="1">
      <alignment vertical="top" wrapText="1"/>
    </xf>
    <xf numFmtId="0" fontId="70" fillId="4" borderId="0" xfId="0" applyFont="1" applyFill="1" applyAlignment="1">
      <alignment horizontal="center" vertical="center" wrapText="1"/>
    </xf>
    <xf numFmtId="0" fontId="17" fillId="0" borderId="79" xfId="0" applyFont="1" applyBorder="1" applyAlignment="1">
      <alignment horizontal="center"/>
    </xf>
    <xf numFmtId="0" fontId="17" fillId="0" borderId="112" xfId="0" applyFont="1" applyBorder="1" applyAlignment="1">
      <alignment horizontal="center"/>
    </xf>
    <xf numFmtId="0" fontId="17" fillId="0" borderId="0" xfId="0" applyFont="1" applyBorder="1" applyAlignment="1">
      <alignment horizontal="center" vertical="center"/>
    </xf>
    <xf numFmtId="0" fontId="17" fillId="0" borderId="2" xfId="0" applyFont="1" applyBorder="1" applyAlignment="1">
      <alignment horizontal="center" vertical="center"/>
    </xf>
    <xf numFmtId="0" fontId="16" fillId="0" borderId="97" xfId="0" applyFont="1" applyBorder="1" applyAlignment="1">
      <alignment horizontal="center" vertical="center"/>
    </xf>
    <xf numFmtId="0" fontId="16" fillId="0" borderId="113" xfId="0" applyFont="1" applyBorder="1" applyAlignment="1">
      <alignment horizontal="center" vertical="center"/>
    </xf>
    <xf numFmtId="0" fontId="16" fillId="0" borderId="97" xfId="0" applyFont="1" applyBorder="1" applyAlignment="1">
      <alignment horizontal="center" vertical="center" wrapText="1"/>
    </xf>
    <xf numFmtId="0" fontId="16" fillId="0" borderId="113" xfId="0" applyFont="1" applyBorder="1" applyAlignment="1">
      <alignment horizontal="center" vertical="center" wrapText="1"/>
    </xf>
    <xf numFmtId="3" fontId="17" fillId="0" borderId="97" xfId="0" applyNumberFormat="1" applyFont="1" applyBorder="1" applyAlignment="1">
      <alignment horizontal="center" vertical="center"/>
    </xf>
    <xf numFmtId="3" fontId="17" fillId="0" borderId="113" xfId="0" applyNumberFormat="1" applyFont="1" applyBorder="1" applyAlignment="1">
      <alignment horizontal="center" vertical="center"/>
    </xf>
    <xf numFmtId="0" fontId="16" fillId="0" borderId="107" xfId="0" applyFont="1" applyBorder="1" applyAlignment="1">
      <alignment horizontal="center" vertical="center" wrapText="1"/>
    </xf>
    <xf numFmtId="0" fontId="16" fillId="0" borderId="114" xfId="0" applyFont="1" applyBorder="1" applyAlignment="1">
      <alignment horizontal="center" vertical="center" wrapText="1"/>
    </xf>
    <xf numFmtId="0" fontId="36" fillId="0" borderId="0" xfId="0" applyFont="1" applyAlignment="1">
      <alignment horizontal="left"/>
    </xf>
    <xf numFmtId="49" fontId="40" fillId="7" borderId="157" xfId="2" applyNumberFormat="1" applyFont="1" applyFill="1" applyBorder="1" applyAlignment="1">
      <alignment horizontal="center" vertical="center" wrapText="1"/>
    </xf>
    <xf numFmtId="49" fontId="40" fillId="7" borderId="164" xfId="2" applyNumberFormat="1" applyFont="1" applyFill="1" applyBorder="1" applyAlignment="1">
      <alignment horizontal="center" vertical="center" wrapText="1"/>
    </xf>
    <xf numFmtId="49" fontId="40" fillId="7" borderId="168" xfId="2" applyNumberFormat="1" applyFont="1" applyFill="1" applyBorder="1" applyAlignment="1">
      <alignment horizontal="center" vertical="center" wrapText="1"/>
    </xf>
    <xf numFmtId="49" fontId="40" fillId="7" borderId="169" xfId="2" applyNumberFormat="1" applyFont="1" applyFill="1" applyBorder="1" applyAlignment="1">
      <alignment horizontal="center" vertical="center" wrapText="1"/>
    </xf>
    <xf numFmtId="0" fontId="36" fillId="0" borderId="0" xfId="0" applyFont="1" applyAlignment="1">
      <alignment horizontal="left" vertical="top" wrapText="1"/>
    </xf>
    <xf numFmtId="49" fontId="40" fillId="4" borderId="166" xfId="2" applyNumberFormat="1" applyFont="1" applyFill="1" applyBorder="1" applyAlignment="1">
      <alignment horizontal="center" vertical="center" wrapText="1"/>
    </xf>
    <xf numFmtId="49" fontId="40" fillId="4" borderId="154" xfId="2" applyNumberFormat="1" applyFont="1" applyFill="1" applyBorder="1" applyAlignment="1">
      <alignment horizontal="center" vertical="center" wrapText="1"/>
    </xf>
    <xf numFmtId="49" fontId="24" fillId="7" borderId="157" xfId="2" applyNumberFormat="1" applyFont="1" applyFill="1" applyBorder="1" applyAlignment="1">
      <alignment horizontal="center" vertical="center" wrapText="1"/>
    </xf>
    <xf numFmtId="49" fontId="24" fillId="7" borderId="31" xfId="2" applyNumberFormat="1" applyFont="1" applyFill="1" applyBorder="1" applyAlignment="1">
      <alignment horizontal="center" vertical="center" wrapText="1"/>
    </xf>
    <xf numFmtId="49" fontId="24" fillId="7" borderId="158" xfId="2" applyNumberFormat="1" applyFont="1" applyFill="1" applyBorder="1" applyAlignment="1">
      <alignment horizontal="center" vertical="center" wrapText="1"/>
    </xf>
    <xf numFmtId="49" fontId="24" fillId="0" borderId="157" xfId="2" applyNumberFormat="1" applyFont="1" applyBorder="1" applyAlignment="1">
      <alignment horizontal="center" vertical="center" wrapText="1"/>
    </xf>
    <xf numFmtId="49" fontId="40" fillId="0" borderId="157" xfId="2" applyNumberFormat="1" applyFont="1" applyBorder="1" applyAlignment="1">
      <alignment horizontal="center" vertical="center" wrapText="1"/>
    </xf>
    <xf numFmtId="0" fontId="14" fillId="0" borderId="157" xfId="0" applyFont="1" applyBorder="1" applyAlignment="1">
      <alignment horizontal="center"/>
    </xf>
    <xf numFmtId="49" fontId="40" fillId="0" borderId="164" xfId="2" applyNumberFormat="1" applyFont="1" applyBorder="1" applyAlignment="1">
      <alignment horizontal="center" vertical="center" wrapText="1"/>
    </xf>
    <xf numFmtId="49" fontId="40" fillId="0" borderId="70" xfId="2" applyNumberFormat="1" applyFont="1" applyBorder="1" applyAlignment="1">
      <alignment horizontal="center" vertical="center" wrapText="1"/>
    </xf>
    <xf numFmtId="49" fontId="40" fillId="0" borderId="46" xfId="2" applyNumberFormat="1" applyFont="1" applyBorder="1" applyAlignment="1">
      <alignment horizontal="center" vertical="center" wrapText="1"/>
    </xf>
    <xf numFmtId="49" fontId="24" fillId="4" borderId="159" xfId="2" applyNumberFormat="1" applyFont="1" applyFill="1" applyBorder="1" applyAlignment="1">
      <alignment horizontal="center" vertical="center" wrapText="1"/>
    </xf>
    <xf numFmtId="49" fontId="24" fillId="4" borderId="149" xfId="2" applyNumberFormat="1" applyFont="1" applyFill="1" applyBorder="1" applyAlignment="1">
      <alignment horizontal="center" vertical="center" wrapText="1"/>
    </xf>
    <xf numFmtId="49" fontId="24" fillId="0" borderId="158" xfId="2" applyNumberFormat="1" applyFont="1" applyBorder="1" applyAlignment="1">
      <alignment horizontal="center" vertical="center" wrapText="1"/>
    </xf>
    <xf numFmtId="0" fontId="14" fillId="0" borderId="0" xfId="4" applyFont="1" applyAlignment="1">
      <alignment horizontal="right" vertical="center"/>
    </xf>
    <xf numFmtId="0" fontId="21" fillId="0" borderId="96" xfId="0" applyFont="1" applyBorder="1" applyAlignment="1">
      <alignment horizontal="center" vertical="center"/>
    </xf>
    <xf numFmtId="0" fontId="19" fillId="0" borderId="96" xfId="0" applyFont="1" applyBorder="1" applyAlignment="1">
      <alignment horizontal="center" vertical="center"/>
    </xf>
    <xf numFmtId="49" fontId="23" fillId="0" borderId="140" xfId="2" applyNumberFormat="1" applyFont="1" applyBorder="1" applyAlignment="1">
      <alignment horizontal="center" vertical="center" wrapText="1"/>
    </xf>
    <xf numFmtId="49" fontId="23" fillId="0" borderId="76" xfId="2" applyNumberFormat="1" applyFont="1" applyBorder="1" applyAlignment="1">
      <alignment horizontal="center" vertical="center" wrapText="1"/>
    </xf>
    <xf numFmtId="49" fontId="23" fillId="0" borderId="141" xfId="2" applyNumberFormat="1" applyFont="1" applyBorder="1" applyAlignment="1">
      <alignment horizontal="center" vertical="center" wrapText="1"/>
    </xf>
    <xf numFmtId="49" fontId="23" fillId="0" borderId="31" xfId="2" applyNumberFormat="1" applyFont="1" applyBorder="1" applyAlignment="1">
      <alignment horizontal="center" vertical="center" wrapText="1"/>
    </xf>
    <xf numFmtId="0" fontId="25" fillId="5" borderId="142" xfId="2" applyFont="1" applyFill="1" applyBorder="1" applyAlignment="1">
      <alignment horizontal="center" vertical="center"/>
    </xf>
    <xf numFmtId="0" fontId="25" fillId="5" borderId="143" xfId="2" applyFont="1" applyFill="1" applyBorder="1" applyAlignment="1">
      <alignment horizontal="center" vertical="center"/>
    </xf>
    <xf numFmtId="49" fontId="23" fillId="0" borderId="138" xfId="2" applyNumberFormat="1" applyFont="1" applyBorder="1" applyAlignment="1">
      <alignment horizontal="center" vertical="center" wrapText="1"/>
    </xf>
    <xf numFmtId="49" fontId="23" fillId="0" borderId="139" xfId="2" applyNumberFormat="1" applyFont="1" applyBorder="1" applyAlignment="1">
      <alignment horizontal="center" vertical="center" wrapText="1"/>
    </xf>
    <xf numFmtId="0" fontId="34" fillId="0" borderId="133" xfId="3" applyFont="1" applyBorder="1" applyAlignment="1">
      <alignment horizontal="center" vertical="center" wrapText="1"/>
    </xf>
    <xf numFmtId="0" fontId="34" fillId="0" borderId="11" xfId="3" applyFont="1" applyBorder="1" applyAlignment="1">
      <alignment horizontal="center" vertical="center" wrapText="1"/>
    </xf>
    <xf numFmtId="0" fontId="34" fillId="0" borderId="137" xfId="3" applyFont="1" applyBorder="1" applyAlignment="1">
      <alignment horizontal="center" vertical="center" wrapText="1"/>
    </xf>
    <xf numFmtId="0" fontId="23" fillId="0" borderId="140" xfId="2" applyFont="1" applyBorder="1" applyAlignment="1">
      <alignment horizontal="right" vertical="center" wrapText="1"/>
    </xf>
    <xf numFmtId="0" fontId="23" fillId="0" borderId="76" xfId="2" applyFont="1" applyBorder="1" applyAlignment="1">
      <alignment horizontal="right" vertical="center" wrapText="1"/>
    </xf>
    <xf numFmtId="0" fontId="23" fillId="0" borderId="138" xfId="2" applyFont="1" applyBorder="1" applyAlignment="1">
      <alignment horizontal="right" vertical="center" wrapText="1"/>
    </xf>
    <xf numFmtId="0" fontId="23" fillId="0" borderId="139" xfId="2" applyFont="1" applyBorder="1" applyAlignment="1">
      <alignment horizontal="right" vertical="center" wrapText="1"/>
    </xf>
    <xf numFmtId="4" fontId="23" fillId="2" borderId="36" xfId="4" applyNumberFormat="1" applyFont="1" applyFill="1" applyBorder="1" applyAlignment="1">
      <alignment horizontal="right" vertical="center"/>
    </xf>
    <xf numFmtId="4" fontId="23" fillId="2" borderId="131" xfId="4" applyNumberFormat="1" applyFont="1" applyFill="1" applyBorder="1" applyAlignment="1">
      <alignment horizontal="right" vertical="center"/>
    </xf>
    <xf numFmtId="3" fontId="23" fillId="2" borderId="35" xfId="4" applyNumberFormat="1" applyFont="1" applyFill="1" applyBorder="1" applyAlignment="1">
      <alignment horizontal="center" vertical="center"/>
    </xf>
    <xf numFmtId="3" fontId="23" fillId="2" borderId="26" xfId="4" applyNumberFormat="1" applyFont="1" applyFill="1" applyBorder="1" applyAlignment="1">
      <alignment horizontal="center" vertical="center"/>
    </xf>
    <xf numFmtId="3" fontId="35" fillId="2" borderId="35" xfId="4" applyNumberFormat="1" applyFont="1" applyFill="1" applyBorder="1" applyAlignment="1">
      <alignment horizontal="center" vertical="center"/>
    </xf>
    <xf numFmtId="3" fontId="35" fillId="2" borderId="26" xfId="4" applyNumberFormat="1" applyFont="1" applyFill="1" applyBorder="1" applyAlignment="1">
      <alignment horizontal="center" vertical="center"/>
    </xf>
    <xf numFmtId="0" fontId="23" fillId="2" borderId="66" xfId="4" applyFont="1" applyFill="1" applyBorder="1" applyAlignment="1">
      <alignment horizontal="left" vertical="center" wrapText="1"/>
    </xf>
    <xf numFmtId="0" fontId="23" fillId="2" borderId="134" xfId="4" applyFont="1" applyFill="1" applyBorder="1" applyAlignment="1">
      <alignment horizontal="left" vertical="center" wrapText="1"/>
    </xf>
    <xf numFmtId="0" fontId="23" fillId="2" borderId="66" xfId="4" applyFont="1" applyFill="1" applyBorder="1" applyAlignment="1">
      <alignment horizontal="center" vertical="center" wrapText="1"/>
    </xf>
    <xf numFmtId="0" fontId="23" fillId="2" borderId="134" xfId="4" applyFont="1" applyFill="1" applyBorder="1" applyAlignment="1">
      <alignment horizontal="center" vertical="center" wrapText="1"/>
    </xf>
    <xf numFmtId="4" fontId="35" fillId="2" borderId="36" xfId="4" applyNumberFormat="1" applyFont="1" applyFill="1" applyBorder="1" applyAlignment="1">
      <alignment horizontal="right" vertical="center"/>
    </xf>
    <xf numFmtId="4" fontId="35" fillId="2" borderId="131" xfId="4" applyNumberFormat="1" applyFont="1" applyFill="1" applyBorder="1" applyAlignment="1">
      <alignment horizontal="right" vertical="center"/>
    </xf>
    <xf numFmtId="3" fontId="35" fillId="2" borderId="36" xfId="4" applyNumberFormat="1" applyFont="1" applyFill="1" applyBorder="1" applyAlignment="1">
      <alignment horizontal="right" vertical="center"/>
    </xf>
    <xf numFmtId="3" fontId="35" fillId="2" borderId="131" xfId="4" applyNumberFormat="1" applyFont="1" applyFill="1" applyBorder="1" applyAlignment="1">
      <alignment horizontal="right" vertical="center"/>
    </xf>
    <xf numFmtId="0" fontId="23" fillId="2" borderId="11" xfId="4" applyFont="1" applyFill="1" applyBorder="1" applyAlignment="1">
      <alignment horizontal="left" vertical="center" wrapText="1"/>
    </xf>
    <xf numFmtId="3" fontId="23" fillId="2" borderId="35" xfId="4" applyNumberFormat="1" applyFont="1" applyFill="1" applyBorder="1" applyAlignment="1">
      <alignment horizontal="center" vertical="center" wrapText="1"/>
    </xf>
    <xf numFmtId="3" fontId="23" fillId="2" borderId="26" xfId="4" applyNumberFormat="1" applyFont="1" applyFill="1" applyBorder="1" applyAlignment="1">
      <alignment horizontal="center" vertical="center" wrapText="1"/>
    </xf>
    <xf numFmtId="0" fontId="24" fillId="0" borderId="109" xfId="4" applyFont="1" applyBorder="1" applyAlignment="1">
      <alignment horizontal="right" vertical="center" wrapText="1"/>
    </xf>
    <xf numFmtId="0" fontId="24" fillId="0" borderId="132" xfId="4" applyFont="1" applyBorder="1" applyAlignment="1">
      <alignment horizontal="right" vertical="center" wrapText="1"/>
    </xf>
    <xf numFmtId="0" fontId="22" fillId="0" borderId="7" xfId="2" applyFont="1" applyBorder="1" applyAlignment="1">
      <alignment horizontal="center" vertical="center" wrapText="1"/>
    </xf>
    <xf numFmtId="3" fontId="35" fillId="2" borderId="35" xfId="4" applyNumberFormat="1" applyFont="1" applyFill="1" applyBorder="1" applyAlignment="1">
      <alignment horizontal="center" vertical="center" wrapText="1"/>
    </xf>
    <xf numFmtId="3" fontId="35" fillId="2" borderId="26" xfId="4" applyNumberFormat="1" applyFont="1" applyFill="1" applyBorder="1" applyAlignment="1">
      <alignment horizontal="center" vertical="center" wrapText="1"/>
    </xf>
    <xf numFmtId="0" fontId="23" fillId="2" borderId="137" xfId="4" applyFont="1" applyFill="1" applyBorder="1" applyAlignment="1">
      <alignment horizontal="left" vertical="center" wrapText="1"/>
    </xf>
    <xf numFmtId="0" fontId="23" fillId="2" borderId="11" xfId="4" applyFont="1" applyFill="1" applyBorder="1" applyAlignment="1">
      <alignment horizontal="center" vertical="center" wrapText="1"/>
    </xf>
    <xf numFmtId="3" fontId="23" fillId="2" borderId="3" xfId="4" applyNumberFormat="1" applyFont="1" applyFill="1" applyBorder="1" applyAlignment="1">
      <alignment horizontal="center" vertical="center"/>
    </xf>
    <xf numFmtId="4" fontId="23" fillId="2" borderId="4" xfId="4" applyNumberFormat="1" applyFont="1" applyFill="1" applyBorder="1" applyAlignment="1">
      <alignment horizontal="right" vertical="center"/>
    </xf>
    <xf numFmtId="3" fontId="23" fillId="2" borderId="3" xfId="4" applyNumberFormat="1" applyFont="1" applyFill="1" applyBorder="1" applyAlignment="1">
      <alignment horizontal="center" vertical="center" wrapText="1"/>
    </xf>
    <xf numFmtId="3" fontId="35" fillId="2" borderId="3" xfId="4" applyNumberFormat="1" applyFont="1" applyFill="1" applyBorder="1" applyAlignment="1">
      <alignment horizontal="center" vertical="center"/>
    </xf>
    <xf numFmtId="4" fontId="35" fillId="2" borderId="4" xfId="4" applyNumberFormat="1" applyFont="1" applyFill="1" applyBorder="1" applyAlignment="1">
      <alignment horizontal="right" vertical="center"/>
    </xf>
    <xf numFmtId="3" fontId="35" fillId="2" borderId="4" xfId="4" applyNumberFormat="1" applyFont="1" applyFill="1" applyBorder="1" applyAlignment="1">
      <alignment horizontal="right" vertical="center"/>
    </xf>
    <xf numFmtId="0" fontId="23" fillId="2" borderId="137" xfId="4" applyFont="1" applyFill="1" applyBorder="1" applyAlignment="1">
      <alignment horizontal="center" vertical="center" wrapText="1"/>
    </xf>
    <xf numFmtId="3" fontId="23" fillId="2" borderId="136" xfId="4" applyNumberFormat="1" applyFont="1" applyFill="1" applyBorder="1" applyAlignment="1">
      <alignment horizontal="center" vertical="center"/>
    </xf>
    <xf numFmtId="4" fontId="23" fillId="2" borderId="135" xfId="4" applyNumberFormat="1" applyFont="1" applyFill="1" applyBorder="1" applyAlignment="1">
      <alignment horizontal="right" vertical="center"/>
    </xf>
    <xf numFmtId="3" fontId="23" fillId="2" borderId="136" xfId="4" applyNumberFormat="1" applyFont="1" applyFill="1" applyBorder="1" applyAlignment="1">
      <alignment horizontal="center" vertical="center" wrapText="1"/>
    </xf>
    <xf numFmtId="3" fontId="35" fillId="2" borderId="136" xfId="4" applyNumberFormat="1" applyFont="1" applyFill="1" applyBorder="1" applyAlignment="1">
      <alignment horizontal="center" vertical="center"/>
    </xf>
    <xf numFmtId="4" fontId="35" fillId="2" borderId="135" xfId="4" applyNumberFormat="1" applyFont="1" applyFill="1" applyBorder="1" applyAlignment="1">
      <alignment horizontal="right" vertical="center"/>
    </xf>
    <xf numFmtId="49" fontId="23" fillId="11" borderId="138" xfId="2" applyNumberFormat="1" applyFont="1" applyFill="1" applyBorder="1" applyAlignment="1">
      <alignment horizontal="center" vertical="center" wrapText="1"/>
    </xf>
    <xf numFmtId="49" fontId="23" fillId="11" borderId="139" xfId="2" applyNumberFormat="1" applyFont="1" applyFill="1" applyBorder="1" applyAlignment="1">
      <alignment horizontal="center" vertical="center" wrapText="1"/>
    </xf>
    <xf numFmtId="49" fontId="23" fillId="0" borderId="140" xfId="2" applyNumberFormat="1" applyFont="1" applyFill="1" applyBorder="1" applyAlignment="1">
      <alignment horizontal="center" vertical="center" wrapText="1"/>
    </xf>
    <xf numFmtId="49" fontId="23" fillId="0" borderId="76" xfId="2" applyNumberFormat="1" applyFont="1" applyFill="1" applyBorder="1" applyAlignment="1">
      <alignment horizontal="center" vertical="center" wrapText="1"/>
    </xf>
    <xf numFmtId="49" fontId="23" fillId="0" borderId="141" xfId="2" applyNumberFormat="1" applyFont="1" applyFill="1" applyBorder="1" applyAlignment="1">
      <alignment horizontal="center" vertical="center" wrapText="1"/>
    </xf>
    <xf numFmtId="49" fontId="23" fillId="0" borderId="31" xfId="2" applyNumberFormat="1" applyFont="1" applyFill="1" applyBorder="1" applyAlignment="1">
      <alignment horizontal="center" vertical="center" wrapText="1"/>
    </xf>
    <xf numFmtId="49" fontId="23" fillId="11" borderId="141" xfId="2" applyNumberFormat="1" applyFont="1" applyFill="1" applyBorder="1" applyAlignment="1">
      <alignment horizontal="center" vertical="center" wrapText="1"/>
    </xf>
    <xf numFmtId="49" fontId="23" fillId="11" borderId="31" xfId="2" applyNumberFormat="1" applyFont="1" applyFill="1" applyBorder="1" applyAlignment="1">
      <alignment horizontal="center" vertical="center" wrapText="1"/>
    </xf>
    <xf numFmtId="49" fontId="23" fillId="11" borderId="140" xfId="2" applyNumberFormat="1" applyFont="1" applyFill="1" applyBorder="1" applyAlignment="1">
      <alignment horizontal="center" vertical="center" wrapText="1"/>
    </xf>
    <xf numFmtId="49" fontId="23" fillId="11" borderId="76" xfId="2" applyNumberFormat="1" applyFont="1" applyFill="1" applyBorder="1" applyAlignment="1">
      <alignment horizontal="center" vertical="center" wrapText="1"/>
    </xf>
    <xf numFmtId="3" fontId="35" fillId="11" borderId="35" xfId="4" applyNumberFormat="1" applyFont="1" applyFill="1" applyBorder="1" applyAlignment="1">
      <alignment horizontal="center" vertical="center"/>
    </xf>
    <xf numFmtId="3" fontId="35" fillId="11" borderId="26" xfId="4" applyNumberFormat="1" applyFont="1" applyFill="1" applyBorder="1" applyAlignment="1">
      <alignment horizontal="center" vertical="center"/>
    </xf>
    <xf numFmtId="4" fontId="35" fillId="11" borderId="36" xfId="4" applyNumberFormat="1" applyFont="1" applyFill="1" applyBorder="1" applyAlignment="1">
      <alignment horizontal="right" vertical="center"/>
    </xf>
    <xf numFmtId="4" fontId="35" fillId="11" borderId="131" xfId="4" applyNumberFormat="1" applyFont="1" applyFill="1" applyBorder="1" applyAlignment="1">
      <alignment horizontal="right" vertical="center"/>
    </xf>
    <xf numFmtId="3" fontId="35" fillId="11" borderId="4" xfId="4" applyNumberFormat="1" applyFont="1" applyFill="1" applyBorder="1" applyAlignment="1">
      <alignment horizontal="right" vertical="center"/>
    </xf>
    <xf numFmtId="3" fontId="35" fillId="11" borderId="131" xfId="4" applyNumberFormat="1" applyFont="1" applyFill="1" applyBorder="1" applyAlignment="1">
      <alignment horizontal="right" vertical="center"/>
    </xf>
    <xf numFmtId="3" fontId="35" fillId="11" borderId="36" xfId="4" applyNumberFormat="1" applyFont="1" applyFill="1" applyBorder="1" applyAlignment="1">
      <alignment horizontal="right" vertical="center"/>
    </xf>
    <xf numFmtId="3" fontId="35" fillId="11" borderId="3" xfId="4" applyNumberFormat="1" applyFont="1" applyFill="1" applyBorder="1" applyAlignment="1">
      <alignment horizontal="center" vertical="center"/>
    </xf>
    <xf numFmtId="4" fontId="35" fillId="11" borderId="4" xfId="4" applyNumberFormat="1" applyFont="1" applyFill="1" applyBorder="1" applyAlignment="1">
      <alignment horizontal="right" vertical="center"/>
    </xf>
    <xf numFmtId="3" fontId="35" fillId="11" borderId="136" xfId="4" applyNumberFormat="1" applyFont="1" applyFill="1" applyBorder="1" applyAlignment="1">
      <alignment horizontal="center" vertical="center"/>
    </xf>
    <xf numFmtId="4" fontId="35" fillId="11" borderId="135" xfId="4" applyNumberFormat="1" applyFont="1" applyFill="1" applyBorder="1" applyAlignment="1">
      <alignment horizontal="right" vertical="center"/>
    </xf>
    <xf numFmtId="4" fontId="23" fillId="11" borderId="4" xfId="4" applyNumberFormat="1" applyFont="1" applyFill="1" applyBorder="1" applyAlignment="1">
      <alignment horizontal="right" vertical="center"/>
    </xf>
    <xf numFmtId="4" fontId="23" fillId="11" borderId="131" xfId="4" applyNumberFormat="1" applyFont="1" applyFill="1" applyBorder="1" applyAlignment="1">
      <alignment horizontal="right" vertical="center"/>
    </xf>
    <xf numFmtId="0" fontId="12" fillId="11" borderId="0" xfId="0" applyFont="1" applyFill="1" applyAlignment="1">
      <alignment horizontal="left" vertical="top" wrapText="1"/>
    </xf>
    <xf numFmtId="0" fontId="12" fillId="11" borderId="0" xfId="0" applyFont="1" applyFill="1" applyAlignment="1">
      <alignment horizontal="left" vertical="top"/>
    </xf>
    <xf numFmtId="0" fontId="34" fillId="0" borderId="134" xfId="3" applyFont="1" applyBorder="1" applyAlignment="1">
      <alignment horizontal="center" vertical="center" wrapText="1"/>
    </xf>
    <xf numFmtId="0" fontId="24" fillId="0" borderId="19" xfId="4" applyFont="1" applyFill="1" applyBorder="1" applyAlignment="1">
      <alignment horizontal="right" vertical="center" wrapText="1"/>
    </xf>
    <xf numFmtId="0" fontId="24" fillId="0" borderId="146" xfId="4" applyFont="1" applyFill="1" applyBorder="1" applyAlignment="1">
      <alignment horizontal="right" vertical="center" wrapText="1"/>
    </xf>
    <xf numFmtId="49" fontId="23" fillId="0" borderId="147" xfId="2" applyNumberFormat="1" applyFont="1" applyBorder="1" applyAlignment="1">
      <alignment horizontal="center" vertical="center" wrapText="1"/>
    </xf>
    <xf numFmtId="0" fontId="25" fillId="5" borderId="144" xfId="2" applyFont="1" applyFill="1" applyBorder="1" applyAlignment="1">
      <alignment horizontal="center" vertical="center"/>
    </xf>
    <xf numFmtId="0" fontId="25" fillId="5" borderId="145" xfId="2" applyFont="1" applyFill="1" applyBorder="1" applyAlignment="1">
      <alignment horizontal="center" vertical="center"/>
    </xf>
    <xf numFmtId="0" fontId="23" fillId="0" borderId="141" xfId="2" applyFont="1" applyBorder="1" applyAlignment="1">
      <alignment horizontal="right" vertical="center" wrapText="1"/>
    </xf>
    <xf numFmtId="0" fontId="22" fillId="0" borderId="0" xfId="2" applyFont="1" applyAlignment="1">
      <alignment horizontal="center" vertical="center" wrapText="1"/>
    </xf>
    <xf numFmtId="49" fontId="23" fillId="4" borderId="138" xfId="2" applyNumberFormat="1" applyFont="1" applyFill="1" applyBorder="1" applyAlignment="1">
      <alignment horizontal="center" vertical="center" wrapText="1"/>
    </xf>
    <xf numFmtId="49" fontId="23" fillId="4" borderId="139" xfId="2" applyNumberFormat="1" applyFont="1" applyFill="1" applyBorder="1" applyAlignment="1">
      <alignment horizontal="center" vertical="center" wrapText="1"/>
    </xf>
    <xf numFmtId="49" fontId="23" fillId="4" borderId="140" xfId="2" applyNumberFormat="1" applyFont="1" applyFill="1" applyBorder="1" applyAlignment="1">
      <alignment horizontal="center" vertical="center" wrapText="1"/>
    </xf>
    <xf numFmtId="49" fontId="23" fillId="4" borderId="76" xfId="2" applyNumberFormat="1" applyFont="1" applyFill="1" applyBorder="1" applyAlignment="1">
      <alignment horizontal="center" vertical="center" wrapText="1"/>
    </xf>
    <xf numFmtId="49" fontId="23" fillId="4" borderId="141" xfId="2" applyNumberFormat="1" applyFont="1" applyFill="1" applyBorder="1" applyAlignment="1">
      <alignment horizontal="center" vertical="center" wrapText="1"/>
    </xf>
    <xf numFmtId="49" fontId="23" fillId="4" borderId="31" xfId="2" applyNumberFormat="1" applyFont="1" applyFill="1" applyBorder="1" applyAlignment="1">
      <alignment horizontal="center" vertical="center" wrapText="1"/>
    </xf>
    <xf numFmtId="0" fontId="29" fillId="11" borderId="0" xfId="4" applyFont="1" applyFill="1" applyAlignment="1">
      <alignment horizontal="right" vertical="top" wrapText="1"/>
    </xf>
    <xf numFmtId="0" fontId="14" fillId="11" borderId="0" xfId="4" applyFont="1" applyFill="1" applyAlignment="1">
      <alignment horizontal="right" vertical="center"/>
    </xf>
    <xf numFmtId="0" fontId="13" fillId="11" borderId="0" xfId="4" applyFont="1" applyFill="1" applyAlignment="1">
      <alignment horizontal="right" vertical="center"/>
    </xf>
    <xf numFmtId="0" fontId="19" fillId="0" borderId="0" xfId="4" applyFont="1" applyAlignment="1">
      <alignment horizontal="right" vertical="center"/>
    </xf>
    <xf numFmtId="0" fontId="21" fillId="0" borderId="0" xfId="2" applyFont="1" applyAlignment="1">
      <alignment horizontal="center" vertical="center" wrapText="1"/>
    </xf>
    <xf numFmtId="0" fontId="14" fillId="0" borderId="0" xfId="0" applyFont="1" applyAlignment="1">
      <alignment horizontal="right"/>
    </xf>
    <xf numFmtId="0" fontId="13" fillId="0" borderId="0" xfId="0" applyFont="1" applyAlignment="1">
      <alignment horizontal="right"/>
    </xf>
    <xf numFmtId="0" fontId="25" fillId="0" borderId="142" xfId="2" applyFont="1" applyBorder="1" applyAlignment="1">
      <alignment horizontal="center" vertical="center"/>
    </xf>
    <xf numFmtId="0" fontId="25" fillId="0" borderId="143" xfId="2" applyFont="1" applyBorder="1" applyAlignment="1">
      <alignment horizontal="center" vertical="center"/>
    </xf>
    <xf numFmtId="0" fontId="27" fillId="0" borderId="0" xfId="0" applyFont="1" applyAlignment="1">
      <alignment horizontal="left" vertical="top" wrapText="1"/>
    </xf>
    <xf numFmtId="0" fontId="27" fillId="11" borderId="0" xfId="0" applyFont="1" applyFill="1" applyAlignment="1">
      <alignment horizontal="left" vertical="top" wrapText="1"/>
    </xf>
    <xf numFmtId="49" fontId="23" fillId="0" borderId="138" xfId="2" applyNumberFormat="1" applyFont="1" applyFill="1" applyBorder="1" applyAlignment="1">
      <alignment horizontal="center" vertical="center" wrapText="1"/>
    </xf>
    <xf numFmtId="49" fontId="23" fillId="0" borderId="139" xfId="2" applyNumberFormat="1" applyFont="1" applyFill="1" applyBorder="1" applyAlignment="1">
      <alignment horizontal="center" vertical="center" wrapText="1"/>
    </xf>
    <xf numFmtId="49" fontId="24" fillId="0" borderId="29" xfId="2" applyNumberFormat="1" applyFont="1" applyBorder="1" applyAlignment="1">
      <alignment horizontal="center" vertical="center" wrapText="1"/>
    </xf>
    <xf numFmtId="0" fontId="14" fillId="0" borderId="29" xfId="0" applyFont="1" applyBorder="1" applyAlignment="1">
      <alignment horizontal="center"/>
    </xf>
    <xf numFmtId="49" fontId="24" fillId="2" borderId="29" xfId="2" applyNumberFormat="1" applyFont="1" applyFill="1" applyBorder="1" applyAlignment="1">
      <alignment horizontal="center" vertical="center" wrapText="1"/>
    </xf>
    <xf numFmtId="0" fontId="5" fillId="0" borderId="0" xfId="0" applyFont="1" applyAlignment="1">
      <alignment horizontal="center"/>
    </xf>
    <xf numFmtId="0" fontId="15" fillId="0" borderId="56" xfId="0" applyFont="1" applyBorder="1" applyAlignment="1">
      <alignment horizontal="center"/>
    </xf>
    <xf numFmtId="0" fontId="23" fillId="0" borderId="70" xfId="2" applyFont="1" applyBorder="1" applyAlignment="1">
      <alignment horizontal="left" vertical="center" wrapText="1"/>
    </xf>
    <xf numFmtId="0" fontId="23" fillId="0" borderId="33" xfId="2" applyFont="1" applyBorder="1" applyAlignment="1">
      <alignment horizontal="left" vertical="center" wrapText="1"/>
    </xf>
    <xf numFmtId="0" fontId="23" fillId="0" borderId="73" xfId="2" applyFont="1" applyBorder="1" applyAlignment="1">
      <alignment horizontal="left" vertical="center" wrapText="1"/>
    </xf>
    <xf numFmtId="0" fontId="13" fillId="0" borderId="0" xfId="0" applyFont="1" applyFill="1" applyAlignment="1">
      <alignment horizontal="right"/>
    </xf>
    <xf numFmtId="0" fontId="14" fillId="0" borderId="0" xfId="0" applyFont="1" applyFill="1" applyAlignment="1">
      <alignment horizontal="right"/>
    </xf>
    <xf numFmtId="0" fontId="23" fillId="11" borderId="138" xfId="2" applyFont="1" applyFill="1" applyBorder="1" applyAlignment="1">
      <alignment horizontal="right" vertical="center" wrapText="1"/>
    </xf>
    <xf numFmtId="0" fontId="23" fillId="11" borderId="139" xfId="2" applyFont="1" applyFill="1" applyBorder="1" applyAlignment="1">
      <alignment horizontal="right" vertical="center" wrapText="1"/>
    </xf>
    <xf numFmtId="0" fontId="23" fillId="11" borderId="140" xfId="2" applyFont="1" applyFill="1" applyBorder="1" applyAlignment="1">
      <alignment horizontal="right" vertical="center" wrapText="1"/>
    </xf>
    <xf numFmtId="0" fontId="23" fillId="11" borderId="76" xfId="2" applyFont="1" applyFill="1" applyBorder="1" applyAlignment="1">
      <alignment horizontal="right" vertical="center" wrapText="1"/>
    </xf>
    <xf numFmtId="0" fontId="25" fillId="11" borderId="142" xfId="2" applyFont="1" applyFill="1" applyBorder="1" applyAlignment="1">
      <alignment horizontal="center" vertical="center"/>
    </xf>
    <xf numFmtId="0" fontId="25" fillId="11" borderId="143" xfId="2" applyFont="1" applyFill="1" applyBorder="1" applyAlignment="1">
      <alignment horizontal="center" vertical="center"/>
    </xf>
    <xf numFmtId="49" fontId="24" fillId="4" borderId="29" xfId="2" applyNumberFormat="1" applyFont="1" applyFill="1" applyBorder="1" applyAlignment="1">
      <alignment horizontal="center" vertical="center" wrapText="1"/>
    </xf>
    <xf numFmtId="49" fontId="24" fillId="11" borderId="29" xfId="2" applyNumberFormat="1" applyFont="1" applyFill="1" applyBorder="1" applyAlignment="1">
      <alignment horizontal="center" vertical="center" wrapText="1"/>
    </xf>
    <xf numFmtId="0" fontId="23" fillId="0" borderId="148" xfId="2" applyFont="1" applyBorder="1" applyAlignment="1">
      <alignment horizontal="left" vertical="center" wrapText="1"/>
    </xf>
    <xf numFmtId="0" fontId="23" fillId="11" borderId="79" xfId="4" applyFont="1" applyFill="1" applyBorder="1" applyAlignment="1">
      <alignment horizontal="left" vertical="top" wrapText="1"/>
    </xf>
    <xf numFmtId="49" fontId="24" fillId="0" borderId="57" xfId="2" applyNumberFormat="1" applyFont="1" applyBorder="1" applyAlignment="1">
      <alignment horizontal="center" vertical="center" wrapText="1"/>
    </xf>
    <xf numFmtId="0" fontId="15" fillId="0" borderId="140" xfId="0" applyFont="1" applyFill="1" applyBorder="1" applyAlignment="1">
      <alignment horizontal="center"/>
    </xf>
    <xf numFmtId="0" fontId="15" fillId="0" borderId="31" xfId="0" applyFont="1" applyFill="1" applyBorder="1" applyAlignment="1">
      <alignment horizontal="center"/>
    </xf>
    <xf numFmtId="0" fontId="14" fillId="4" borderId="140" xfId="0" applyFont="1" applyFill="1" applyBorder="1" applyAlignment="1">
      <alignment horizontal="left" vertical="center" wrapText="1"/>
    </xf>
    <xf numFmtId="0" fontId="14" fillId="4" borderId="31" xfId="0" applyFont="1" applyFill="1" applyBorder="1" applyAlignment="1">
      <alignment horizontal="left" vertical="center" wrapText="1"/>
    </xf>
    <xf numFmtId="0" fontId="14" fillId="0" borderId="140" xfId="0" applyFont="1" applyFill="1" applyBorder="1" applyAlignment="1">
      <alignment horizontal="left" vertical="center" wrapText="1"/>
    </xf>
    <xf numFmtId="0" fontId="14" fillId="0" borderId="31" xfId="0" applyFont="1" applyFill="1" applyBorder="1" applyAlignment="1">
      <alignment horizontal="left" vertical="center" wrapText="1"/>
    </xf>
    <xf numFmtId="0" fontId="14" fillId="0" borderId="150" xfId="0" applyFont="1" applyFill="1" applyBorder="1" applyAlignment="1">
      <alignment horizontal="left" vertical="center" wrapText="1"/>
    </xf>
    <xf numFmtId="0" fontId="14" fillId="0" borderId="74" xfId="0" applyFont="1" applyFill="1" applyBorder="1" applyAlignment="1">
      <alignment horizontal="left" vertical="center" wrapText="1"/>
    </xf>
    <xf numFmtId="49" fontId="24" fillId="0" borderId="29" xfId="2" applyNumberFormat="1" applyFont="1" applyFill="1" applyBorder="1" applyAlignment="1">
      <alignment horizontal="center" vertical="center" wrapText="1"/>
    </xf>
    <xf numFmtId="49" fontId="24" fillId="0" borderId="57" xfId="2" applyNumberFormat="1" applyFont="1" applyFill="1" applyBorder="1" applyAlignment="1">
      <alignment horizontal="center" vertical="center" wrapText="1"/>
    </xf>
    <xf numFmtId="49" fontId="24" fillId="0" borderId="31" xfId="2" applyNumberFormat="1" applyFont="1" applyFill="1" applyBorder="1" applyAlignment="1">
      <alignment horizontal="center" vertical="center" wrapText="1"/>
    </xf>
    <xf numFmtId="49" fontId="24" fillId="0" borderId="28" xfId="2" applyNumberFormat="1" applyFont="1" applyFill="1" applyBorder="1" applyAlignment="1">
      <alignment horizontal="center" vertical="center" wrapText="1"/>
    </xf>
    <xf numFmtId="0" fontId="14" fillId="0" borderId="108" xfId="0" applyFont="1" applyFill="1" applyBorder="1" applyAlignment="1">
      <alignment horizontal="center"/>
    </xf>
    <xf numFmtId="0" fontId="14" fillId="0" borderId="151" xfId="0" applyFont="1" applyFill="1" applyBorder="1" applyAlignment="1">
      <alignment horizontal="center"/>
    </xf>
    <xf numFmtId="0" fontId="14" fillId="0" borderId="10" xfId="0" applyFont="1" applyFill="1" applyBorder="1" applyAlignment="1">
      <alignment horizontal="center"/>
    </xf>
    <xf numFmtId="0" fontId="14" fillId="0" borderId="152" xfId="0" applyFont="1" applyFill="1" applyBorder="1" applyAlignment="1">
      <alignment horizontal="center"/>
    </xf>
    <xf numFmtId="0" fontId="14" fillId="0" borderId="153" xfId="0" applyFont="1" applyFill="1" applyBorder="1" applyAlignment="1">
      <alignment horizontal="center"/>
    </xf>
    <xf numFmtId="0" fontId="14" fillId="0" borderId="154" xfId="0" applyFont="1" applyFill="1" applyBorder="1" applyAlignment="1">
      <alignment horizontal="center"/>
    </xf>
    <xf numFmtId="0" fontId="14" fillId="0" borderId="108" xfId="0" applyFont="1" applyBorder="1" applyAlignment="1">
      <alignment horizontal="center"/>
    </xf>
    <xf numFmtId="0" fontId="14" fillId="0" borderId="151" xfId="0" applyFont="1" applyBorder="1" applyAlignment="1">
      <alignment horizontal="center"/>
    </xf>
    <xf numFmtId="0" fontId="14" fillId="0" borderId="10" xfId="0" applyFont="1" applyBorder="1" applyAlignment="1">
      <alignment horizontal="center"/>
    </xf>
    <xf numFmtId="0" fontId="14" fillId="0" borderId="152" xfId="0" applyFont="1" applyBorder="1" applyAlignment="1">
      <alignment horizontal="center"/>
    </xf>
    <xf numFmtId="0" fontId="14" fillId="0" borderId="153" xfId="0" applyFont="1" applyBorder="1" applyAlignment="1">
      <alignment horizontal="center"/>
    </xf>
    <xf numFmtId="0" fontId="14" fillId="0" borderId="154" xfId="0" applyFont="1" applyBorder="1" applyAlignment="1">
      <alignment horizontal="center"/>
    </xf>
    <xf numFmtId="0" fontId="15" fillId="0" borderId="140" xfId="0" applyFont="1" applyBorder="1" applyAlignment="1">
      <alignment horizontal="center"/>
    </xf>
    <xf numFmtId="0" fontId="15" fillId="0" borderId="31" xfId="0" applyFont="1" applyBorder="1" applyAlignment="1">
      <alignment horizontal="center"/>
    </xf>
    <xf numFmtId="0" fontId="14" fillId="4" borderId="150" xfId="0" applyFont="1" applyFill="1" applyBorder="1" applyAlignment="1">
      <alignment horizontal="left" vertical="center" wrapText="1"/>
    </xf>
    <xf numFmtId="0" fontId="14" fillId="4" borderId="74" xfId="0" applyFont="1" applyFill="1" applyBorder="1" applyAlignment="1">
      <alignment horizontal="left" vertical="center" wrapText="1"/>
    </xf>
    <xf numFmtId="0" fontId="13" fillId="4" borderId="150" xfId="0" applyFont="1" applyFill="1" applyBorder="1" applyAlignment="1">
      <alignment horizontal="left" vertical="center" wrapText="1"/>
    </xf>
    <xf numFmtId="0" fontId="13" fillId="4" borderId="74" xfId="0" applyFont="1" applyFill="1" applyBorder="1" applyAlignment="1">
      <alignment horizontal="left" vertical="center" wrapText="1"/>
    </xf>
    <xf numFmtId="0" fontId="18" fillId="11" borderId="0" xfId="0" applyFont="1" applyFill="1" applyAlignment="1">
      <alignment horizontal="left" vertical="top" wrapText="1"/>
    </xf>
    <xf numFmtId="49" fontId="24" fillId="2" borderId="31" xfId="2" applyNumberFormat="1" applyFont="1" applyFill="1" applyBorder="1" applyAlignment="1">
      <alignment horizontal="center" vertical="center" wrapText="1"/>
    </xf>
    <xf numFmtId="49" fontId="24" fillId="2" borderId="28" xfId="2" applyNumberFormat="1" applyFont="1" applyFill="1" applyBorder="1" applyAlignment="1">
      <alignment horizontal="center" vertical="center" wrapText="1"/>
    </xf>
    <xf numFmtId="49" fontId="24" fillId="11" borderId="174" xfId="2" applyNumberFormat="1" applyFont="1" applyFill="1" applyBorder="1" applyAlignment="1">
      <alignment horizontal="center" vertical="center" wrapText="1"/>
    </xf>
    <xf numFmtId="0" fontId="14" fillId="0" borderId="0" xfId="0" applyFont="1" applyAlignment="1">
      <alignment horizontal="center" wrapText="1"/>
    </xf>
    <xf numFmtId="49" fontId="24" fillId="11" borderId="31" xfId="2" applyNumberFormat="1" applyFont="1" applyFill="1" applyBorder="1" applyAlignment="1">
      <alignment horizontal="center" vertical="center" wrapText="1"/>
    </xf>
    <xf numFmtId="0" fontId="14" fillId="11" borderId="108" xfId="0" applyFont="1" applyFill="1" applyBorder="1" applyAlignment="1">
      <alignment horizontal="center"/>
    </xf>
    <xf numFmtId="0" fontId="14" fillId="11" borderId="151" xfId="0" applyFont="1" applyFill="1" applyBorder="1" applyAlignment="1">
      <alignment horizontal="center"/>
    </xf>
    <xf numFmtId="0" fontId="14" fillId="11" borderId="10" xfId="0" applyFont="1" applyFill="1" applyBorder="1" applyAlignment="1">
      <alignment horizontal="center"/>
    </xf>
    <xf numFmtId="0" fontId="14" fillId="11" borderId="152" xfId="0" applyFont="1" applyFill="1" applyBorder="1" applyAlignment="1">
      <alignment horizontal="center"/>
    </xf>
    <xf numFmtId="0" fontId="14" fillId="11" borderId="153" xfId="0" applyFont="1" applyFill="1" applyBorder="1" applyAlignment="1">
      <alignment horizontal="center"/>
    </xf>
    <xf numFmtId="0" fontId="14" fillId="11" borderId="154" xfId="0" applyFont="1" applyFill="1" applyBorder="1" applyAlignment="1">
      <alignment horizontal="center"/>
    </xf>
    <xf numFmtId="49" fontId="24" fillId="11" borderId="57" xfId="2" applyNumberFormat="1" applyFont="1" applyFill="1" applyBorder="1" applyAlignment="1">
      <alignment horizontal="center" vertical="center" wrapText="1"/>
    </xf>
    <xf numFmtId="0" fontId="15" fillId="11" borderId="140" xfId="0" applyFont="1" applyFill="1" applyBorder="1" applyAlignment="1">
      <alignment horizontal="center"/>
    </xf>
    <xf numFmtId="0" fontId="15" fillId="11" borderId="31" xfId="0" applyFont="1" applyFill="1" applyBorder="1" applyAlignment="1">
      <alignment horizontal="center"/>
    </xf>
    <xf numFmtId="0" fontId="14" fillId="11" borderId="140" xfId="0" applyFont="1" applyFill="1" applyBorder="1" applyAlignment="1">
      <alignment horizontal="left" vertical="center" wrapText="1"/>
    </xf>
    <xf numFmtId="0" fontId="14" fillId="11" borderId="31" xfId="0" applyFont="1" applyFill="1" applyBorder="1" applyAlignment="1">
      <alignment horizontal="left" vertical="center" wrapText="1"/>
    </xf>
    <xf numFmtId="0" fontId="14" fillId="11" borderId="144" xfId="0" applyFont="1" applyFill="1" applyBorder="1" applyAlignment="1">
      <alignment horizontal="left" vertical="center" wrapText="1"/>
    </xf>
    <xf numFmtId="0" fontId="14" fillId="11" borderId="156" xfId="0" applyFont="1" applyFill="1" applyBorder="1" applyAlignment="1">
      <alignment horizontal="left" vertical="center" wrapText="1"/>
    </xf>
    <xf numFmtId="0" fontId="14" fillId="11" borderId="79" xfId="0" applyFont="1" applyFill="1" applyBorder="1" applyAlignment="1">
      <alignment horizontal="left" vertical="top" wrapText="1"/>
    </xf>
    <xf numFmtId="0" fontId="25" fillId="5" borderId="29" xfId="2" applyFont="1" applyFill="1" applyBorder="1" applyAlignment="1">
      <alignment horizontal="center" vertical="center"/>
    </xf>
    <xf numFmtId="0" fontId="23" fillId="0" borderId="29" xfId="2" applyFont="1" applyBorder="1" applyAlignment="1">
      <alignment horizontal="right" vertical="center" wrapText="1"/>
    </xf>
    <xf numFmtId="0" fontId="13" fillId="0" borderId="78" xfId="0" applyFont="1" applyBorder="1" applyAlignment="1">
      <alignment horizontal="right"/>
    </xf>
    <xf numFmtId="0" fontId="23" fillId="8" borderId="29" xfId="3" applyFont="1" applyFill="1" applyBorder="1" applyAlignment="1">
      <alignment horizontal="left" vertical="center" wrapText="1"/>
    </xf>
    <xf numFmtId="0" fontId="32" fillId="0" borderId="0" xfId="0" applyFont="1" applyBorder="1" applyAlignment="1">
      <alignment horizontal="left" vertical="center" wrapText="1"/>
    </xf>
    <xf numFmtId="49" fontId="24" fillId="4" borderId="57" xfId="2" applyNumberFormat="1" applyFont="1" applyFill="1" applyBorder="1" applyAlignment="1">
      <alignment horizontal="center" vertical="center" wrapText="1"/>
    </xf>
    <xf numFmtId="49" fontId="24" fillId="0" borderId="174" xfId="2" applyNumberFormat="1" applyFont="1" applyFill="1" applyBorder="1" applyAlignment="1">
      <alignment horizontal="center" vertical="center" wrapText="1"/>
    </xf>
    <xf numFmtId="49" fontId="24" fillId="0" borderId="167" xfId="2" applyNumberFormat="1" applyFont="1" applyFill="1" applyBorder="1" applyAlignment="1">
      <alignment horizontal="center" vertical="center" wrapText="1"/>
    </xf>
    <xf numFmtId="49" fontId="24" fillId="0" borderId="164" xfId="2" applyNumberFormat="1" applyFont="1" applyFill="1" applyBorder="1" applyAlignment="1">
      <alignment horizontal="center" vertical="center" wrapText="1"/>
    </xf>
    <xf numFmtId="49" fontId="24" fillId="4" borderId="174" xfId="2" applyNumberFormat="1" applyFont="1" applyFill="1" applyBorder="1" applyAlignment="1">
      <alignment horizontal="center" vertical="center" wrapText="1"/>
    </xf>
    <xf numFmtId="49" fontId="24" fillId="4" borderId="167" xfId="2" applyNumberFormat="1" applyFont="1" applyFill="1" applyBorder="1" applyAlignment="1">
      <alignment horizontal="center" vertical="center" wrapText="1"/>
    </xf>
    <xf numFmtId="49" fontId="24" fillId="4" borderId="164" xfId="2" applyNumberFormat="1" applyFont="1" applyFill="1" applyBorder="1" applyAlignment="1">
      <alignment horizontal="center" vertical="center" wrapText="1"/>
    </xf>
    <xf numFmtId="0" fontId="13" fillId="11" borderId="155" xfId="0" applyFont="1" applyFill="1" applyBorder="1" applyAlignment="1">
      <alignment horizontal="left" vertical="center" wrapText="1"/>
    </xf>
    <xf numFmtId="0" fontId="13" fillId="11" borderId="51" xfId="0" applyFont="1" applyFill="1" applyBorder="1" applyAlignment="1">
      <alignment horizontal="left" vertical="center" wrapText="1"/>
    </xf>
    <xf numFmtId="0" fontId="57" fillId="0" borderId="0" xfId="0" applyFont="1" applyBorder="1" applyAlignment="1">
      <alignment horizontal="right"/>
    </xf>
    <xf numFmtId="0" fontId="59" fillId="0" borderId="0" xfId="0" applyFont="1" applyBorder="1" applyAlignment="1">
      <alignment horizontal="right"/>
    </xf>
    <xf numFmtId="0" fontId="14" fillId="5" borderId="29" xfId="0" applyFont="1" applyFill="1" applyBorder="1" applyAlignment="1">
      <alignment horizontal="right" vertical="center" wrapText="1"/>
    </xf>
    <xf numFmtId="0" fontId="23" fillId="0" borderId="0" xfId="0" applyFont="1" applyAlignment="1">
      <alignment horizontal="left" vertical="center" wrapText="1"/>
    </xf>
    <xf numFmtId="0" fontId="27" fillId="0" borderId="0" xfId="0" applyFont="1" applyAlignment="1">
      <alignment horizontal="left" vertical="center" wrapText="1"/>
    </xf>
    <xf numFmtId="49" fontId="24" fillId="11" borderId="28" xfId="2" applyNumberFormat="1" applyFont="1" applyFill="1" applyBorder="1" applyAlignment="1">
      <alignment horizontal="center" vertical="center" wrapText="1"/>
    </xf>
    <xf numFmtId="0" fontId="14" fillId="11" borderId="0" xfId="0" applyFont="1" applyFill="1" applyAlignment="1">
      <alignment horizontal="left" vertical="top" wrapText="1"/>
    </xf>
    <xf numFmtId="0" fontId="31" fillId="0" borderId="0" xfId="0" applyFont="1" applyBorder="1" applyAlignment="1">
      <alignment horizontal="center" vertical="center"/>
    </xf>
    <xf numFmtId="0" fontId="58" fillId="0" borderId="0" xfId="0" applyFont="1" applyAlignment="1">
      <alignment horizontal="left"/>
    </xf>
    <xf numFmtId="0" fontId="14" fillId="14" borderId="29" xfId="0" applyFont="1" applyFill="1" applyBorder="1" applyAlignment="1">
      <alignment horizontal="center" vertical="center"/>
    </xf>
    <xf numFmtId="0" fontId="13" fillId="0" borderId="29" xfId="0" applyFont="1" applyBorder="1" applyAlignment="1">
      <alignment horizontal="right" vertical="center"/>
    </xf>
    <xf numFmtId="0" fontId="57" fillId="0" borderId="56" xfId="0" applyFont="1" applyBorder="1" applyAlignment="1">
      <alignment horizontal="center"/>
    </xf>
    <xf numFmtId="0" fontId="57" fillId="0" borderId="149" xfId="0" applyFont="1" applyBorder="1" applyAlignment="1">
      <alignment horizontal="center"/>
    </xf>
    <xf numFmtId="0" fontId="57" fillId="0" borderId="29" xfId="0" applyFont="1" applyBorder="1" applyAlignment="1">
      <alignment horizontal="center" wrapText="1"/>
    </xf>
    <xf numFmtId="0" fontId="15" fillId="0" borderId="177" xfId="0" applyFont="1" applyFill="1" applyBorder="1" applyAlignment="1">
      <alignment horizontal="center"/>
    </xf>
    <xf numFmtId="0" fontId="15" fillId="0" borderId="167" xfId="0" applyFont="1" applyFill="1" applyBorder="1" applyAlignment="1">
      <alignment horizontal="center"/>
    </xf>
    <xf numFmtId="0" fontId="14" fillId="4" borderId="177" xfId="0" applyFont="1" applyFill="1" applyBorder="1" applyAlignment="1">
      <alignment horizontal="left" vertical="center" wrapText="1"/>
    </xf>
    <xf numFmtId="0" fontId="14" fillId="4" borderId="167" xfId="0" applyFont="1" applyFill="1" applyBorder="1" applyAlignment="1">
      <alignment horizontal="left" vertical="center" wrapText="1"/>
    </xf>
    <xf numFmtId="0" fontId="14" fillId="0" borderId="177" xfId="0" applyFont="1" applyFill="1" applyBorder="1" applyAlignment="1">
      <alignment horizontal="left" vertical="center" wrapText="1"/>
    </xf>
    <xf numFmtId="0" fontId="14" fillId="0" borderId="167" xfId="0" applyFont="1" applyFill="1" applyBorder="1" applyAlignment="1">
      <alignment horizontal="left" vertical="center" wrapText="1"/>
    </xf>
    <xf numFmtId="0" fontId="14" fillId="0" borderId="178" xfId="0" applyFont="1" applyFill="1" applyBorder="1" applyAlignment="1">
      <alignment horizontal="left" vertical="center" wrapText="1"/>
    </xf>
    <xf numFmtId="0" fontId="14" fillId="0" borderId="179" xfId="0" applyFont="1" applyFill="1" applyBorder="1" applyAlignment="1">
      <alignment horizontal="left" vertical="center" wrapText="1"/>
    </xf>
    <xf numFmtId="0" fontId="13" fillId="4" borderId="109" xfId="0" applyFont="1" applyFill="1" applyBorder="1" applyAlignment="1">
      <alignment horizontal="left" vertical="center" wrapText="1"/>
    </xf>
    <xf numFmtId="0" fontId="13" fillId="4" borderId="62" xfId="0" applyFont="1" applyFill="1" applyBorder="1" applyAlignment="1">
      <alignment horizontal="left" vertical="center" wrapText="1"/>
    </xf>
    <xf numFmtId="49" fontId="23" fillId="4" borderId="147" xfId="2" applyNumberFormat="1" applyFont="1" applyFill="1" applyBorder="1" applyAlignment="1">
      <alignment horizontal="center" vertical="center" wrapText="1"/>
    </xf>
    <xf numFmtId="0" fontId="23" fillId="11" borderId="0" xfId="0" applyFont="1" applyFill="1" applyAlignment="1">
      <alignment horizontal="left" vertical="top" wrapText="1"/>
    </xf>
    <xf numFmtId="49" fontId="24" fillId="4" borderId="28" xfId="2" applyNumberFormat="1" applyFont="1" applyFill="1" applyBorder="1" applyAlignment="1">
      <alignment horizontal="center" vertical="center" wrapText="1"/>
    </xf>
    <xf numFmtId="49" fontId="24" fillId="4" borderId="31" xfId="2" applyNumberFormat="1" applyFont="1" applyFill="1" applyBorder="1" applyAlignment="1">
      <alignment horizontal="center" vertical="center" wrapText="1"/>
    </xf>
    <xf numFmtId="0" fontId="23" fillId="4" borderId="78" xfId="0" applyFont="1" applyFill="1" applyBorder="1" applyAlignment="1">
      <alignment horizontal="left" vertical="top"/>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14" fillId="11" borderId="29" xfId="0" applyFont="1" applyFill="1" applyBorder="1" applyAlignment="1">
      <alignment horizontal="center"/>
    </xf>
    <xf numFmtId="49" fontId="24" fillId="17" borderId="29" xfId="2" applyNumberFormat="1" applyFont="1" applyFill="1" applyBorder="1" applyAlignment="1">
      <alignment horizontal="center" vertical="center" wrapText="1"/>
    </xf>
    <xf numFmtId="0" fontId="23" fillId="11" borderId="0" xfId="0" applyFont="1" applyFill="1" applyBorder="1" applyAlignment="1">
      <alignment horizontal="left" vertical="top" wrapText="1"/>
    </xf>
    <xf numFmtId="0" fontId="23" fillId="11" borderId="0" xfId="0" applyFont="1" applyFill="1" applyBorder="1" applyAlignment="1">
      <alignment horizontal="left" vertical="top"/>
    </xf>
    <xf numFmtId="0" fontId="27" fillId="11" borderId="0" xfId="0" applyFont="1" applyFill="1" applyAlignment="1">
      <alignment horizontal="left" wrapText="1"/>
    </xf>
  </cellXfs>
  <cellStyles count="5">
    <cellStyle name="Excel Built-in Normal" xfId="3" xr:uid="{00000000-0005-0000-0000-000007000000}"/>
    <cellStyle name="Excel Built-in Normal 1" xfId="2" xr:uid="{00000000-0005-0000-0000-000006000000}"/>
    <cellStyle name="Excel Built-in Normal 2" xfId="4" xr:uid="{00000000-0005-0000-0000-000008000000}"/>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AD\FVD\Ukraina_\Ukraina_2026\LM_Atbalsta_plans_Ukraina_2026_DARBAM_ar_neizsl&#275;gtaji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etekme_LM_2026_Sandra"/>
      <sheetName val="1.tab.Laila"/>
      <sheetName val="2.tab.Māra"/>
      <sheetName val="3.tab.Ieva"/>
      <sheetName val="4.tab.Ilze_Ieva_Laila"/>
      <sheetName val="5.tab.Laila_Ieva"/>
      <sheetName val="6.tab. Ilze"/>
      <sheetName val="7.tab.Laila"/>
      <sheetName val="8.tab.Laila"/>
      <sheetName val="9.tab. Ilze"/>
    </sheetNames>
    <sheetDataSet>
      <sheetData sheetId="0">
        <row r="15">
          <cell r="B15" t="str">
            <v>3.3. Virsstundu darba vai papildu darba apmaksa bāriņtiesu un pašvaldības sociālo dienestu darbiniekiem</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8"/>
  <sheetViews>
    <sheetView tabSelected="1" zoomScale="70" zoomScaleNormal="70" workbookViewId="0">
      <selection activeCell="J33" sqref="J33"/>
    </sheetView>
  </sheetViews>
  <sheetFormatPr defaultColWidth="8.81640625" defaultRowHeight="15.5" x14ac:dyDescent="0.35"/>
  <cols>
    <col min="1" max="1" width="8.1796875" style="730" customWidth="1"/>
    <col min="2" max="2" width="10" style="32" customWidth="1"/>
    <col min="3" max="3" width="32.1796875" style="32" customWidth="1"/>
    <col min="4" max="4" width="39.54296875" style="32" customWidth="1"/>
    <col min="5" max="5" width="14.453125" style="911" customWidth="1"/>
    <col min="6" max="6" width="13.1796875" style="32" customWidth="1"/>
    <col min="7" max="9" width="8.81640625" style="1"/>
    <col min="10" max="10" width="23" style="1" customWidth="1"/>
    <col min="11" max="16384" width="8.81640625" style="1"/>
  </cols>
  <sheetData>
    <row r="1" spans="1:8" s="365" customFormat="1" ht="13" x14ac:dyDescent="0.3">
      <c r="A1" s="956" t="s">
        <v>123</v>
      </c>
      <c r="B1" s="956"/>
      <c r="C1" s="956"/>
      <c r="D1" s="956"/>
      <c r="E1" s="956"/>
      <c r="F1" s="956"/>
    </row>
    <row r="2" spans="1:8" s="365" customFormat="1" ht="31.4" customHeight="1" thickBot="1" x14ac:dyDescent="0.35">
      <c r="A2" s="956" t="s">
        <v>241</v>
      </c>
      <c r="B2" s="956"/>
      <c r="C2" s="956"/>
      <c r="D2" s="956"/>
      <c r="E2" s="956"/>
      <c r="F2" s="956"/>
      <c r="G2" s="967"/>
      <c r="H2" s="967"/>
    </row>
    <row r="3" spans="1:8" ht="15.65" customHeight="1" x14ac:dyDescent="0.35">
      <c r="A3" s="724"/>
      <c r="B3" s="968" t="s">
        <v>2</v>
      </c>
      <c r="C3" s="968"/>
      <c r="D3" s="968"/>
      <c r="E3" s="968"/>
      <c r="F3" s="969"/>
      <c r="G3" s="967"/>
      <c r="H3" s="967"/>
    </row>
    <row r="4" spans="1:8" ht="15" x14ac:dyDescent="0.35">
      <c r="A4" s="725"/>
      <c r="B4" s="970" t="s">
        <v>118</v>
      </c>
      <c r="C4" s="970"/>
      <c r="D4" s="970"/>
      <c r="E4" s="970"/>
      <c r="F4" s="971"/>
      <c r="G4" s="967"/>
      <c r="H4" s="967"/>
    </row>
    <row r="5" spans="1:8" ht="14.5" customHeight="1" x14ac:dyDescent="0.35">
      <c r="A5" s="725"/>
      <c r="B5" s="972" t="s">
        <v>37</v>
      </c>
      <c r="C5" s="974" t="s">
        <v>100</v>
      </c>
      <c r="D5" s="974" t="s">
        <v>101</v>
      </c>
      <c r="E5" s="976" t="s">
        <v>240</v>
      </c>
      <c r="F5" s="978" t="s">
        <v>102</v>
      </c>
      <c r="G5" s="967"/>
      <c r="H5" s="967"/>
    </row>
    <row r="6" spans="1:8" ht="14.5" customHeight="1" x14ac:dyDescent="0.35">
      <c r="A6" s="725"/>
      <c r="B6" s="973"/>
      <c r="C6" s="975"/>
      <c r="D6" s="975"/>
      <c r="E6" s="977"/>
      <c r="F6" s="979"/>
      <c r="G6" s="967"/>
      <c r="H6" s="967"/>
    </row>
    <row r="7" spans="1:8" ht="15.65" customHeight="1" x14ac:dyDescent="0.35">
      <c r="A7" s="725"/>
      <c r="B7" s="549"/>
      <c r="C7" s="957" t="s">
        <v>117</v>
      </c>
      <c r="D7" s="958"/>
      <c r="E7" s="715">
        <f>SUM(E8:E13)</f>
        <v>23264841</v>
      </c>
      <c r="F7" s="936" t="s">
        <v>363</v>
      </c>
      <c r="G7" s="967"/>
      <c r="H7" s="967"/>
    </row>
    <row r="8" spans="1:8" ht="16.399999999999999" customHeight="1" x14ac:dyDescent="0.35">
      <c r="A8" s="725"/>
      <c r="B8" s="538" t="s">
        <v>103</v>
      </c>
      <c r="C8" s="539" t="s">
        <v>104</v>
      </c>
      <c r="D8" s="538"/>
      <c r="E8" s="716">
        <f>E32+E46+E59+E70+E116+E127+E138+E150+E162+E173+E185+E196+E208+E220+E232+E20</f>
        <v>6336</v>
      </c>
      <c r="F8" s="937"/>
      <c r="G8" s="967"/>
      <c r="H8" s="967"/>
    </row>
    <row r="9" spans="1:8" x14ac:dyDescent="0.35">
      <c r="A9" s="725"/>
      <c r="B9" s="538" t="s">
        <v>105</v>
      </c>
      <c r="C9" s="539" t="s">
        <v>106</v>
      </c>
      <c r="D9" s="538"/>
      <c r="E9" s="716">
        <f>E33+E47+E60+E71+E117+E128+E139+E151+E163+E174+E186+E197+E209+E221+E233+E21</f>
        <v>2112</v>
      </c>
      <c r="F9" s="937"/>
      <c r="G9" s="967"/>
      <c r="H9" s="967"/>
    </row>
    <row r="10" spans="1:8" x14ac:dyDescent="0.35">
      <c r="A10" s="725"/>
      <c r="B10" s="538" t="s">
        <v>107</v>
      </c>
      <c r="C10" s="539" t="s">
        <v>108</v>
      </c>
      <c r="D10" s="538"/>
      <c r="E10" s="716">
        <f t="shared" ref="E10:E13" si="0">E34+E48+E61+E72+E118+E129+E140+E152+E164+E175+E187+E198+E210+E222+E234+E22</f>
        <v>313279</v>
      </c>
      <c r="F10" s="937"/>
      <c r="G10" s="967"/>
      <c r="H10" s="967"/>
    </row>
    <row r="11" spans="1:8" x14ac:dyDescent="0.35">
      <c r="A11" s="725"/>
      <c r="B11" s="538" t="s">
        <v>109</v>
      </c>
      <c r="C11" s="539" t="s">
        <v>110</v>
      </c>
      <c r="D11" s="538"/>
      <c r="E11" s="716">
        <f t="shared" si="0"/>
        <v>0</v>
      </c>
      <c r="F11" s="937"/>
      <c r="G11" s="967"/>
      <c r="H11" s="967"/>
    </row>
    <row r="12" spans="1:8" x14ac:dyDescent="0.35">
      <c r="A12" s="725"/>
      <c r="B12" s="538" t="s">
        <v>94</v>
      </c>
      <c r="C12" s="539" t="s">
        <v>111</v>
      </c>
      <c r="D12" s="538"/>
      <c r="E12" s="716">
        <f t="shared" si="0"/>
        <v>8071679</v>
      </c>
      <c r="F12" s="937"/>
    </row>
    <row r="13" spans="1:8" x14ac:dyDescent="0.35">
      <c r="A13" s="725"/>
      <c r="B13" s="538" t="s">
        <v>112</v>
      </c>
      <c r="C13" s="539" t="s">
        <v>113</v>
      </c>
      <c r="D13" s="538"/>
      <c r="E13" s="716">
        <f t="shared" si="0"/>
        <v>14871435</v>
      </c>
      <c r="F13" s="938"/>
    </row>
    <row r="14" spans="1:8" s="366" customFormat="1" ht="52.4" customHeight="1" thickBot="1" x14ac:dyDescent="0.4">
      <c r="A14" s="726"/>
      <c r="B14" s="934" t="s">
        <v>141</v>
      </c>
      <c r="C14" s="934"/>
      <c r="D14" s="934"/>
      <c r="E14" s="934"/>
      <c r="F14" s="935"/>
    </row>
    <row r="15" spans="1:8" s="366" customFormat="1" ht="18" customHeight="1" x14ac:dyDescent="0.35">
      <c r="A15" s="724" t="s">
        <v>348</v>
      </c>
      <c r="B15" s="922" t="s">
        <v>349</v>
      </c>
      <c r="C15" s="923"/>
      <c r="D15" s="923"/>
      <c r="E15" s="923"/>
      <c r="F15" s="924"/>
    </row>
    <row r="16" spans="1:8" s="366" customFormat="1" ht="18" customHeight="1" x14ac:dyDescent="0.35">
      <c r="A16" s="725" t="s">
        <v>348</v>
      </c>
      <c r="B16" s="939" t="s">
        <v>387</v>
      </c>
      <c r="C16" s="939"/>
      <c r="D16" s="939"/>
      <c r="E16" s="939"/>
      <c r="F16" s="926"/>
    </row>
    <row r="17" spans="1:6" s="366" customFormat="1" ht="18" hidden="1" customHeight="1" x14ac:dyDescent="0.35">
      <c r="A17" s="725" t="s">
        <v>348</v>
      </c>
      <c r="B17" s="940"/>
      <c r="C17" s="940"/>
      <c r="D17" s="940"/>
      <c r="E17" s="940"/>
      <c r="F17" s="928"/>
    </row>
    <row r="18" spans="1:6" s="366" customFormat="1" ht="18" customHeight="1" x14ac:dyDescent="0.35">
      <c r="A18" s="725" t="s">
        <v>348</v>
      </c>
      <c r="B18" s="939" t="s">
        <v>0</v>
      </c>
      <c r="C18" s="939"/>
      <c r="D18" s="939"/>
      <c r="E18" s="939"/>
      <c r="F18" s="926"/>
    </row>
    <row r="19" spans="1:6" s="366" customFormat="1" ht="18" customHeight="1" x14ac:dyDescent="0.35">
      <c r="A19" s="725" t="s">
        <v>348</v>
      </c>
      <c r="B19" s="428"/>
      <c r="C19" s="428"/>
      <c r="D19" s="429" t="s">
        <v>188</v>
      </c>
      <c r="E19" s="430">
        <f>SUM(E20:E25)</f>
        <v>79007</v>
      </c>
      <c r="F19" s="931" t="s">
        <v>350</v>
      </c>
    </row>
    <row r="20" spans="1:6" s="366" customFormat="1" ht="18" customHeight="1" x14ac:dyDescent="0.35">
      <c r="A20" s="725" t="s">
        <v>348</v>
      </c>
      <c r="B20" s="832" t="s">
        <v>103</v>
      </c>
      <c r="C20" s="833" t="s">
        <v>104</v>
      </c>
      <c r="D20" s="834"/>
      <c r="E20" s="835"/>
      <c r="F20" s="932"/>
    </row>
    <row r="21" spans="1:6" s="366" customFormat="1" ht="18" customHeight="1" x14ac:dyDescent="0.35">
      <c r="A21" s="725" t="s">
        <v>348</v>
      </c>
      <c r="B21" s="832" t="s">
        <v>105</v>
      </c>
      <c r="C21" s="833" t="s">
        <v>106</v>
      </c>
      <c r="D21" s="834"/>
      <c r="E21" s="835"/>
      <c r="F21" s="932"/>
    </row>
    <row r="22" spans="1:6" s="366" customFormat="1" ht="18" customHeight="1" x14ac:dyDescent="0.35">
      <c r="A22" s="725" t="s">
        <v>348</v>
      </c>
      <c r="B22" s="832" t="s">
        <v>107</v>
      </c>
      <c r="C22" s="833" t="s">
        <v>108</v>
      </c>
      <c r="D22" s="834"/>
      <c r="E22" s="835"/>
      <c r="F22" s="932"/>
    </row>
    <row r="23" spans="1:6" s="366" customFormat="1" ht="18" customHeight="1" x14ac:dyDescent="0.35">
      <c r="A23" s="725" t="s">
        <v>348</v>
      </c>
      <c r="B23" s="832" t="s">
        <v>109</v>
      </c>
      <c r="C23" s="833" t="s">
        <v>110</v>
      </c>
      <c r="D23" s="834"/>
      <c r="E23" s="835"/>
      <c r="F23" s="932"/>
    </row>
    <row r="24" spans="1:6" s="366" customFormat="1" ht="18" customHeight="1" x14ac:dyDescent="0.35">
      <c r="A24" s="725" t="s">
        <v>348</v>
      </c>
      <c r="B24" s="832" t="s">
        <v>94</v>
      </c>
      <c r="C24" s="833" t="s">
        <v>111</v>
      </c>
      <c r="D24" s="834"/>
      <c r="E24" s="835"/>
      <c r="F24" s="932"/>
    </row>
    <row r="25" spans="1:6" s="366" customFormat="1" ht="18" customHeight="1" x14ac:dyDescent="0.35">
      <c r="A25" s="725" t="s">
        <v>348</v>
      </c>
      <c r="B25" s="431" t="s">
        <v>112</v>
      </c>
      <c r="C25" s="432" t="s">
        <v>113</v>
      </c>
      <c r="D25" s="433" t="s">
        <v>124</v>
      </c>
      <c r="E25" s="418">
        <f>'1.tab.'!Y27</f>
        <v>79007</v>
      </c>
      <c r="F25" s="933"/>
    </row>
    <row r="26" spans="1:6" s="366" customFormat="1" ht="36" customHeight="1" thickBot="1" x14ac:dyDescent="0.4">
      <c r="A26" s="863" t="s">
        <v>348</v>
      </c>
      <c r="B26" s="934" t="s">
        <v>361</v>
      </c>
      <c r="C26" s="934"/>
      <c r="D26" s="934"/>
      <c r="E26" s="934"/>
      <c r="F26" s="935"/>
    </row>
    <row r="27" spans="1:6" ht="27" customHeight="1" x14ac:dyDescent="0.35">
      <c r="A27" s="724" t="s">
        <v>181</v>
      </c>
      <c r="B27" s="951" t="s">
        <v>317</v>
      </c>
      <c r="C27" s="952"/>
      <c r="D27" s="952"/>
      <c r="E27" s="952"/>
      <c r="F27" s="953"/>
    </row>
    <row r="28" spans="1:6" s="367" customFormat="1" ht="18.649999999999999" customHeight="1" x14ac:dyDescent="0.35">
      <c r="A28" s="725" t="s">
        <v>181</v>
      </c>
      <c r="B28" s="925" t="s">
        <v>2</v>
      </c>
      <c r="C28" s="925"/>
      <c r="D28" s="925"/>
      <c r="E28" s="925"/>
      <c r="F28" s="926"/>
    </row>
    <row r="29" spans="1:6" s="367" customFormat="1" ht="18.649999999999999" customHeight="1" x14ac:dyDescent="0.35">
      <c r="A29" s="725" t="s">
        <v>181</v>
      </c>
      <c r="B29" s="925" t="s">
        <v>1</v>
      </c>
      <c r="C29" s="925"/>
      <c r="D29" s="925"/>
      <c r="E29" s="925"/>
      <c r="F29" s="926"/>
    </row>
    <row r="30" spans="1:6" s="367" customFormat="1" ht="44.5" customHeight="1" x14ac:dyDescent="0.35">
      <c r="A30" s="725" t="s">
        <v>181</v>
      </c>
      <c r="B30" s="927" t="s">
        <v>119</v>
      </c>
      <c r="C30" s="927"/>
      <c r="D30" s="927"/>
      <c r="E30" s="927"/>
      <c r="F30" s="928"/>
    </row>
    <row r="31" spans="1:6" ht="15" x14ac:dyDescent="0.35">
      <c r="A31" s="725" t="s">
        <v>181</v>
      </c>
      <c r="B31" s="428"/>
      <c r="C31" s="428"/>
      <c r="D31" s="429" t="s">
        <v>188</v>
      </c>
      <c r="E31" s="430">
        <f>SUM(E32:E37)</f>
        <v>0</v>
      </c>
      <c r="F31" s="931" t="s">
        <v>98</v>
      </c>
    </row>
    <row r="32" spans="1:6" x14ac:dyDescent="0.35">
      <c r="A32" s="725" t="s">
        <v>181</v>
      </c>
      <c r="B32" s="431" t="s">
        <v>103</v>
      </c>
      <c r="C32" s="432" t="s">
        <v>104</v>
      </c>
      <c r="D32" s="433"/>
      <c r="E32" s="418"/>
      <c r="F32" s="932"/>
    </row>
    <row r="33" spans="1:6" ht="292.5" customHeight="1" x14ac:dyDescent="0.35">
      <c r="A33" s="725" t="s">
        <v>181</v>
      </c>
      <c r="B33" s="431" t="s">
        <v>105</v>
      </c>
      <c r="C33" s="432" t="s">
        <v>120</v>
      </c>
      <c r="D33" s="723" t="s">
        <v>315</v>
      </c>
      <c r="E33" s="418">
        <v>0</v>
      </c>
      <c r="F33" s="932"/>
    </row>
    <row r="34" spans="1:6" x14ac:dyDescent="0.35">
      <c r="A34" s="725" t="s">
        <v>181</v>
      </c>
      <c r="B34" s="431" t="s">
        <v>107</v>
      </c>
      <c r="C34" s="432" t="s">
        <v>108</v>
      </c>
      <c r="D34" s="433"/>
      <c r="E34" s="418"/>
      <c r="F34" s="932"/>
    </row>
    <row r="35" spans="1:6" x14ac:dyDescent="0.35">
      <c r="A35" s="725" t="s">
        <v>181</v>
      </c>
      <c r="B35" s="431" t="s">
        <v>109</v>
      </c>
      <c r="C35" s="432" t="s">
        <v>110</v>
      </c>
      <c r="D35" s="433"/>
      <c r="E35" s="418"/>
      <c r="F35" s="932"/>
    </row>
    <row r="36" spans="1:6" x14ac:dyDescent="0.35">
      <c r="A36" s="725" t="s">
        <v>181</v>
      </c>
      <c r="B36" s="431" t="s">
        <v>94</v>
      </c>
      <c r="C36" s="432" t="s">
        <v>111</v>
      </c>
      <c r="D36" s="433"/>
      <c r="E36" s="418"/>
      <c r="F36" s="932"/>
    </row>
    <row r="37" spans="1:6" x14ac:dyDescent="0.35">
      <c r="A37" s="725" t="s">
        <v>181</v>
      </c>
      <c r="B37" s="431" t="s">
        <v>112</v>
      </c>
      <c r="C37" s="432" t="s">
        <v>113</v>
      </c>
      <c r="D37" s="433"/>
      <c r="E37" s="418"/>
      <c r="F37" s="933"/>
    </row>
    <row r="38" spans="1:6" ht="73.5" customHeight="1" x14ac:dyDescent="0.35">
      <c r="A38" s="725" t="s">
        <v>181</v>
      </c>
      <c r="B38" s="961" t="s">
        <v>314</v>
      </c>
      <c r="C38" s="962"/>
      <c r="D38" s="962"/>
      <c r="E38" s="962"/>
      <c r="F38" s="963"/>
    </row>
    <row r="39" spans="1:6" ht="21.75" customHeight="1" thickBot="1" x14ac:dyDescent="0.4">
      <c r="A39" s="727" t="s">
        <v>181</v>
      </c>
      <c r="B39" s="964" t="s">
        <v>316</v>
      </c>
      <c r="C39" s="965"/>
      <c r="D39" s="965"/>
      <c r="E39" s="965"/>
      <c r="F39" s="966"/>
    </row>
    <row r="40" spans="1:6" ht="69.650000000000006" customHeight="1" x14ac:dyDescent="0.35">
      <c r="A40" s="724" t="s">
        <v>3</v>
      </c>
      <c r="B40" s="951" t="s">
        <v>318</v>
      </c>
      <c r="C40" s="952"/>
      <c r="D40" s="952"/>
      <c r="E40" s="952"/>
      <c r="F40" s="953"/>
    </row>
    <row r="41" spans="1:6" s="367" customFormat="1" ht="18.649999999999999" customHeight="1" x14ac:dyDescent="0.35">
      <c r="A41" s="725" t="s">
        <v>3</v>
      </c>
      <c r="B41" s="925" t="s">
        <v>2</v>
      </c>
      <c r="C41" s="925"/>
      <c r="D41" s="925"/>
      <c r="E41" s="925"/>
      <c r="F41" s="926"/>
    </row>
    <row r="42" spans="1:6" s="367" customFormat="1" ht="18.649999999999999" customHeight="1" x14ac:dyDescent="0.35">
      <c r="A42" s="725" t="s">
        <v>3</v>
      </c>
      <c r="B42" s="927"/>
      <c r="C42" s="927"/>
      <c r="D42" s="927"/>
      <c r="E42" s="927"/>
      <c r="F42" s="928"/>
    </row>
    <row r="43" spans="1:6" s="367" customFormat="1" ht="18.649999999999999" customHeight="1" x14ac:dyDescent="0.35">
      <c r="A43" s="725" t="s">
        <v>3</v>
      </c>
      <c r="B43" s="925" t="s">
        <v>5</v>
      </c>
      <c r="C43" s="925"/>
      <c r="D43" s="925"/>
      <c r="E43" s="925"/>
      <c r="F43" s="926"/>
    </row>
    <row r="44" spans="1:6" s="367" customFormat="1" ht="18.649999999999999" customHeight="1" x14ac:dyDescent="0.35">
      <c r="A44" s="725" t="s">
        <v>3</v>
      </c>
      <c r="B44" s="945" t="s">
        <v>74</v>
      </c>
      <c r="C44" s="945"/>
      <c r="D44" s="945"/>
      <c r="E44" s="945"/>
      <c r="F44" s="946"/>
    </row>
    <row r="45" spans="1:6" ht="20.5" customHeight="1" x14ac:dyDescent="0.35">
      <c r="A45" s="725" t="s">
        <v>3</v>
      </c>
      <c r="B45" s="428"/>
      <c r="C45" s="428"/>
      <c r="D45" s="429" t="s">
        <v>188</v>
      </c>
      <c r="E45" s="430">
        <f>SUM(E46:E51)</f>
        <v>8448</v>
      </c>
      <c r="F45" s="931" t="s">
        <v>76</v>
      </c>
    </row>
    <row r="46" spans="1:6" x14ac:dyDescent="0.35">
      <c r="A46" s="725" t="s">
        <v>3</v>
      </c>
      <c r="B46" s="431" t="s">
        <v>103</v>
      </c>
      <c r="C46" s="432" t="s">
        <v>152</v>
      </c>
      <c r="D46" s="959" t="s">
        <v>125</v>
      </c>
      <c r="E46" s="418">
        <f>ROUND('2.tab.'!AB56*0.75,0)</f>
        <v>6336</v>
      </c>
      <c r="F46" s="932"/>
    </row>
    <row r="47" spans="1:6" x14ac:dyDescent="0.35">
      <c r="A47" s="725" t="s">
        <v>3</v>
      </c>
      <c r="B47" s="431" t="s">
        <v>105</v>
      </c>
      <c r="C47" s="432" t="s">
        <v>153</v>
      </c>
      <c r="D47" s="960"/>
      <c r="E47" s="418">
        <f>'2.tab.'!AB56-Ietekme_LM_2026_!E46</f>
        <v>2112</v>
      </c>
      <c r="F47" s="932"/>
    </row>
    <row r="48" spans="1:6" x14ac:dyDescent="0.35">
      <c r="A48" s="725" t="s">
        <v>3</v>
      </c>
      <c r="B48" s="431" t="s">
        <v>107</v>
      </c>
      <c r="C48" s="432" t="s">
        <v>108</v>
      </c>
      <c r="D48" s="433"/>
      <c r="E48" s="418"/>
      <c r="F48" s="932"/>
    </row>
    <row r="49" spans="1:6" x14ac:dyDescent="0.35">
      <c r="A49" s="725" t="s">
        <v>3</v>
      </c>
      <c r="B49" s="431" t="s">
        <v>109</v>
      </c>
      <c r="C49" s="432" t="s">
        <v>110</v>
      </c>
      <c r="D49" s="433"/>
      <c r="E49" s="418"/>
      <c r="F49" s="932"/>
    </row>
    <row r="50" spans="1:6" x14ac:dyDescent="0.35">
      <c r="A50" s="725" t="s">
        <v>3</v>
      </c>
      <c r="B50" s="431" t="s">
        <v>94</v>
      </c>
      <c r="C50" s="432" t="s">
        <v>111</v>
      </c>
      <c r="D50" s="433"/>
      <c r="E50" s="418"/>
      <c r="F50" s="932"/>
    </row>
    <row r="51" spans="1:6" x14ac:dyDescent="0.35">
      <c r="A51" s="725" t="s">
        <v>3</v>
      </c>
      <c r="B51" s="431" t="s">
        <v>112</v>
      </c>
      <c r="C51" s="432" t="s">
        <v>113</v>
      </c>
      <c r="D51" s="433"/>
      <c r="E51" s="418"/>
      <c r="F51" s="933"/>
    </row>
    <row r="52" spans="1:6" ht="22.5" customHeight="1" thickBot="1" x14ac:dyDescent="0.4">
      <c r="A52" s="727" t="s">
        <v>3</v>
      </c>
      <c r="B52" s="947" t="s">
        <v>151</v>
      </c>
      <c r="C52" s="948"/>
      <c r="D52" s="948"/>
      <c r="E52" s="948"/>
      <c r="F52" s="949"/>
    </row>
    <row r="53" spans="1:6" ht="27" customHeight="1" x14ac:dyDescent="0.35">
      <c r="A53" s="724" t="s">
        <v>4</v>
      </c>
      <c r="B53" s="951" t="s">
        <v>319</v>
      </c>
      <c r="C53" s="952"/>
      <c r="D53" s="952"/>
      <c r="E53" s="952"/>
      <c r="F53" s="953"/>
    </row>
    <row r="54" spans="1:6" s="367" customFormat="1" ht="18.649999999999999" customHeight="1" x14ac:dyDescent="0.35">
      <c r="A54" s="725" t="s">
        <v>4</v>
      </c>
      <c r="B54" s="925" t="s">
        <v>2</v>
      </c>
      <c r="C54" s="925"/>
      <c r="D54" s="925"/>
      <c r="E54" s="925"/>
      <c r="F54" s="926"/>
    </row>
    <row r="55" spans="1:6" s="367" customFormat="1" ht="18.649999999999999" hidden="1" customHeight="1" x14ac:dyDescent="0.35">
      <c r="A55" s="725" t="s">
        <v>4</v>
      </c>
      <c r="B55" s="927"/>
      <c r="C55" s="927"/>
      <c r="D55" s="927"/>
      <c r="E55" s="927"/>
      <c r="F55" s="928"/>
    </row>
    <row r="56" spans="1:6" s="367" customFormat="1" ht="18.649999999999999" customHeight="1" x14ac:dyDescent="0.35">
      <c r="A56" s="725" t="s">
        <v>4</v>
      </c>
      <c r="B56" s="925" t="s">
        <v>7</v>
      </c>
      <c r="C56" s="925"/>
      <c r="D56" s="925"/>
      <c r="E56" s="925"/>
      <c r="F56" s="926"/>
    </row>
    <row r="57" spans="1:6" s="367" customFormat="1" ht="18.649999999999999" customHeight="1" x14ac:dyDescent="0.35">
      <c r="A57" s="725" t="s">
        <v>4</v>
      </c>
      <c r="B57" s="945" t="s">
        <v>60</v>
      </c>
      <c r="C57" s="945"/>
      <c r="D57" s="945"/>
      <c r="E57" s="945"/>
      <c r="F57" s="946"/>
    </row>
    <row r="58" spans="1:6" ht="15" x14ac:dyDescent="0.35">
      <c r="A58" s="725" t="s">
        <v>4</v>
      </c>
      <c r="B58" s="428"/>
      <c r="C58" s="428"/>
      <c r="D58" s="429" t="s">
        <v>114</v>
      </c>
      <c r="E58" s="430">
        <f>SUM(E59:E64)</f>
        <v>281883</v>
      </c>
      <c r="F58" s="931" t="s">
        <v>61</v>
      </c>
    </row>
    <row r="59" spans="1:6" x14ac:dyDescent="0.35">
      <c r="A59" s="725" t="s">
        <v>4</v>
      </c>
      <c r="B59" s="431" t="s">
        <v>103</v>
      </c>
      <c r="C59" s="432" t="s">
        <v>104</v>
      </c>
      <c r="D59" s="433"/>
      <c r="E59" s="418"/>
      <c r="F59" s="932"/>
    </row>
    <row r="60" spans="1:6" x14ac:dyDescent="0.35">
      <c r="A60" s="725" t="s">
        <v>4</v>
      </c>
      <c r="B60" s="431" t="s">
        <v>105</v>
      </c>
      <c r="C60" s="432" t="s">
        <v>106</v>
      </c>
      <c r="D60" s="433"/>
      <c r="E60" s="418"/>
      <c r="F60" s="932"/>
    </row>
    <row r="61" spans="1:6" x14ac:dyDescent="0.35">
      <c r="A61" s="725" t="s">
        <v>4</v>
      </c>
      <c r="B61" s="431" t="s">
        <v>107</v>
      </c>
      <c r="C61" s="432" t="s">
        <v>108</v>
      </c>
      <c r="D61" s="433" t="s">
        <v>126</v>
      </c>
      <c r="E61" s="418">
        <f>'3.tab.'!AA36</f>
        <v>281883</v>
      </c>
      <c r="F61" s="932"/>
    </row>
    <row r="62" spans="1:6" x14ac:dyDescent="0.35">
      <c r="A62" s="725" t="s">
        <v>4</v>
      </c>
      <c r="B62" s="431" t="s">
        <v>109</v>
      </c>
      <c r="C62" s="432" t="s">
        <v>110</v>
      </c>
      <c r="D62" s="433"/>
      <c r="E62" s="418"/>
      <c r="F62" s="932"/>
    </row>
    <row r="63" spans="1:6" x14ac:dyDescent="0.35">
      <c r="A63" s="725" t="s">
        <v>4</v>
      </c>
      <c r="B63" s="431" t="s">
        <v>94</v>
      </c>
      <c r="C63" s="432" t="s">
        <v>111</v>
      </c>
      <c r="D63" s="433"/>
      <c r="E63" s="418"/>
      <c r="F63" s="932"/>
    </row>
    <row r="64" spans="1:6" ht="16" thickBot="1" x14ac:dyDescent="0.4">
      <c r="A64" s="727" t="s">
        <v>4</v>
      </c>
      <c r="B64" s="434" t="s">
        <v>112</v>
      </c>
      <c r="C64" s="435" t="s">
        <v>113</v>
      </c>
      <c r="D64" s="436"/>
      <c r="E64" s="437"/>
      <c r="F64" s="950"/>
    </row>
    <row r="65" spans="1:6" ht="37" customHeight="1" x14ac:dyDescent="0.35">
      <c r="A65" s="724" t="s">
        <v>6</v>
      </c>
      <c r="B65" s="951" t="s">
        <v>320</v>
      </c>
      <c r="C65" s="952"/>
      <c r="D65" s="952"/>
      <c r="E65" s="952"/>
      <c r="F65" s="953"/>
    </row>
    <row r="66" spans="1:6" s="367" customFormat="1" ht="18.649999999999999" hidden="1" customHeight="1" x14ac:dyDescent="0.35">
      <c r="A66" s="725" t="s">
        <v>6</v>
      </c>
      <c r="B66" s="925"/>
      <c r="C66" s="925"/>
      <c r="D66" s="925"/>
      <c r="E66" s="925"/>
      <c r="F66" s="926"/>
    </row>
    <row r="67" spans="1:6" s="367" customFormat="1" ht="18.649999999999999" hidden="1" customHeight="1" x14ac:dyDescent="0.35">
      <c r="A67" s="725" t="s">
        <v>6</v>
      </c>
      <c r="B67" s="954"/>
      <c r="C67" s="954"/>
      <c r="D67" s="954"/>
      <c r="E67" s="954"/>
      <c r="F67" s="955"/>
    </row>
    <row r="68" spans="1:6" s="367" customFormat="1" ht="16" hidden="1" customHeight="1" x14ac:dyDescent="0.35">
      <c r="A68" s="725" t="s">
        <v>6</v>
      </c>
      <c r="B68" s="927"/>
      <c r="C68" s="927"/>
      <c r="D68" s="927"/>
      <c r="E68" s="927"/>
      <c r="F68" s="928"/>
    </row>
    <row r="69" spans="1:6" ht="15" x14ac:dyDescent="0.35">
      <c r="A69" s="725" t="s">
        <v>6</v>
      </c>
      <c r="B69" s="428"/>
      <c r="C69" s="428"/>
      <c r="D69" s="429" t="s">
        <v>188</v>
      </c>
      <c r="E69" s="430">
        <f>SUM(E70:E75)</f>
        <v>3116832</v>
      </c>
      <c r="F69" s="678"/>
    </row>
    <row r="70" spans="1:6" x14ac:dyDescent="0.35">
      <c r="A70" s="725" t="s">
        <v>6</v>
      </c>
      <c r="B70" s="431" t="s">
        <v>103</v>
      </c>
      <c r="C70" s="432" t="s">
        <v>104</v>
      </c>
      <c r="D70" s="433"/>
      <c r="E70" s="418">
        <f>E81+E93+E105</f>
        <v>0</v>
      </c>
      <c r="F70" s="679"/>
    </row>
    <row r="71" spans="1:6" x14ac:dyDescent="0.35">
      <c r="A71" s="725" t="s">
        <v>6</v>
      </c>
      <c r="B71" s="431" t="s">
        <v>105</v>
      </c>
      <c r="C71" s="432" t="s">
        <v>106</v>
      </c>
      <c r="D71" s="433"/>
      <c r="E71" s="418">
        <f t="shared" ref="E71:E75" si="1">E82+E94+E106</f>
        <v>0</v>
      </c>
      <c r="F71" s="679"/>
    </row>
    <row r="72" spans="1:6" x14ac:dyDescent="0.35">
      <c r="A72" s="725" t="s">
        <v>6</v>
      </c>
      <c r="B72" s="431" t="s">
        <v>107</v>
      </c>
      <c r="C72" s="432" t="s">
        <v>108</v>
      </c>
      <c r="D72" s="433"/>
      <c r="E72" s="418">
        <f t="shared" si="1"/>
        <v>16341</v>
      </c>
      <c r="F72" s="679"/>
    </row>
    <row r="73" spans="1:6" x14ac:dyDescent="0.35">
      <c r="A73" s="725" t="s">
        <v>6</v>
      </c>
      <c r="B73" s="431" t="s">
        <v>109</v>
      </c>
      <c r="C73" s="432" t="s">
        <v>110</v>
      </c>
      <c r="D73" s="433"/>
      <c r="E73" s="418">
        <f t="shared" si="1"/>
        <v>0</v>
      </c>
      <c r="F73" s="679"/>
    </row>
    <row r="74" spans="1:6" x14ac:dyDescent="0.35">
      <c r="A74" s="725" t="s">
        <v>6</v>
      </c>
      <c r="B74" s="431" t="s">
        <v>94</v>
      </c>
      <c r="C74" s="432" t="s">
        <v>111</v>
      </c>
      <c r="D74" s="433"/>
      <c r="E74" s="418">
        <f t="shared" si="1"/>
        <v>2586910</v>
      </c>
      <c r="F74" s="679"/>
    </row>
    <row r="75" spans="1:6" x14ac:dyDescent="0.35">
      <c r="A75" s="725" t="s">
        <v>6</v>
      </c>
      <c r="B75" s="540" t="s">
        <v>112</v>
      </c>
      <c r="C75" s="541" t="s">
        <v>113</v>
      </c>
      <c r="D75" s="910"/>
      <c r="E75" s="680">
        <f t="shared" si="1"/>
        <v>513581</v>
      </c>
      <c r="F75" s="909"/>
    </row>
    <row r="76" spans="1:6" ht="27" customHeight="1" x14ac:dyDescent="0.35">
      <c r="A76" s="728"/>
      <c r="B76" s="942">
        <v>1</v>
      </c>
      <c r="C76" s="943"/>
      <c r="D76" s="943"/>
      <c r="E76" s="943"/>
      <c r="F76" s="944"/>
    </row>
    <row r="77" spans="1:6" s="367" customFormat="1" ht="18.649999999999999" customHeight="1" x14ac:dyDescent="0.35">
      <c r="A77" s="725"/>
      <c r="B77" s="925" t="s">
        <v>387</v>
      </c>
      <c r="C77" s="925"/>
      <c r="D77" s="925"/>
      <c r="E77" s="925"/>
      <c r="F77" s="926"/>
    </row>
    <row r="78" spans="1:6" s="367" customFormat="1" ht="18.649999999999999" hidden="1" customHeight="1" x14ac:dyDescent="0.35">
      <c r="A78" s="725"/>
      <c r="B78" s="927"/>
      <c r="C78" s="927"/>
      <c r="D78" s="927"/>
      <c r="E78" s="927"/>
      <c r="F78" s="928"/>
    </row>
    <row r="79" spans="1:6" s="367" customFormat="1" ht="18.649999999999999" customHeight="1" x14ac:dyDescent="0.35">
      <c r="A79" s="725"/>
      <c r="B79" s="925" t="s">
        <v>0</v>
      </c>
      <c r="C79" s="925"/>
      <c r="D79" s="925"/>
      <c r="E79" s="925"/>
      <c r="F79" s="926"/>
    </row>
    <row r="80" spans="1:6" ht="15" x14ac:dyDescent="0.35">
      <c r="A80" s="725"/>
      <c r="B80" s="542"/>
      <c r="C80" s="542"/>
      <c r="D80" s="669" t="s">
        <v>114</v>
      </c>
      <c r="E80" s="670">
        <f>SUM(E81:E86)</f>
        <v>513581</v>
      </c>
      <c r="F80" s="931" t="s">
        <v>65</v>
      </c>
    </row>
    <row r="81" spans="1:6" x14ac:dyDescent="0.35">
      <c r="A81" s="725"/>
      <c r="B81" s="543" t="s">
        <v>103</v>
      </c>
      <c r="C81" s="544" t="s">
        <v>104</v>
      </c>
      <c r="D81" s="671"/>
      <c r="E81" s="672"/>
      <c r="F81" s="932"/>
    </row>
    <row r="82" spans="1:6" x14ac:dyDescent="0.35">
      <c r="A82" s="725"/>
      <c r="B82" s="543" t="s">
        <v>105</v>
      </c>
      <c r="C82" s="544" t="s">
        <v>106</v>
      </c>
      <c r="D82" s="671"/>
      <c r="E82" s="672"/>
      <c r="F82" s="932"/>
    </row>
    <row r="83" spans="1:6" x14ac:dyDescent="0.35">
      <c r="A83" s="725"/>
      <c r="B83" s="543" t="s">
        <v>107</v>
      </c>
      <c r="C83" s="544" t="s">
        <v>108</v>
      </c>
      <c r="D83" s="671"/>
      <c r="E83" s="672"/>
      <c r="F83" s="932"/>
    </row>
    <row r="84" spans="1:6" x14ac:dyDescent="0.35">
      <c r="A84" s="725"/>
      <c r="B84" s="543" t="s">
        <v>109</v>
      </c>
      <c r="C84" s="544" t="s">
        <v>110</v>
      </c>
      <c r="D84" s="671"/>
      <c r="E84" s="672"/>
      <c r="F84" s="932"/>
    </row>
    <row r="85" spans="1:6" x14ac:dyDescent="0.35">
      <c r="A85" s="725"/>
      <c r="B85" s="543" t="s">
        <v>94</v>
      </c>
      <c r="C85" s="544" t="s">
        <v>111</v>
      </c>
      <c r="D85" s="671"/>
      <c r="E85" s="672"/>
      <c r="F85" s="932"/>
    </row>
    <row r="86" spans="1:6" x14ac:dyDescent="0.35">
      <c r="A86" s="729"/>
      <c r="B86" s="545" t="s">
        <v>112</v>
      </c>
      <c r="C86" s="546" t="s">
        <v>113</v>
      </c>
      <c r="D86" s="673" t="s">
        <v>127</v>
      </c>
      <c r="E86" s="674">
        <f>'4.tab.'!AB142</f>
        <v>513581</v>
      </c>
      <c r="F86" s="941"/>
    </row>
    <row r="87" spans="1:6" ht="27" customHeight="1" x14ac:dyDescent="0.35">
      <c r="A87" s="728"/>
      <c r="B87" s="942">
        <v>2</v>
      </c>
      <c r="C87" s="943"/>
      <c r="D87" s="943"/>
      <c r="E87" s="943"/>
      <c r="F87" s="944"/>
    </row>
    <row r="88" spans="1:6" s="367" customFormat="1" ht="18.649999999999999" customHeight="1" x14ac:dyDescent="0.35">
      <c r="A88" s="725"/>
      <c r="B88" s="925" t="s">
        <v>2</v>
      </c>
      <c r="C88" s="925"/>
      <c r="D88" s="925"/>
      <c r="E88" s="925"/>
      <c r="F88" s="926"/>
    </row>
    <row r="89" spans="1:6" s="367" customFormat="1" ht="18.649999999999999" hidden="1" customHeight="1" x14ac:dyDescent="0.35">
      <c r="A89" s="725"/>
      <c r="B89" s="927"/>
      <c r="C89" s="927"/>
      <c r="D89" s="927"/>
      <c r="E89" s="927"/>
      <c r="F89" s="928"/>
    </row>
    <row r="90" spans="1:6" s="367" customFormat="1" ht="18.649999999999999" customHeight="1" x14ac:dyDescent="0.35">
      <c r="A90" s="725"/>
      <c r="B90" s="925" t="s">
        <v>11</v>
      </c>
      <c r="C90" s="925"/>
      <c r="D90" s="925"/>
      <c r="E90" s="925"/>
      <c r="F90" s="926"/>
    </row>
    <row r="91" spans="1:6" s="367" customFormat="1" ht="18.649999999999999" customHeight="1" x14ac:dyDescent="0.35">
      <c r="A91" s="725"/>
      <c r="B91" s="945" t="s">
        <v>48</v>
      </c>
      <c r="C91" s="945"/>
      <c r="D91" s="945"/>
      <c r="E91" s="945"/>
      <c r="F91" s="946"/>
    </row>
    <row r="92" spans="1:6" ht="15" x14ac:dyDescent="0.35">
      <c r="A92" s="725"/>
      <c r="B92" s="542"/>
      <c r="C92" s="542"/>
      <c r="D92" s="669" t="s">
        <v>114</v>
      </c>
      <c r="E92" s="670">
        <f>SUM(E93:E98)</f>
        <v>2586910</v>
      </c>
      <c r="F92" s="931" t="s">
        <v>308</v>
      </c>
    </row>
    <row r="93" spans="1:6" x14ac:dyDescent="0.35">
      <c r="A93" s="725"/>
      <c r="B93" s="543" t="s">
        <v>103</v>
      </c>
      <c r="C93" s="544" t="s">
        <v>104</v>
      </c>
      <c r="D93" s="671"/>
      <c r="E93" s="672"/>
      <c r="F93" s="932"/>
    </row>
    <row r="94" spans="1:6" x14ac:dyDescent="0.35">
      <c r="A94" s="725"/>
      <c r="B94" s="543" t="s">
        <v>105</v>
      </c>
      <c r="C94" s="544" t="s">
        <v>106</v>
      </c>
      <c r="D94" s="671"/>
      <c r="E94" s="672"/>
      <c r="F94" s="932"/>
    </row>
    <row r="95" spans="1:6" x14ac:dyDescent="0.35">
      <c r="A95" s="725"/>
      <c r="B95" s="543" t="s">
        <v>107</v>
      </c>
      <c r="C95" s="544" t="s">
        <v>108</v>
      </c>
      <c r="D95" s="671"/>
      <c r="E95" s="672"/>
      <c r="F95" s="932"/>
    </row>
    <row r="96" spans="1:6" x14ac:dyDescent="0.35">
      <c r="A96" s="725"/>
      <c r="B96" s="543" t="s">
        <v>109</v>
      </c>
      <c r="C96" s="544" t="s">
        <v>110</v>
      </c>
      <c r="D96" s="671"/>
      <c r="E96" s="672"/>
      <c r="F96" s="932"/>
    </row>
    <row r="97" spans="1:6" x14ac:dyDescent="0.35">
      <c r="A97" s="725"/>
      <c r="B97" s="543" t="s">
        <v>94</v>
      </c>
      <c r="C97" s="544" t="s">
        <v>111</v>
      </c>
      <c r="D97" s="671" t="str">
        <f>D86</f>
        <v>Detalizēti aprēķini 2. pielikuma 4.tabulā</v>
      </c>
      <c r="E97" s="672">
        <f>'4.tab.'!AA94</f>
        <v>2586910</v>
      </c>
      <c r="F97" s="932"/>
    </row>
    <row r="98" spans="1:6" x14ac:dyDescent="0.35">
      <c r="A98" s="729"/>
      <c r="B98" s="545" t="s">
        <v>112</v>
      </c>
      <c r="C98" s="546" t="s">
        <v>113</v>
      </c>
      <c r="D98" s="675"/>
      <c r="E98" s="674"/>
      <c r="F98" s="941"/>
    </row>
    <row r="99" spans="1:6" ht="27" customHeight="1" x14ac:dyDescent="0.35">
      <c r="A99" s="728"/>
      <c r="B99" s="942">
        <v>3</v>
      </c>
      <c r="C99" s="943"/>
      <c r="D99" s="943"/>
      <c r="E99" s="943"/>
      <c r="F99" s="944"/>
    </row>
    <row r="100" spans="1:6" s="367" customFormat="1" ht="18.649999999999999" customHeight="1" x14ac:dyDescent="0.35">
      <c r="A100" s="725"/>
      <c r="B100" s="925" t="s">
        <v>2</v>
      </c>
      <c r="C100" s="925"/>
      <c r="D100" s="925"/>
      <c r="E100" s="925"/>
      <c r="F100" s="926"/>
    </row>
    <row r="101" spans="1:6" s="367" customFormat="1" ht="18.649999999999999" hidden="1" customHeight="1" x14ac:dyDescent="0.35">
      <c r="A101" s="725"/>
      <c r="B101" s="927"/>
      <c r="C101" s="927"/>
      <c r="D101" s="927"/>
      <c r="E101" s="927"/>
      <c r="F101" s="928"/>
    </row>
    <row r="102" spans="1:6" s="367" customFormat="1" ht="18.649999999999999" customHeight="1" x14ac:dyDescent="0.35">
      <c r="A102" s="725"/>
      <c r="B102" s="925" t="s">
        <v>8</v>
      </c>
      <c r="C102" s="925"/>
      <c r="D102" s="925"/>
      <c r="E102" s="925"/>
      <c r="F102" s="926"/>
    </row>
    <row r="103" spans="1:6" s="367" customFormat="1" ht="18.649999999999999" customHeight="1" x14ac:dyDescent="0.35">
      <c r="A103" s="725"/>
      <c r="B103" s="945" t="s">
        <v>60</v>
      </c>
      <c r="C103" s="945"/>
      <c r="D103" s="945"/>
      <c r="E103" s="945"/>
      <c r="F103" s="946"/>
    </row>
    <row r="104" spans="1:6" ht="15" x14ac:dyDescent="0.35">
      <c r="A104" s="725"/>
      <c r="B104" s="542"/>
      <c r="C104" s="542"/>
      <c r="D104" s="669" t="s">
        <v>114</v>
      </c>
      <c r="E104" s="670">
        <f>SUM(E105:E110)</f>
        <v>16341</v>
      </c>
      <c r="F104" s="931" t="s">
        <v>65</v>
      </c>
    </row>
    <row r="105" spans="1:6" x14ac:dyDescent="0.35">
      <c r="A105" s="725"/>
      <c r="B105" s="543" t="s">
        <v>103</v>
      </c>
      <c r="C105" s="544" t="s">
        <v>104</v>
      </c>
      <c r="D105" s="671"/>
      <c r="E105" s="672"/>
      <c r="F105" s="932"/>
    </row>
    <row r="106" spans="1:6" x14ac:dyDescent="0.35">
      <c r="A106" s="725"/>
      <c r="B106" s="543" t="s">
        <v>105</v>
      </c>
      <c r="C106" s="544" t="s">
        <v>106</v>
      </c>
      <c r="D106" s="671"/>
      <c r="E106" s="672"/>
      <c r="F106" s="932"/>
    </row>
    <row r="107" spans="1:6" x14ac:dyDescent="0.35">
      <c r="A107" s="725"/>
      <c r="B107" s="543" t="s">
        <v>107</v>
      </c>
      <c r="C107" s="544" t="s">
        <v>108</v>
      </c>
      <c r="D107" s="671" t="str">
        <f>D97</f>
        <v>Detalizēti aprēķini 2. pielikuma 4.tabulā</v>
      </c>
      <c r="E107" s="672">
        <f>ROUND('4.tab.'!AB134+'4.tab.'!AB135+'4.tab.'!AB136+'4.tab.'!AB137+'4.tab.'!AB138+'4.tab.'!AB139+'4.tab.'!AB140+'4.tab.'!AB141,0)</f>
        <v>16341</v>
      </c>
      <c r="F107" s="932"/>
    </row>
    <row r="108" spans="1:6" x14ac:dyDescent="0.35">
      <c r="A108" s="725"/>
      <c r="B108" s="543" t="s">
        <v>109</v>
      </c>
      <c r="C108" s="544" t="s">
        <v>110</v>
      </c>
      <c r="D108" s="671"/>
      <c r="E108" s="672"/>
      <c r="F108" s="932"/>
    </row>
    <row r="109" spans="1:6" x14ac:dyDescent="0.35">
      <c r="A109" s="725"/>
      <c r="B109" s="543" t="s">
        <v>94</v>
      </c>
      <c r="C109" s="544" t="s">
        <v>111</v>
      </c>
      <c r="D109" s="671"/>
      <c r="E109" s="672"/>
      <c r="F109" s="932"/>
    </row>
    <row r="110" spans="1:6" ht="16" thickBot="1" x14ac:dyDescent="0.4">
      <c r="A110" s="727"/>
      <c r="B110" s="547" t="s">
        <v>112</v>
      </c>
      <c r="C110" s="548" t="s">
        <v>113</v>
      </c>
      <c r="D110" s="676"/>
      <c r="E110" s="677"/>
      <c r="F110" s="950"/>
    </row>
    <row r="111" spans="1:6" ht="25" customHeight="1" x14ac:dyDescent="0.35">
      <c r="A111" s="724" t="s">
        <v>368</v>
      </c>
      <c r="B111" s="951" t="s">
        <v>373</v>
      </c>
      <c r="C111" s="952"/>
      <c r="D111" s="952"/>
      <c r="E111" s="952"/>
      <c r="F111" s="953"/>
    </row>
    <row r="112" spans="1:6" s="367" customFormat="1" ht="18.649999999999999" customHeight="1" x14ac:dyDescent="0.35">
      <c r="A112" s="916" t="s">
        <v>368</v>
      </c>
      <c r="B112" s="925" t="s">
        <v>387</v>
      </c>
      <c r="C112" s="925"/>
      <c r="D112" s="925"/>
      <c r="E112" s="925"/>
      <c r="F112" s="926"/>
    </row>
    <row r="113" spans="1:6" s="367" customFormat="1" ht="18.649999999999999" hidden="1" customHeight="1" x14ac:dyDescent="0.35">
      <c r="A113" s="917" t="s">
        <v>368</v>
      </c>
      <c r="B113" s="927"/>
      <c r="C113" s="927"/>
      <c r="D113" s="927"/>
      <c r="E113" s="927"/>
      <c r="F113" s="928"/>
    </row>
    <row r="114" spans="1:6" s="367" customFormat="1" ht="18.649999999999999" customHeight="1" x14ac:dyDescent="0.35">
      <c r="A114" s="918" t="s">
        <v>368</v>
      </c>
      <c r="B114" s="925" t="s">
        <v>0</v>
      </c>
      <c r="C114" s="925"/>
      <c r="D114" s="925"/>
      <c r="E114" s="925"/>
      <c r="F114" s="926"/>
    </row>
    <row r="115" spans="1:6" ht="14.5" customHeight="1" x14ac:dyDescent="0.35">
      <c r="A115" s="920" t="s">
        <v>368</v>
      </c>
      <c r="B115" s="913"/>
      <c r="C115" s="428"/>
      <c r="D115" s="429" t="s">
        <v>188</v>
      </c>
      <c r="E115" s="430">
        <f>SUM(E116:E121)</f>
        <v>3973986</v>
      </c>
      <c r="F115" s="931" t="s">
        <v>44</v>
      </c>
    </row>
    <row r="116" spans="1:6" x14ac:dyDescent="0.35">
      <c r="A116" s="919" t="s">
        <v>368</v>
      </c>
      <c r="B116" s="914" t="s">
        <v>103</v>
      </c>
      <c r="C116" s="432" t="s">
        <v>104</v>
      </c>
      <c r="D116" s="433"/>
      <c r="E116" s="418"/>
      <c r="F116" s="932"/>
    </row>
    <row r="117" spans="1:6" x14ac:dyDescent="0.35">
      <c r="A117" s="920" t="s">
        <v>368</v>
      </c>
      <c r="B117" s="914" t="s">
        <v>105</v>
      </c>
      <c r="C117" s="432" t="s">
        <v>106</v>
      </c>
      <c r="D117" s="433"/>
      <c r="E117" s="418"/>
      <c r="F117" s="932"/>
    </row>
    <row r="118" spans="1:6" x14ac:dyDescent="0.35">
      <c r="A118" s="920" t="s">
        <v>368</v>
      </c>
      <c r="B118" s="914" t="s">
        <v>107</v>
      </c>
      <c r="C118" s="432" t="s">
        <v>108</v>
      </c>
      <c r="D118" s="433"/>
      <c r="E118" s="418"/>
      <c r="F118" s="932"/>
    </row>
    <row r="119" spans="1:6" x14ac:dyDescent="0.35">
      <c r="A119" s="919" t="s">
        <v>368</v>
      </c>
      <c r="B119" s="914" t="s">
        <v>109</v>
      </c>
      <c r="C119" s="432" t="s">
        <v>110</v>
      </c>
      <c r="D119" s="433"/>
      <c r="E119" s="418"/>
      <c r="F119" s="932"/>
    </row>
    <row r="120" spans="1:6" x14ac:dyDescent="0.35">
      <c r="A120" s="920" t="s">
        <v>368</v>
      </c>
      <c r="B120" s="914" t="s">
        <v>94</v>
      </c>
      <c r="C120" s="432" t="s">
        <v>111</v>
      </c>
      <c r="D120" s="433"/>
      <c r="E120" s="418"/>
      <c r="F120" s="932"/>
    </row>
    <row r="121" spans="1:6" ht="16" thickBot="1" x14ac:dyDescent="0.4">
      <c r="A121" s="921" t="s">
        <v>368</v>
      </c>
      <c r="B121" s="915" t="s">
        <v>112</v>
      </c>
      <c r="C121" s="435" t="s">
        <v>113</v>
      </c>
      <c r="D121" s="436" t="s">
        <v>128</v>
      </c>
      <c r="E121" s="437">
        <f>'5.tab.'!AB46</f>
        <v>3973986</v>
      </c>
      <c r="F121" s="950"/>
    </row>
    <row r="122" spans="1:6" ht="25" customHeight="1" x14ac:dyDescent="0.35">
      <c r="A122" s="725" t="s">
        <v>371</v>
      </c>
      <c r="B122" s="951" t="s">
        <v>372</v>
      </c>
      <c r="C122" s="952"/>
      <c r="D122" s="952"/>
      <c r="E122" s="952"/>
      <c r="F122" s="953"/>
    </row>
    <row r="123" spans="1:6" s="367" customFormat="1" ht="18.649999999999999" customHeight="1" x14ac:dyDescent="0.35">
      <c r="A123" s="725" t="s">
        <v>368</v>
      </c>
      <c r="B123" s="925" t="s">
        <v>387</v>
      </c>
      <c r="C123" s="925"/>
      <c r="D123" s="925"/>
      <c r="E123" s="925"/>
      <c r="F123" s="926"/>
    </row>
    <row r="124" spans="1:6" s="367" customFormat="1" ht="18.649999999999999" hidden="1" customHeight="1" x14ac:dyDescent="0.35">
      <c r="A124" s="725" t="s">
        <v>182</v>
      </c>
      <c r="B124" s="927"/>
      <c r="C124" s="927"/>
      <c r="D124" s="927"/>
      <c r="E124" s="927"/>
      <c r="F124" s="928"/>
    </row>
    <row r="125" spans="1:6" s="367" customFormat="1" ht="18.649999999999999" customHeight="1" x14ac:dyDescent="0.35">
      <c r="A125" s="725" t="s">
        <v>368</v>
      </c>
      <c r="B125" s="925" t="s">
        <v>0</v>
      </c>
      <c r="C125" s="925"/>
      <c r="D125" s="925"/>
      <c r="E125" s="925"/>
      <c r="F125" s="926"/>
    </row>
    <row r="126" spans="1:6" ht="14.5" customHeight="1" x14ac:dyDescent="0.35">
      <c r="A126" s="725" t="s">
        <v>371</v>
      </c>
      <c r="B126" s="428"/>
      <c r="C126" s="428"/>
      <c r="D126" s="429" t="s">
        <v>114</v>
      </c>
      <c r="E126" s="430">
        <f>SUM(E127:E132)</f>
        <v>1568941</v>
      </c>
      <c r="F126" s="931" t="s">
        <v>46</v>
      </c>
    </row>
    <row r="127" spans="1:6" x14ac:dyDescent="0.35">
      <c r="A127" s="725" t="s">
        <v>371</v>
      </c>
      <c r="B127" s="431" t="s">
        <v>103</v>
      </c>
      <c r="C127" s="432" t="s">
        <v>104</v>
      </c>
      <c r="D127" s="433"/>
      <c r="E127" s="418"/>
      <c r="F127" s="932"/>
    </row>
    <row r="128" spans="1:6" x14ac:dyDescent="0.35">
      <c r="A128" s="725" t="s">
        <v>371</v>
      </c>
      <c r="B128" s="431" t="s">
        <v>105</v>
      </c>
      <c r="C128" s="432" t="s">
        <v>106</v>
      </c>
      <c r="D128" s="433"/>
      <c r="E128" s="418"/>
      <c r="F128" s="932"/>
    </row>
    <row r="129" spans="1:6" x14ac:dyDescent="0.35">
      <c r="A129" s="725" t="s">
        <v>371</v>
      </c>
      <c r="B129" s="431" t="s">
        <v>107</v>
      </c>
      <c r="C129" s="432" t="s">
        <v>108</v>
      </c>
      <c r="D129" s="433"/>
      <c r="E129" s="418"/>
      <c r="F129" s="932"/>
    </row>
    <row r="130" spans="1:6" x14ac:dyDescent="0.35">
      <c r="A130" s="725" t="s">
        <v>371</v>
      </c>
      <c r="B130" s="431" t="s">
        <v>109</v>
      </c>
      <c r="C130" s="432" t="s">
        <v>110</v>
      </c>
      <c r="D130" s="433"/>
      <c r="E130" s="418"/>
      <c r="F130" s="932"/>
    </row>
    <row r="131" spans="1:6" x14ac:dyDescent="0.35">
      <c r="A131" s="725" t="s">
        <v>371</v>
      </c>
      <c r="B131" s="431" t="s">
        <v>94</v>
      </c>
      <c r="C131" s="432" t="s">
        <v>111</v>
      </c>
      <c r="D131" s="433"/>
      <c r="E131" s="418"/>
      <c r="F131" s="932"/>
    </row>
    <row r="132" spans="1:6" ht="16" thickBot="1" x14ac:dyDescent="0.4">
      <c r="A132" s="727" t="s">
        <v>371</v>
      </c>
      <c r="B132" s="434" t="s">
        <v>112</v>
      </c>
      <c r="C132" s="435" t="s">
        <v>113</v>
      </c>
      <c r="D132" s="436" t="str">
        <f>D121</f>
        <v>Detalizēti aprēķini 2. pielikuma 5.tabulā</v>
      </c>
      <c r="E132" s="437">
        <f>'5.tab.'!AB47</f>
        <v>1568941</v>
      </c>
      <c r="F132" s="950"/>
    </row>
    <row r="133" spans="1:6" ht="25" customHeight="1" x14ac:dyDescent="0.35">
      <c r="A133" s="724" t="s">
        <v>376</v>
      </c>
      <c r="B133" s="951" t="s">
        <v>377</v>
      </c>
      <c r="C133" s="952"/>
      <c r="D133" s="952"/>
      <c r="E133" s="952"/>
      <c r="F133" s="953"/>
    </row>
    <row r="134" spans="1:6" s="367" customFormat="1" ht="18.649999999999999" customHeight="1" x14ac:dyDescent="0.35">
      <c r="A134" s="725" t="s">
        <v>376</v>
      </c>
      <c r="B134" s="925" t="s">
        <v>387</v>
      </c>
      <c r="C134" s="925"/>
      <c r="D134" s="925"/>
      <c r="E134" s="925"/>
      <c r="F134" s="926"/>
    </row>
    <row r="135" spans="1:6" s="367" customFormat="1" ht="18.649999999999999" hidden="1" customHeight="1" x14ac:dyDescent="0.35">
      <c r="A135" s="725" t="s">
        <v>183</v>
      </c>
      <c r="B135" s="927"/>
      <c r="C135" s="927"/>
      <c r="D135" s="927"/>
      <c r="E135" s="927"/>
      <c r="F135" s="928"/>
    </row>
    <row r="136" spans="1:6" s="367" customFormat="1" ht="18.649999999999999" customHeight="1" x14ac:dyDescent="0.35">
      <c r="A136" s="725" t="s">
        <v>376</v>
      </c>
      <c r="B136" s="925" t="s">
        <v>0</v>
      </c>
      <c r="C136" s="925"/>
      <c r="D136" s="925"/>
      <c r="E136" s="925"/>
      <c r="F136" s="926"/>
    </row>
    <row r="137" spans="1:6" ht="15" x14ac:dyDescent="0.35">
      <c r="A137" s="725" t="s">
        <v>376</v>
      </c>
      <c r="B137" s="428"/>
      <c r="C137" s="428"/>
      <c r="D137" s="429" t="s">
        <v>114</v>
      </c>
      <c r="E137" s="430">
        <f>SUM(E138:E143)</f>
        <v>4586539</v>
      </c>
      <c r="F137" s="931" t="s">
        <v>45</v>
      </c>
    </row>
    <row r="138" spans="1:6" x14ac:dyDescent="0.35">
      <c r="A138" s="725" t="s">
        <v>376</v>
      </c>
      <c r="B138" s="431" t="s">
        <v>103</v>
      </c>
      <c r="C138" s="432" t="s">
        <v>104</v>
      </c>
      <c r="D138" s="433"/>
      <c r="E138" s="418"/>
      <c r="F138" s="932"/>
    </row>
    <row r="139" spans="1:6" x14ac:dyDescent="0.35">
      <c r="A139" s="725" t="s">
        <v>376</v>
      </c>
      <c r="B139" s="431" t="s">
        <v>105</v>
      </c>
      <c r="C139" s="432" t="s">
        <v>106</v>
      </c>
      <c r="D139" s="433"/>
      <c r="E139" s="418"/>
      <c r="F139" s="932"/>
    </row>
    <row r="140" spans="1:6" x14ac:dyDescent="0.35">
      <c r="A140" s="725" t="s">
        <v>376</v>
      </c>
      <c r="B140" s="431" t="s">
        <v>107</v>
      </c>
      <c r="C140" s="432" t="s">
        <v>108</v>
      </c>
      <c r="D140" s="433"/>
      <c r="E140" s="418"/>
      <c r="F140" s="932"/>
    </row>
    <row r="141" spans="1:6" x14ac:dyDescent="0.35">
      <c r="A141" s="725" t="s">
        <v>376</v>
      </c>
      <c r="B141" s="431" t="s">
        <v>109</v>
      </c>
      <c r="C141" s="432" t="s">
        <v>110</v>
      </c>
      <c r="D141" s="433"/>
      <c r="E141" s="418"/>
      <c r="F141" s="932"/>
    </row>
    <row r="142" spans="1:6" x14ac:dyDescent="0.35">
      <c r="A142" s="725" t="s">
        <v>376</v>
      </c>
      <c r="B142" s="431" t="s">
        <v>94</v>
      </c>
      <c r="C142" s="432" t="s">
        <v>111</v>
      </c>
      <c r="D142" s="433"/>
      <c r="E142" s="418"/>
      <c r="F142" s="932"/>
    </row>
    <row r="143" spans="1:6" ht="16" thickBot="1" x14ac:dyDescent="0.4">
      <c r="A143" s="727" t="s">
        <v>376</v>
      </c>
      <c r="B143" s="434" t="s">
        <v>112</v>
      </c>
      <c r="C143" s="435" t="s">
        <v>113</v>
      </c>
      <c r="D143" s="436" t="str">
        <f>D132</f>
        <v>Detalizēti aprēķini 2. pielikuma 5.tabulā</v>
      </c>
      <c r="E143" s="437">
        <f>'5.tab.'!AB48</f>
        <v>4586539</v>
      </c>
      <c r="F143" s="950"/>
    </row>
    <row r="144" spans="1:6" ht="27" customHeight="1" x14ac:dyDescent="0.35">
      <c r="A144" s="724" t="s">
        <v>379</v>
      </c>
      <c r="B144" s="951" t="s">
        <v>378</v>
      </c>
      <c r="C144" s="952"/>
      <c r="D144" s="952"/>
      <c r="E144" s="952"/>
      <c r="F144" s="953"/>
    </row>
    <row r="145" spans="1:6" s="367" customFormat="1" ht="18.649999999999999" customHeight="1" x14ac:dyDescent="0.35">
      <c r="A145" s="725" t="s">
        <v>379</v>
      </c>
      <c r="B145" s="925" t="s">
        <v>2</v>
      </c>
      <c r="C145" s="925"/>
      <c r="D145" s="925"/>
      <c r="E145" s="925"/>
      <c r="F145" s="926"/>
    </row>
    <row r="146" spans="1:6" s="367" customFormat="1" ht="18.649999999999999" hidden="1" customHeight="1" x14ac:dyDescent="0.35">
      <c r="A146" s="725" t="s">
        <v>184</v>
      </c>
      <c r="B146" s="927"/>
      <c r="C146" s="927"/>
      <c r="D146" s="927"/>
      <c r="E146" s="927"/>
      <c r="F146" s="928"/>
    </row>
    <row r="147" spans="1:6" s="367" customFormat="1" ht="18.649999999999999" customHeight="1" x14ac:dyDescent="0.35">
      <c r="A147" s="725" t="s">
        <v>379</v>
      </c>
      <c r="B147" s="925" t="s">
        <v>8</v>
      </c>
      <c r="C147" s="925"/>
      <c r="D147" s="925"/>
      <c r="E147" s="925"/>
      <c r="F147" s="926"/>
    </row>
    <row r="148" spans="1:6" s="367" customFormat="1" ht="18.649999999999999" customHeight="1" x14ac:dyDescent="0.35">
      <c r="A148" s="725" t="s">
        <v>379</v>
      </c>
      <c r="B148" s="945" t="s">
        <v>60</v>
      </c>
      <c r="C148" s="945"/>
      <c r="D148" s="945"/>
      <c r="E148" s="945"/>
      <c r="F148" s="946"/>
    </row>
    <row r="149" spans="1:6" ht="15" x14ac:dyDescent="0.35">
      <c r="A149" s="725" t="s">
        <v>379</v>
      </c>
      <c r="B149" s="428"/>
      <c r="C149" s="428"/>
      <c r="D149" s="429" t="s">
        <v>114</v>
      </c>
      <c r="E149" s="430">
        <f>SUM(E150:E155)</f>
        <v>13039</v>
      </c>
      <c r="F149" s="931" t="s">
        <v>65</v>
      </c>
    </row>
    <row r="150" spans="1:6" x14ac:dyDescent="0.35">
      <c r="A150" s="725" t="s">
        <v>379</v>
      </c>
      <c r="B150" s="431" t="s">
        <v>103</v>
      </c>
      <c r="C150" s="432" t="s">
        <v>104</v>
      </c>
      <c r="D150" s="433"/>
      <c r="E150" s="418"/>
      <c r="F150" s="932"/>
    </row>
    <row r="151" spans="1:6" x14ac:dyDescent="0.35">
      <c r="A151" s="725" t="s">
        <v>379</v>
      </c>
      <c r="B151" s="431" t="s">
        <v>105</v>
      </c>
      <c r="C151" s="432" t="s">
        <v>106</v>
      </c>
      <c r="D151" s="433"/>
      <c r="E151" s="418"/>
      <c r="F151" s="932"/>
    </row>
    <row r="152" spans="1:6" x14ac:dyDescent="0.35">
      <c r="A152" s="725" t="s">
        <v>379</v>
      </c>
      <c r="B152" s="431" t="s">
        <v>107</v>
      </c>
      <c r="C152" s="432" t="s">
        <v>108</v>
      </c>
      <c r="D152" s="433" t="str">
        <f>D143</f>
        <v>Detalizēti aprēķini 2. pielikuma 5.tabulā</v>
      </c>
      <c r="E152" s="418">
        <f>'5.tab.'!AC101</f>
        <v>13039</v>
      </c>
      <c r="F152" s="932"/>
    </row>
    <row r="153" spans="1:6" x14ac:dyDescent="0.35">
      <c r="A153" s="725" t="s">
        <v>379</v>
      </c>
      <c r="B153" s="431" t="s">
        <v>109</v>
      </c>
      <c r="C153" s="432" t="s">
        <v>110</v>
      </c>
      <c r="D153" s="433"/>
      <c r="E153" s="418"/>
      <c r="F153" s="932"/>
    </row>
    <row r="154" spans="1:6" x14ac:dyDescent="0.35">
      <c r="A154" s="725" t="s">
        <v>379</v>
      </c>
      <c r="B154" s="431" t="s">
        <v>94</v>
      </c>
      <c r="C154" s="432" t="s">
        <v>111</v>
      </c>
      <c r="D154" s="433"/>
      <c r="E154" s="418"/>
      <c r="F154" s="932"/>
    </row>
    <row r="155" spans="1:6" ht="16" thickBot="1" x14ac:dyDescent="0.4">
      <c r="A155" s="727" t="s">
        <v>379</v>
      </c>
      <c r="B155" s="434" t="s">
        <v>112</v>
      </c>
      <c r="C155" s="435" t="s">
        <v>113</v>
      </c>
      <c r="D155" s="436"/>
      <c r="E155" s="437"/>
      <c r="F155" s="950"/>
    </row>
    <row r="156" spans="1:6" ht="27" customHeight="1" x14ac:dyDescent="0.35">
      <c r="A156" s="724" t="s">
        <v>381</v>
      </c>
      <c r="B156" s="951" t="s">
        <v>380</v>
      </c>
      <c r="C156" s="952"/>
      <c r="D156" s="952"/>
      <c r="E156" s="952"/>
      <c r="F156" s="953"/>
    </row>
    <row r="157" spans="1:6" s="367" customFormat="1" ht="18.649999999999999" customHeight="1" x14ac:dyDescent="0.35">
      <c r="A157" s="725" t="s">
        <v>381</v>
      </c>
      <c r="B157" s="925" t="s">
        <v>2</v>
      </c>
      <c r="C157" s="925"/>
      <c r="D157" s="925"/>
      <c r="E157" s="925"/>
      <c r="F157" s="926"/>
    </row>
    <row r="158" spans="1:6" s="367" customFormat="1" ht="18.649999999999999" hidden="1" customHeight="1" x14ac:dyDescent="0.35">
      <c r="A158" s="725" t="s">
        <v>185</v>
      </c>
      <c r="B158" s="927"/>
      <c r="C158" s="927"/>
      <c r="D158" s="927"/>
      <c r="E158" s="927"/>
      <c r="F158" s="928"/>
    </row>
    <row r="159" spans="1:6" s="367" customFormat="1" ht="18.649999999999999" customHeight="1" x14ac:dyDescent="0.35">
      <c r="A159" s="725" t="s">
        <v>381</v>
      </c>
      <c r="B159" s="925" t="s">
        <v>11</v>
      </c>
      <c r="C159" s="925"/>
      <c r="D159" s="925"/>
      <c r="E159" s="925"/>
      <c r="F159" s="926"/>
    </row>
    <row r="160" spans="1:6" s="367" customFormat="1" ht="18.649999999999999" customHeight="1" x14ac:dyDescent="0.35">
      <c r="A160" s="725" t="s">
        <v>381</v>
      </c>
      <c r="B160" s="945" t="s">
        <v>48</v>
      </c>
      <c r="C160" s="945"/>
      <c r="D160" s="945"/>
      <c r="E160" s="945"/>
      <c r="F160" s="946"/>
    </row>
    <row r="161" spans="1:6" ht="15" x14ac:dyDescent="0.35">
      <c r="A161" s="725" t="s">
        <v>381</v>
      </c>
      <c r="B161" s="428"/>
      <c r="C161" s="428"/>
      <c r="D161" s="429" t="s">
        <v>114</v>
      </c>
      <c r="E161" s="430">
        <f>SUM(E162:E167)</f>
        <v>4010121</v>
      </c>
      <c r="F161" s="931" t="s">
        <v>84</v>
      </c>
    </row>
    <row r="162" spans="1:6" x14ac:dyDescent="0.35">
      <c r="A162" s="725" t="s">
        <v>381</v>
      </c>
      <c r="B162" s="431" t="s">
        <v>103</v>
      </c>
      <c r="C162" s="432" t="s">
        <v>104</v>
      </c>
      <c r="D162" s="433"/>
      <c r="E162" s="418"/>
      <c r="F162" s="932"/>
    </row>
    <row r="163" spans="1:6" x14ac:dyDescent="0.35">
      <c r="A163" s="725" t="s">
        <v>381</v>
      </c>
      <c r="B163" s="431" t="s">
        <v>105</v>
      </c>
      <c r="C163" s="432" t="s">
        <v>106</v>
      </c>
      <c r="D163" s="433"/>
      <c r="E163" s="418"/>
      <c r="F163" s="932"/>
    </row>
    <row r="164" spans="1:6" x14ac:dyDescent="0.35">
      <c r="A164" s="725" t="s">
        <v>381</v>
      </c>
      <c r="B164" s="431" t="s">
        <v>107</v>
      </c>
      <c r="C164" s="432" t="s">
        <v>108</v>
      </c>
      <c r="D164" s="433"/>
      <c r="E164" s="418"/>
      <c r="F164" s="932"/>
    </row>
    <row r="165" spans="1:6" x14ac:dyDescent="0.35">
      <c r="A165" s="725" t="s">
        <v>381</v>
      </c>
      <c r="B165" s="431" t="s">
        <v>109</v>
      </c>
      <c r="C165" s="432" t="s">
        <v>110</v>
      </c>
      <c r="D165" s="433"/>
      <c r="E165" s="418"/>
      <c r="F165" s="932"/>
    </row>
    <row r="166" spans="1:6" x14ac:dyDescent="0.35">
      <c r="A166" s="725" t="s">
        <v>381</v>
      </c>
      <c r="B166" s="431" t="s">
        <v>94</v>
      </c>
      <c r="C166" s="432" t="s">
        <v>111</v>
      </c>
      <c r="D166" s="433" t="s">
        <v>129</v>
      </c>
      <c r="E166" s="418">
        <f>'6.tab.'!AA56</f>
        <v>4010121</v>
      </c>
      <c r="F166" s="932"/>
    </row>
    <row r="167" spans="1:6" ht="16" thickBot="1" x14ac:dyDescent="0.4">
      <c r="A167" s="727" t="s">
        <v>381</v>
      </c>
      <c r="B167" s="434" t="s">
        <v>112</v>
      </c>
      <c r="C167" s="435" t="s">
        <v>113</v>
      </c>
      <c r="D167" s="436"/>
      <c r="E167" s="437"/>
      <c r="F167" s="950"/>
    </row>
    <row r="168" spans="1:6" ht="66.75" customHeight="1" x14ac:dyDescent="0.35">
      <c r="A168" s="724" t="s">
        <v>185</v>
      </c>
      <c r="B168" s="951" t="s">
        <v>382</v>
      </c>
      <c r="C168" s="952"/>
      <c r="D168" s="952"/>
      <c r="E168" s="952"/>
      <c r="F168" s="953"/>
    </row>
    <row r="169" spans="1:6" s="367" customFormat="1" ht="18.649999999999999" customHeight="1" x14ac:dyDescent="0.35">
      <c r="A169" s="725" t="s">
        <v>185</v>
      </c>
      <c r="B169" s="954" t="s">
        <v>387</v>
      </c>
      <c r="C169" s="925"/>
      <c r="D169" s="925"/>
      <c r="E169" s="925"/>
      <c r="F169" s="926"/>
    </row>
    <row r="170" spans="1:6" s="367" customFormat="1" ht="18.649999999999999" hidden="1" customHeight="1" x14ac:dyDescent="0.35">
      <c r="A170" s="725" t="s">
        <v>186</v>
      </c>
      <c r="B170" s="927"/>
      <c r="C170" s="927"/>
      <c r="D170" s="927"/>
      <c r="E170" s="927"/>
      <c r="F170" s="928"/>
    </row>
    <row r="171" spans="1:6" s="367" customFormat="1" ht="18.649999999999999" customHeight="1" x14ac:dyDescent="0.35">
      <c r="A171" s="725" t="s">
        <v>185</v>
      </c>
      <c r="B171" s="925" t="s">
        <v>0</v>
      </c>
      <c r="C171" s="925"/>
      <c r="D171" s="925"/>
      <c r="E171" s="925"/>
      <c r="F171" s="926"/>
    </row>
    <row r="172" spans="1:6" ht="15" x14ac:dyDescent="0.35">
      <c r="A172" s="725" t="s">
        <v>185</v>
      </c>
      <c r="B172" s="428"/>
      <c r="C172" s="428"/>
      <c r="D172" s="429" t="s">
        <v>114</v>
      </c>
      <c r="E172" s="430">
        <f>SUM(E173:E178)</f>
        <v>2842620</v>
      </c>
      <c r="F172" s="931" t="s">
        <v>178</v>
      </c>
    </row>
    <row r="173" spans="1:6" x14ac:dyDescent="0.35">
      <c r="A173" s="725" t="s">
        <v>185</v>
      </c>
      <c r="B173" s="431" t="s">
        <v>103</v>
      </c>
      <c r="C173" s="432" t="s">
        <v>104</v>
      </c>
      <c r="D173" s="433"/>
      <c r="E173" s="418"/>
      <c r="F173" s="932"/>
    </row>
    <row r="174" spans="1:6" x14ac:dyDescent="0.35">
      <c r="A174" s="725" t="s">
        <v>185</v>
      </c>
      <c r="B174" s="431" t="s">
        <v>105</v>
      </c>
      <c r="C174" s="432" t="s">
        <v>106</v>
      </c>
      <c r="D174" s="433"/>
      <c r="E174" s="418"/>
      <c r="F174" s="932"/>
    </row>
    <row r="175" spans="1:6" x14ac:dyDescent="0.35">
      <c r="A175" s="725" t="s">
        <v>185</v>
      </c>
      <c r="B175" s="431" t="s">
        <v>107</v>
      </c>
      <c r="C175" s="432" t="s">
        <v>108</v>
      </c>
      <c r="D175" s="433"/>
      <c r="E175" s="418"/>
      <c r="F175" s="932"/>
    </row>
    <row r="176" spans="1:6" x14ac:dyDescent="0.35">
      <c r="A176" s="725" t="s">
        <v>185</v>
      </c>
      <c r="B176" s="431" t="s">
        <v>109</v>
      </c>
      <c r="C176" s="432" t="s">
        <v>110</v>
      </c>
      <c r="D176" s="433"/>
      <c r="E176" s="418"/>
      <c r="F176" s="932"/>
    </row>
    <row r="177" spans="1:6" x14ac:dyDescent="0.35">
      <c r="A177" s="725" t="s">
        <v>185</v>
      </c>
      <c r="B177" s="431" t="s">
        <v>94</v>
      </c>
      <c r="C177" s="432" t="s">
        <v>111</v>
      </c>
      <c r="D177" s="433"/>
      <c r="E177" s="418"/>
      <c r="F177" s="932"/>
    </row>
    <row r="178" spans="1:6" ht="16" thickBot="1" x14ac:dyDescent="0.4">
      <c r="A178" s="727" t="s">
        <v>185</v>
      </c>
      <c r="B178" s="434" t="s">
        <v>112</v>
      </c>
      <c r="C178" s="435" t="s">
        <v>113</v>
      </c>
      <c r="D178" s="436" t="s">
        <v>130</v>
      </c>
      <c r="E178" s="437">
        <f>'7.tab.'!AA46</f>
        <v>2842620</v>
      </c>
      <c r="F178" s="950"/>
    </row>
    <row r="179" spans="1:6" ht="37.5" customHeight="1" x14ac:dyDescent="0.35">
      <c r="A179" s="724" t="s">
        <v>186</v>
      </c>
      <c r="B179" s="951" t="s">
        <v>383</v>
      </c>
      <c r="C179" s="952"/>
      <c r="D179" s="952"/>
      <c r="E179" s="952"/>
      <c r="F179" s="953"/>
    </row>
    <row r="180" spans="1:6" s="367" customFormat="1" ht="18.649999999999999" customHeight="1" x14ac:dyDescent="0.35">
      <c r="A180" s="725" t="s">
        <v>186</v>
      </c>
      <c r="B180" s="925" t="s">
        <v>2</v>
      </c>
      <c r="C180" s="925"/>
      <c r="D180" s="925"/>
      <c r="E180" s="925"/>
      <c r="F180" s="926"/>
    </row>
    <row r="181" spans="1:6" s="367" customFormat="1" ht="18.649999999999999" hidden="1" customHeight="1" x14ac:dyDescent="0.35">
      <c r="A181" s="725" t="s">
        <v>10</v>
      </c>
      <c r="B181" s="927"/>
      <c r="C181" s="927"/>
      <c r="D181" s="927"/>
      <c r="E181" s="927"/>
      <c r="F181" s="928"/>
    </row>
    <row r="182" spans="1:6" s="367" customFormat="1" ht="18.649999999999999" customHeight="1" x14ac:dyDescent="0.35">
      <c r="A182" s="725" t="s">
        <v>186</v>
      </c>
      <c r="B182" s="925" t="s">
        <v>116</v>
      </c>
      <c r="C182" s="925"/>
      <c r="D182" s="925"/>
      <c r="E182" s="925"/>
      <c r="F182" s="926"/>
    </row>
    <row r="183" spans="1:6" s="367" customFormat="1" ht="18.649999999999999" customHeight="1" x14ac:dyDescent="0.35">
      <c r="A183" s="725" t="s">
        <v>186</v>
      </c>
      <c r="B183" s="945" t="s">
        <v>71</v>
      </c>
      <c r="C183" s="945"/>
      <c r="D183" s="945"/>
      <c r="E183" s="945"/>
      <c r="F183" s="946"/>
    </row>
    <row r="184" spans="1:6" s="32" customFormat="1" ht="15" x14ac:dyDescent="0.35">
      <c r="A184" s="725" t="s">
        <v>186</v>
      </c>
      <c r="B184" s="428"/>
      <c r="C184" s="428"/>
      <c r="D184" s="429" t="s">
        <v>188</v>
      </c>
      <c r="E184" s="430">
        <f>SUM(E185:E190)</f>
        <v>0</v>
      </c>
      <c r="F184" s="931" t="s">
        <v>85</v>
      </c>
    </row>
    <row r="185" spans="1:6" x14ac:dyDescent="0.35">
      <c r="A185" s="725" t="s">
        <v>186</v>
      </c>
      <c r="B185" s="431" t="s">
        <v>103</v>
      </c>
      <c r="C185" s="432" t="s">
        <v>104</v>
      </c>
      <c r="D185" s="433"/>
      <c r="E185" s="418"/>
      <c r="F185" s="932"/>
    </row>
    <row r="186" spans="1:6" ht="39" customHeight="1" x14ac:dyDescent="0.35">
      <c r="A186" s="725" t="s">
        <v>186</v>
      </c>
      <c r="B186" s="431" t="s">
        <v>105</v>
      </c>
      <c r="C186" s="432" t="s">
        <v>106</v>
      </c>
      <c r="D186" s="433" t="s">
        <v>358</v>
      </c>
      <c r="E186" s="418">
        <v>0</v>
      </c>
      <c r="F186" s="932"/>
    </row>
    <row r="187" spans="1:6" x14ac:dyDescent="0.35">
      <c r="A187" s="725" t="s">
        <v>186</v>
      </c>
      <c r="B187" s="431" t="s">
        <v>107</v>
      </c>
      <c r="C187" s="432" t="s">
        <v>108</v>
      </c>
      <c r="D187" s="433"/>
      <c r="E187" s="418"/>
      <c r="F187" s="932"/>
    </row>
    <row r="188" spans="1:6" x14ac:dyDescent="0.35">
      <c r="A188" s="725" t="s">
        <v>186</v>
      </c>
      <c r="B188" s="431" t="s">
        <v>109</v>
      </c>
      <c r="C188" s="432" t="s">
        <v>110</v>
      </c>
      <c r="D188" s="433"/>
      <c r="E188" s="418"/>
      <c r="F188" s="932"/>
    </row>
    <row r="189" spans="1:6" x14ac:dyDescent="0.35">
      <c r="A189" s="725" t="s">
        <v>186</v>
      </c>
      <c r="B189" s="431" t="s">
        <v>94</v>
      </c>
      <c r="C189" s="432" t="s">
        <v>111</v>
      </c>
      <c r="D189" s="433"/>
      <c r="E189" s="418"/>
      <c r="F189" s="932"/>
    </row>
    <row r="190" spans="1:6" ht="16" thickBot="1" x14ac:dyDescent="0.4">
      <c r="A190" s="727" t="s">
        <v>186</v>
      </c>
      <c r="B190" s="434" t="s">
        <v>112</v>
      </c>
      <c r="C190" s="435" t="s">
        <v>113</v>
      </c>
      <c r="D190" s="436"/>
      <c r="E190" s="437"/>
      <c r="F190" s="950"/>
    </row>
    <row r="191" spans="1:6" ht="34.5" customHeight="1" x14ac:dyDescent="0.35">
      <c r="A191" s="724" t="s">
        <v>10</v>
      </c>
      <c r="B191" s="951" t="s">
        <v>384</v>
      </c>
      <c r="C191" s="952"/>
      <c r="D191" s="952"/>
      <c r="E191" s="952"/>
      <c r="F191" s="953"/>
    </row>
    <row r="192" spans="1:6" s="367" customFormat="1" ht="18.649999999999999" customHeight="1" x14ac:dyDescent="0.35">
      <c r="A192" s="725" t="s">
        <v>10</v>
      </c>
      <c r="B192" s="925" t="s">
        <v>387</v>
      </c>
      <c r="C192" s="925"/>
      <c r="D192" s="925"/>
      <c r="E192" s="925"/>
      <c r="F192" s="926"/>
    </row>
    <row r="193" spans="1:6" s="367" customFormat="1" ht="18.649999999999999" hidden="1" customHeight="1" x14ac:dyDescent="0.35">
      <c r="A193" s="725" t="s">
        <v>10</v>
      </c>
      <c r="B193" s="927"/>
      <c r="C193" s="927"/>
      <c r="D193" s="927"/>
      <c r="E193" s="927"/>
      <c r="F193" s="928"/>
    </row>
    <row r="194" spans="1:6" s="367" customFormat="1" ht="18.649999999999999" customHeight="1" x14ac:dyDescent="0.35">
      <c r="A194" s="725" t="s">
        <v>10</v>
      </c>
      <c r="B194" s="925" t="s">
        <v>0</v>
      </c>
      <c r="C194" s="925"/>
      <c r="D194" s="925"/>
      <c r="E194" s="925"/>
      <c r="F194" s="926"/>
    </row>
    <row r="195" spans="1:6" ht="14.5" customHeight="1" x14ac:dyDescent="0.35">
      <c r="A195" s="725" t="s">
        <v>10</v>
      </c>
      <c r="B195" s="428"/>
      <c r="C195" s="428"/>
      <c r="D195" s="429" t="s">
        <v>188</v>
      </c>
      <c r="E195" s="430">
        <f>SUM(E196:E201)</f>
        <v>1306761</v>
      </c>
      <c r="F195" s="931" t="s">
        <v>47</v>
      </c>
    </row>
    <row r="196" spans="1:6" x14ac:dyDescent="0.35">
      <c r="A196" s="725" t="s">
        <v>10</v>
      </c>
      <c r="B196" s="431" t="s">
        <v>103</v>
      </c>
      <c r="C196" s="432" t="s">
        <v>104</v>
      </c>
      <c r="D196" s="433"/>
      <c r="E196" s="418"/>
      <c r="F196" s="932"/>
    </row>
    <row r="197" spans="1:6" x14ac:dyDescent="0.35">
      <c r="A197" s="725" t="s">
        <v>10</v>
      </c>
      <c r="B197" s="431" t="s">
        <v>105</v>
      </c>
      <c r="C197" s="432" t="s">
        <v>106</v>
      </c>
      <c r="D197" s="433"/>
      <c r="E197" s="418"/>
      <c r="F197" s="932"/>
    </row>
    <row r="198" spans="1:6" x14ac:dyDescent="0.35">
      <c r="A198" s="725" t="s">
        <v>10</v>
      </c>
      <c r="B198" s="431" t="s">
        <v>107</v>
      </c>
      <c r="C198" s="432" t="s">
        <v>108</v>
      </c>
      <c r="D198" s="433"/>
      <c r="E198" s="418"/>
      <c r="F198" s="932"/>
    </row>
    <row r="199" spans="1:6" x14ac:dyDescent="0.35">
      <c r="A199" s="725" t="s">
        <v>10</v>
      </c>
      <c r="B199" s="431" t="s">
        <v>109</v>
      </c>
      <c r="C199" s="432" t="s">
        <v>110</v>
      </c>
      <c r="D199" s="433"/>
      <c r="E199" s="418"/>
      <c r="F199" s="932"/>
    </row>
    <row r="200" spans="1:6" x14ac:dyDescent="0.35">
      <c r="A200" s="725" t="s">
        <v>10</v>
      </c>
      <c r="B200" s="431" t="s">
        <v>94</v>
      </c>
      <c r="C200" s="432" t="s">
        <v>111</v>
      </c>
      <c r="D200" s="433"/>
      <c r="E200" s="418"/>
      <c r="F200" s="932"/>
    </row>
    <row r="201" spans="1:6" ht="16" thickBot="1" x14ac:dyDescent="0.4">
      <c r="A201" s="725" t="s">
        <v>10</v>
      </c>
      <c r="B201" s="434" t="s">
        <v>112</v>
      </c>
      <c r="C201" s="435" t="s">
        <v>113</v>
      </c>
      <c r="D201" s="436" t="s">
        <v>367</v>
      </c>
      <c r="E201" s="437">
        <f>'8.tab.'!Z46</f>
        <v>1306761</v>
      </c>
      <c r="F201" s="950"/>
    </row>
    <row r="202" spans="1:6" s="32" customFormat="1" ht="21" customHeight="1" x14ac:dyDescent="0.35">
      <c r="A202" s="724" t="s">
        <v>121</v>
      </c>
      <c r="B202" s="951" t="s">
        <v>385</v>
      </c>
      <c r="C202" s="952"/>
      <c r="D202" s="952"/>
      <c r="E202" s="952"/>
      <c r="F202" s="953"/>
    </row>
    <row r="203" spans="1:6" s="912" customFormat="1" ht="18.649999999999999" customHeight="1" x14ac:dyDescent="0.35">
      <c r="A203" s="725" t="s">
        <v>121</v>
      </c>
      <c r="B203" s="925" t="s">
        <v>2</v>
      </c>
      <c r="C203" s="925"/>
      <c r="D203" s="925"/>
      <c r="E203" s="925"/>
      <c r="F203" s="926"/>
    </row>
    <row r="204" spans="1:6" s="912" customFormat="1" ht="24.65" hidden="1" customHeight="1" x14ac:dyDescent="0.35">
      <c r="A204" s="725" t="s">
        <v>121</v>
      </c>
      <c r="B204" s="927"/>
      <c r="C204" s="927"/>
      <c r="D204" s="927"/>
      <c r="E204" s="927"/>
      <c r="F204" s="928"/>
    </row>
    <row r="205" spans="1:6" s="912" customFormat="1" ht="20.149999999999999" customHeight="1" x14ac:dyDescent="0.35">
      <c r="A205" s="725" t="s">
        <v>121</v>
      </c>
      <c r="B205" s="925" t="s">
        <v>139</v>
      </c>
      <c r="C205" s="925"/>
      <c r="D205" s="925"/>
      <c r="E205" s="925"/>
      <c r="F205" s="926"/>
    </row>
    <row r="206" spans="1:6" s="912" customFormat="1" ht="22.5" customHeight="1" x14ac:dyDescent="0.35">
      <c r="A206" s="725" t="s">
        <v>121</v>
      </c>
      <c r="B206" s="945" t="s">
        <v>96</v>
      </c>
      <c r="C206" s="945"/>
      <c r="D206" s="945"/>
      <c r="E206" s="945"/>
      <c r="F206" s="946"/>
    </row>
    <row r="207" spans="1:6" ht="14.5" customHeight="1" x14ac:dyDescent="0.35">
      <c r="A207" s="725" t="s">
        <v>121</v>
      </c>
      <c r="B207" s="428"/>
      <c r="C207" s="428"/>
      <c r="D207" s="429" t="s">
        <v>188</v>
      </c>
      <c r="E207" s="430">
        <f>SUM(E208:E213)</f>
        <v>2016</v>
      </c>
      <c r="F207" s="931" t="s">
        <v>99</v>
      </c>
    </row>
    <row r="208" spans="1:6" x14ac:dyDescent="0.35">
      <c r="A208" s="725" t="s">
        <v>121</v>
      </c>
      <c r="B208" s="431" t="s">
        <v>103</v>
      </c>
      <c r="C208" s="432" t="s">
        <v>104</v>
      </c>
      <c r="D208" s="433"/>
      <c r="E208" s="418"/>
      <c r="F208" s="932"/>
    </row>
    <row r="209" spans="1:6" x14ac:dyDescent="0.35">
      <c r="A209" s="725" t="s">
        <v>121</v>
      </c>
      <c r="B209" s="431" t="s">
        <v>105</v>
      </c>
      <c r="C209" s="432" t="s">
        <v>106</v>
      </c>
      <c r="D209" s="433"/>
      <c r="E209" s="418"/>
      <c r="F209" s="932"/>
    </row>
    <row r="210" spans="1:6" ht="283.5" customHeight="1" x14ac:dyDescent="0.35">
      <c r="A210" s="725" t="s">
        <v>121</v>
      </c>
      <c r="B210" s="431" t="s">
        <v>107</v>
      </c>
      <c r="C210" s="432" t="s">
        <v>108</v>
      </c>
      <c r="D210" s="433" t="s">
        <v>360</v>
      </c>
      <c r="E210" s="418">
        <v>2016</v>
      </c>
      <c r="F210" s="932"/>
    </row>
    <row r="211" spans="1:6" x14ac:dyDescent="0.35">
      <c r="A211" s="725" t="s">
        <v>121</v>
      </c>
      <c r="B211" s="431" t="s">
        <v>109</v>
      </c>
      <c r="C211" s="432" t="s">
        <v>110</v>
      </c>
      <c r="D211" s="433"/>
      <c r="E211" s="418"/>
      <c r="F211" s="932"/>
    </row>
    <row r="212" spans="1:6" x14ac:dyDescent="0.35">
      <c r="A212" s="725" t="s">
        <v>121</v>
      </c>
      <c r="B212" s="431" t="s">
        <v>94</v>
      </c>
      <c r="C212" s="432" t="s">
        <v>111</v>
      </c>
      <c r="D212" s="433"/>
      <c r="E212" s="418"/>
      <c r="F212" s="932"/>
    </row>
    <row r="213" spans="1:6" ht="16" thickBot="1" x14ac:dyDescent="0.4">
      <c r="A213" s="727" t="s">
        <v>121</v>
      </c>
      <c r="B213" s="434" t="s">
        <v>112</v>
      </c>
      <c r="C213" s="435" t="s">
        <v>113</v>
      </c>
      <c r="D213" s="436"/>
      <c r="E213" s="437"/>
      <c r="F213" s="950"/>
    </row>
    <row r="214" spans="1:6" ht="33" customHeight="1" x14ac:dyDescent="0.35">
      <c r="A214" s="724" t="s">
        <v>122</v>
      </c>
      <c r="B214" s="951" t="s">
        <v>386</v>
      </c>
      <c r="C214" s="952"/>
      <c r="D214" s="952"/>
      <c r="E214" s="952"/>
      <c r="F214" s="953"/>
    </row>
    <row r="215" spans="1:6" s="367" customFormat="1" ht="18.649999999999999" customHeight="1" x14ac:dyDescent="0.35">
      <c r="A215" s="725" t="s">
        <v>122</v>
      </c>
      <c r="B215" s="925" t="s">
        <v>2</v>
      </c>
      <c r="C215" s="925"/>
      <c r="D215" s="925"/>
      <c r="E215" s="925"/>
      <c r="F215" s="926"/>
    </row>
    <row r="216" spans="1:6" s="367" customFormat="1" ht="18.649999999999999" hidden="1" customHeight="1" x14ac:dyDescent="0.35">
      <c r="A216" s="725" t="s">
        <v>122</v>
      </c>
      <c r="B216" s="927"/>
      <c r="C216" s="927"/>
      <c r="D216" s="927"/>
      <c r="E216" s="927"/>
      <c r="F216" s="928"/>
    </row>
    <row r="217" spans="1:6" s="367" customFormat="1" ht="18.649999999999999" customHeight="1" x14ac:dyDescent="0.35">
      <c r="A217" s="725" t="s">
        <v>122</v>
      </c>
      <c r="B217" s="925" t="s">
        <v>11</v>
      </c>
      <c r="C217" s="925"/>
      <c r="D217" s="925"/>
      <c r="E217" s="925"/>
      <c r="F217" s="926"/>
    </row>
    <row r="218" spans="1:6" s="367" customFormat="1" ht="18.649999999999999" customHeight="1" x14ac:dyDescent="0.35">
      <c r="A218" s="725" t="s">
        <v>122</v>
      </c>
      <c r="B218" s="929" t="s">
        <v>48</v>
      </c>
      <c r="C218" s="929"/>
      <c r="D218" s="929"/>
      <c r="E218" s="929"/>
      <c r="F218" s="930"/>
    </row>
    <row r="219" spans="1:6" ht="14.5" customHeight="1" x14ac:dyDescent="0.35">
      <c r="A219" s="725" t="s">
        <v>122</v>
      </c>
      <c r="B219" s="428"/>
      <c r="C219" s="428"/>
      <c r="D219" s="429" t="s">
        <v>115</v>
      </c>
      <c r="E219" s="430">
        <f>SUM(E220:E225)</f>
        <v>1417668</v>
      </c>
      <c r="F219" s="931" t="s">
        <v>86</v>
      </c>
    </row>
    <row r="220" spans="1:6" x14ac:dyDescent="0.35">
      <c r="A220" s="725" t="s">
        <v>122</v>
      </c>
      <c r="B220" s="431" t="s">
        <v>103</v>
      </c>
      <c r="C220" s="432" t="s">
        <v>104</v>
      </c>
      <c r="D220" s="433"/>
      <c r="E220" s="418"/>
      <c r="F220" s="932"/>
    </row>
    <row r="221" spans="1:6" x14ac:dyDescent="0.35">
      <c r="A221" s="725" t="s">
        <v>122</v>
      </c>
      <c r="B221" s="431" t="s">
        <v>105</v>
      </c>
      <c r="C221" s="432" t="s">
        <v>106</v>
      </c>
      <c r="D221" s="433"/>
      <c r="E221" s="418"/>
      <c r="F221" s="932"/>
    </row>
    <row r="222" spans="1:6" x14ac:dyDescent="0.35">
      <c r="A222" s="725" t="s">
        <v>122</v>
      </c>
      <c r="B222" s="431" t="s">
        <v>107</v>
      </c>
      <c r="C222" s="432" t="s">
        <v>108</v>
      </c>
      <c r="D222" s="433"/>
      <c r="E222" s="418"/>
      <c r="F222" s="932"/>
    </row>
    <row r="223" spans="1:6" x14ac:dyDescent="0.35">
      <c r="A223" s="725" t="s">
        <v>122</v>
      </c>
      <c r="B223" s="431" t="s">
        <v>109</v>
      </c>
      <c r="C223" s="432" t="s">
        <v>110</v>
      </c>
      <c r="D223" s="433"/>
      <c r="E223" s="418"/>
      <c r="F223" s="932"/>
    </row>
    <row r="224" spans="1:6" x14ac:dyDescent="0.35">
      <c r="A224" s="725" t="s">
        <v>122</v>
      </c>
      <c r="B224" s="431" t="s">
        <v>94</v>
      </c>
      <c r="C224" s="432" t="s">
        <v>111</v>
      </c>
      <c r="D224" s="433" t="s">
        <v>359</v>
      </c>
      <c r="E224" s="418">
        <f>'9.tab.'!AA39</f>
        <v>1417668</v>
      </c>
      <c r="F224" s="932"/>
    </row>
    <row r="225" spans="1:6" ht="16" thickBot="1" x14ac:dyDescent="0.4">
      <c r="A225" s="727" t="s">
        <v>122</v>
      </c>
      <c r="B225" s="434" t="s">
        <v>112</v>
      </c>
      <c r="C225" s="435" t="s">
        <v>113</v>
      </c>
      <c r="D225" s="436"/>
      <c r="E225" s="437"/>
      <c r="F225" s="950"/>
    </row>
    <row r="226" spans="1:6" ht="14.5" x14ac:dyDescent="0.35">
      <c r="A226" s="724" t="s">
        <v>351</v>
      </c>
      <c r="B226" s="922" t="s">
        <v>352</v>
      </c>
      <c r="C226" s="923"/>
      <c r="D226" s="923"/>
      <c r="E226" s="923"/>
      <c r="F226" s="924"/>
    </row>
    <row r="227" spans="1:6" ht="14.5" x14ac:dyDescent="0.35">
      <c r="A227" s="725" t="s">
        <v>351</v>
      </c>
      <c r="B227" s="925" t="s">
        <v>2</v>
      </c>
      <c r="C227" s="925"/>
      <c r="D227" s="925"/>
      <c r="E227" s="925"/>
      <c r="F227" s="926"/>
    </row>
    <row r="228" spans="1:6" ht="14.5" hidden="1" x14ac:dyDescent="0.35">
      <c r="A228" s="725" t="s">
        <v>351</v>
      </c>
      <c r="B228" s="927"/>
      <c r="C228" s="927"/>
      <c r="D228" s="927"/>
      <c r="E228" s="927"/>
      <c r="F228" s="928"/>
    </row>
    <row r="229" spans="1:6" ht="14.5" x14ac:dyDescent="0.35">
      <c r="A229" s="725" t="s">
        <v>351</v>
      </c>
      <c r="B229" s="925" t="s">
        <v>353</v>
      </c>
      <c r="C229" s="925"/>
      <c r="D229" s="925"/>
      <c r="E229" s="925"/>
      <c r="F229" s="926"/>
    </row>
    <row r="230" spans="1:6" ht="14.5" x14ac:dyDescent="0.35">
      <c r="A230" s="725" t="s">
        <v>351</v>
      </c>
      <c r="B230" s="929" t="s">
        <v>354</v>
      </c>
      <c r="C230" s="929"/>
      <c r="D230" s="929"/>
      <c r="E230" s="929"/>
      <c r="F230" s="930"/>
    </row>
    <row r="231" spans="1:6" ht="15" customHeight="1" x14ac:dyDescent="0.35">
      <c r="A231" s="725" t="s">
        <v>351</v>
      </c>
      <c r="B231" s="428"/>
      <c r="C231" s="428"/>
      <c r="D231" s="429" t="s">
        <v>188</v>
      </c>
      <c r="E231" s="430">
        <f>SUM(E232:E237)</f>
        <v>56980</v>
      </c>
      <c r="F231" s="931" t="s">
        <v>355</v>
      </c>
    </row>
    <row r="232" spans="1:6" x14ac:dyDescent="0.35">
      <c r="A232" s="725" t="s">
        <v>351</v>
      </c>
      <c r="B232" s="832" t="s">
        <v>103</v>
      </c>
      <c r="C232" s="833" t="s">
        <v>104</v>
      </c>
      <c r="D232" s="834"/>
      <c r="E232" s="835"/>
      <c r="F232" s="932"/>
    </row>
    <row r="233" spans="1:6" x14ac:dyDescent="0.35">
      <c r="A233" s="725" t="s">
        <v>351</v>
      </c>
      <c r="B233" s="832" t="s">
        <v>105</v>
      </c>
      <c r="C233" s="833" t="s">
        <v>106</v>
      </c>
      <c r="D233" s="834"/>
      <c r="E233" s="835"/>
      <c r="F233" s="932"/>
    </row>
    <row r="234" spans="1:6" x14ac:dyDescent="0.35">
      <c r="A234" s="725" t="s">
        <v>351</v>
      </c>
      <c r="B234" s="832" t="s">
        <v>107</v>
      </c>
      <c r="C234" s="833" t="s">
        <v>108</v>
      </c>
      <c r="D234" s="834"/>
      <c r="E234" s="835"/>
      <c r="F234" s="932"/>
    </row>
    <row r="235" spans="1:6" x14ac:dyDescent="0.35">
      <c r="A235" s="725" t="s">
        <v>351</v>
      </c>
      <c r="B235" s="832" t="s">
        <v>109</v>
      </c>
      <c r="C235" s="833" t="s">
        <v>110</v>
      </c>
      <c r="D235" s="834"/>
      <c r="E235" s="835"/>
      <c r="F235" s="932"/>
    </row>
    <row r="236" spans="1:6" ht="209.5" customHeight="1" x14ac:dyDescent="0.35">
      <c r="A236" s="725" t="s">
        <v>351</v>
      </c>
      <c r="B236" s="832" t="s">
        <v>94</v>
      </c>
      <c r="C236" s="833" t="s">
        <v>111</v>
      </c>
      <c r="D236" s="864" t="s">
        <v>356</v>
      </c>
      <c r="E236" s="835">
        <f>77*740</f>
        <v>56980</v>
      </c>
      <c r="F236" s="932"/>
    </row>
    <row r="237" spans="1:6" x14ac:dyDescent="0.35">
      <c r="A237" s="725" t="s">
        <v>351</v>
      </c>
      <c r="B237" s="431" t="s">
        <v>112</v>
      </c>
      <c r="C237" s="432" t="s">
        <v>113</v>
      </c>
      <c r="D237" s="433"/>
      <c r="E237" s="418"/>
      <c r="F237" s="933"/>
    </row>
    <row r="238" spans="1:6" ht="46" customHeight="1" thickBot="1" x14ac:dyDescent="0.4">
      <c r="A238" s="727" t="s">
        <v>351</v>
      </c>
      <c r="B238" s="934" t="s">
        <v>362</v>
      </c>
      <c r="C238" s="934"/>
      <c r="D238" s="934"/>
      <c r="E238" s="934"/>
      <c r="F238" s="935"/>
    </row>
  </sheetData>
  <mergeCells count="123">
    <mergeCell ref="G2:H11"/>
    <mergeCell ref="B3:F3"/>
    <mergeCell ref="B4:F4"/>
    <mergeCell ref="B5:B6"/>
    <mergeCell ref="C5:C6"/>
    <mergeCell ref="D5:D6"/>
    <mergeCell ref="E5:E6"/>
    <mergeCell ref="F5:F6"/>
    <mergeCell ref="F31:F37"/>
    <mergeCell ref="B30:F30"/>
    <mergeCell ref="A2:F2"/>
    <mergeCell ref="B183:F183"/>
    <mergeCell ref="B156:F156"/>
    <mergeCell ref="B157:F157"/>
    <mergeCell ref="B158:F158"/>
    <mergeCell ref="B160:F160"/>
    <mergeCell ref="B168:F168"/>
    <mergeCell ref="B169:F169"/>
    <mergeCell ref="B135:F135"/>
    <mergeCell ref="B136:F136"/>
    <mergeCell ref="B144:F144"/>
    <mergeCell ref="B145:F145"/>
    <mergeCell ref="B146:F146"/>
    <mergeCell ref="B148:F148"/>
    <mergeCell ref="B147:F147"/>
    <mergeCell ref="B182:F182"/>
    <mergeCell ref="B170:F170"/>
    <mergeCell ref="B171:F171"/>
    <mergeCell ref="B179:F179"/>
    <mergeCell ref="F137:F143"/>
    <mergeCell ref="B180:F180"/>
    <mergeCell ref="B181:F181"/>
    <mergeCell ref="B159:F159"/>
    <mergeCell ref="F161:F167"/>
    <mergeCell ref="F172:F178"/>
    <mergeCell ref="F219:F225"/>
    <mergeCell ref="F184:F190"/>
    <mergeCell ref="B204:F204"/>
    <mergeCell ref="B206:F206"/>
    <mergeCell ref="B214:F214"/>
    <mergeCell ref="B215:F215"/>
    <mergeCell ref="B216:F216"/>
    <mergeCell ref="B218:F218"/>
    <mergeCell ref="B205:F205"/>
    <mergeCell ref="B217:F217"/>
    <mergeCell ref="B191:F191"/>
    <mergeCell ref="B192:F192"/>
    <mergeCell ref="B193:F193"/>
    <mergeCell ref="B194:F194"/>
    <mergeCell ref="B202:F202"/>
    <mergeCell ref="B203:F203"/>
    <mergeCell ref="F195:F201"/>
    <mergeCell ref="F207:F213"/>
    <mergeCell ref="A1:F1"/>
    <mergeCell ref="C7:D7"/>
    <mergeCell ref="B14:F14"/>
    <mergeCell ref="B89:F89"/>
    <mergeCell ref="B99:F99"/>
    <mergeCell ref="F45:F51"/>
    <mergeCell ref="B42:F42"/>
    <mergeCell ref="B57:F57"/>
    <mergeCell ref="F58:F64"/>
    <mergeCell ref="B53:F53"/>
    <mergeCell ref="B54:F54"/>
    <mergeCell ref="B55:F55"/>
    <mergeCell ref="B56:F56"/>
    <mergeCell ref="B65:F65"/>
    <mergeCell ref="D46:D47"/>
    <mergeCell ref="B27:F27"/>
    <mergeCell ref="B44:F44"/>
    <mergeCell ref="B38:F38"/>
    <mergeCell ref="B39:F39"/>
    <mergeCell ref="B29:F29"/>
    <mergeCell ref="B28:F28"/>
    <mergeCell ref="B40:F40"/>
    <mergeCell ref="B41:F41"/>
    <mergeCell ref="B43:F43"/>
    <mergeCell ref="F149:F155"/>
    <mergeCell ref="B123:F123"/>
    <mergeCell ref="B124:F124"/>
    <mergeCell ref="B125:F125"/>
    <mergeCell ref="F104:F110"/>
    <mergeCell ref="F115:F121"/>
    <mergeCell ref="F126:F132"/>
    <mergeCell ref="B66:F66"/>
    <mergeCell ref="B122:F122"/>
    <mergeCell ref="B133:F133"/>
    <mergeCell ref="B134:F134"/>
    <mergeCell ref="B88:F88"/>
    <mergeCell ref="B90:F90"/>
    <mergeCell ref="B114:F114"/>
    <mergeCell ref="B67:F67"/>
    <mergeCell ref="B68:F68"/>
    <mergeCell ref="B111:F111"/>
    <mergeCell ref="B112:F112"/>
    <mergeCell ref="B113:F113"/>
    <mergeCell ref="B76:F76"/>
    <mergeCell ref="B77:F77"/>
    <mergeCell ref="B79:F79"/>
    <mergeCell ref="B226:F226"/>
    <mergeCell ref="B227:F227"/>
    <mergeCell ref="B228:F228"/>
    <mergeCell ref="B229:F229"/>
    <mergeCell ref="B230:F230"/>
    <mergeCell ref="F231:F237"/>
    <mergeCell ref="B238:F238"/>
    <mergeCell ref="F7:F13"/>
    <mergeCell ref="B15:F15"/>
    <mergeCell ref="B16:F16"/>
    <mergeCell ref="B17:F17"/>
    <mergeCell ref="B18:F18"/>
    <mergeCell ref="F19:F25"/>
    <mergeCell ref="B26:F26"/>
    <mergeCell ref="B102:F102"/>
    <mergeCell ref="F80:F86"/>
    <mergeCell ref="B87:F87"/>
    <mergeCell ref="B103:F103"/>
    <mergeCell ref="B78:F78"/>
    <mergeCell ref="B100:F100"/>
    <mergeCell ref="B101:F101"/>
    <mergeCell ref="B91:F91"/>
    <mergeCell ref="F92:F98"/>
    <mergeCell ref="B52:F52"/>
  </mergeCells>
  <pageMargins left="0.90551181102362199" right="0.70866141732283505" top="0.74803149606299202" bottom="0.44" header="0.31496062992126" footer="0.31496062992126"/>
  <pageSetup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2635C-5943-46EE-96BE-933CFE073236}">
  <dimension ref="A1:Z32"/>
  <sheetViews>
    <sheetView zoomScale="70" zoomScaleNormal="70" workbookViewId="0">
      <selection activeCell="A3" sqref="A3:Z3"/>
    </sheetView>
  </sheetViews>
  <sheetFormatPr defaultColWidth="8.81640625" defaultRowHeight="14" x14ac:dyDescent="0.3"/>
  <cols>
    <col min="1" max="1" width="22" style="3" customWidth="1"/>
    <col min="2" max="2" width="7.54296875" style="3" customWidth="1"/>
    <col min="3" max="3" width="12.453125" style="3" customWidth="1"/>
    <col min="4" max="4" width="7.54296875" style="3" customWidth="1"/>
    <col min="5" max="5" width="12.453125" style="3" customWidth="1"/>
    <col min="6" max="6" width="7.54296875" style="3" customWidth="1"/>
    <col min="7" max="7" width="12.453125" style="3" customWidth="1"/>
    <col min="8" max="8" width="7.54296875" style="3" customWidth="1"/>
    <col min="9" max="9" width="12.453125" style="3" customWidth="1"/>
    <col min="10" max="10" width="7.54296875" style="3" customWidth="1"/>
    <col min="11" max="11" width="12.453125" style="3" customWidth="1"/>
    <col min="12" max="12" width="7.54296875" style="3" customWidth="1"/>
    <col min="13" max="13" width="12.453125" style="3" customWidth="1"/>
    <col min="14" max="14" width="7.54296875" style="3" customWidth="1"/>
    <col min="15" max="15" width="12.453125" style="3" customWidth="1"/>
    <col min="16" max="16" width="7.54296875" style="3" customWidth="1"/>
    <col min="17" max="17" width="12.453125" style="3" customWidth="1"/>
    <col min="18" max="18" width="7.54296875" style="3" customWidth="1"/>
    <col min="19" max="19" width="12.453125" style="3" customWidth="1"/>
    <col min="20" max="20" width="7.54296875" style="3" customWidth="1"/>
    <col min="21" max="21" width="12.453125" style="3" customWidth="1"/>
    <col min="22" max="22" width="7.54296875" style="3" customWidth="1"/>
    <col min="23" max="23" width="12.453125" style="3" customWidth="1"/>
    <col min="24" max="24" width="7.54296875" style="3" customWidth="1"/>
    <col min="25" max="25" width="12.453125" style="3" customWidth="1"/>
    <col min="26" max="26" width="15.453125" style="3" customWidth="1"/>
    <col min="27" max="16384" width="8.81640625" style="3"/>
  </cols>
  <sheetData>
    <row r="1" spans="1:26" s="33" customFormat="1" x14ac:dyDescent="0.3">
      <c r="A1" s="1000" t="s">
        <v>138</v>
      </c>
      <c r="B1" s="1000"/>
      <c r="C1" s="1000"/>
      <c r="D1" s="1000"/>
      <c r="E1" s="1000"/>
      <c r="F1" s="1000"/>
      <c r="G1" s="1000"/>
      <c r="H1" s="1000"/>
      <c r="I1" s="1000"/>
      <c r="J1" s="1000"/>
      <c r="K1" s="1000"/>
      <c r="L1" s="1000"/>
      <c r="M1" s="1000"/>
      <c r="N1" s="1000"/>
      <c r="O1" s="1000"/>
      <c r="P1" s="1000"/>
      <c r="Q1" s="1000"/>
      <c r="R1" s="1000"/>
      <c r="S1" s="1000"/>
      <c r="T1" s="1000"/>
      <c r="U1" s="1000"/>
      <c r="V1" s="1000"/>
      <c r="W1" s="1000"/>
      <c r="X1" s="1000"/>
      <c r="Y1" s="1000"/>
      <c r="Z1" s="1000"/>
    </row>
    <row r="2" spans="1:26" s="33" customFormat="1" x14ac:dyDescent="0.3">
      <c r="A2" s="1000" t="s">
        <v>243</v>
      </c>
      <c r="B2" s="1000"/>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row>
    <row r="3" spans="1:26" s="33" customFormat="1" ht="18" x14ac:dyDescent="0.3">
      <c r="A3" s="1001" t="str">
        <f>[1]Ietekme_LM_2026_Sandra!B15</f>
        <v>3.3. Virsstundu darba vai papildu darba apmaksa bāriņtiesu un pašvaldības sociālo dienestu darbiniekiem</v>
      </c>
      <c r="B3" s="1001"/>
      <c r="C3" s="1001"/>
      <c r="D3" s="1001"/>
      <c r="E3" s="1001"/>
      <c r="F3" s="1002"/>
      <c r="G3" s="1002"/>
      <c r="H3" s="1002"/>
      <c r="I3" s="1002"/>
      <c r="J3" s="1002"/>
      <c r="K3" s="1002"/>
      <c r="L3" s="1002"/>
      <c r="M3" s="1002"/>
      <c r="N3" s="1002"/>
      <c r="O3" s="1002"/>
      <c r="P3" s="1002"/>
      <c r="Q3" s="1002"/>
      <c r="R3" s="1002"/>
      <c r="S3" s="1002"/>
      <c r="T3" s="1002"/>
      <c r="U3" s="1002"/>
      <c r="V3" s="1002"/>
      <c r="W3" s="1002"/>
      <c r="X3" s="1002"/>
      <c r="Y3" s="1002"/>
      <c r="Z3" s="1002"/>
    </row>
    <row r="4" spans="1:26" s="33" customFormat="1" x14ac:dyDescent="0.3">
      <c r="A4" s="993" t="s">
        <v>38</v>
      </c>
      <c r="B4" s="991" t="s">
        <v>82</v>
      </c>
      <c r="C4" s="991"/>
      <c r="D4" s="991" t="s">
        <v>82</v>
      </c>
      <c r="E4" s="991"/>
      <c r="F4" s="991" t="s">
        <v>82</v>
      </c>
      <c r="G4" s="991"/>
      <c r="H4" s="991" t="s">
        <v>82</v>
      </c>
      <c r="I4" s="991"/>
      <c r="J4" s="991" t="s">
        <v>82</v>
      </c>
      <c r="K4" s="991"/>
      <c r="L4" s="991" t="s">
        <v>82</v>
      </c>
      <c r="M4" s="991"/>
      <c r="N4" s="991" t="s">
        <v>82</v>
      </c>
      <c r="O4" s="991"/>
      <c r="P4" s="991" t="s">
        <v>82</v>
      </c>
      <c r="Q4" s="991"/>
      <c r="R4" s="991" t="s">
        <v>82</v>
      </c>
      <c r="S4" s="991"/>
      <c r="T4" s="991" t="s">
        <v>82</v>
      </c>
      <c r="U4" s="991"/>
      <c r="V4" s="991" t="s">
        <v>82</v>
      </c>
      <c r="W4" s="991"/>
      <c r="X4" s="991" t="s">
        <v>82</v>
      </c>
      <c r="Y4" s="999"/>
      <c r="Z4" s="997" t="s">
        <v>82</v>
      </c>
    </row>
    <row r="5" spans="1:26" s="33" customFormat="1" x14ac:dyDescent="0.3">
      <c r="A5" s="993"/>
      <c r="B5" s="988" t="s">
        <v>87</v>
      </c>
      <c r="C5" s="988"/>
      <c r="D5" s="988" t="s">
        <v>88</v>
      </c>
      <c r="E5" s="988"/>
      <c r="F5" s="988" t="s">
        <v>14</v>
      </c>
      <c r="G5" s="988"/>
      <c r="H5" s="988" t="s">
        <v>15</v>
      </c>
      <c r="I5" s="988"/>
      <c r="J5" s="989" t="s">
        <v>16</v>
      </c>
      <c r="K5" s="990"/>
      <c r="L5" s="988" t="s">
        <v>17</v>
      </c>
      <c r="M5" s="988"/>
      <c r="N5" s="989" t="s">
        <v>18</v>
      </c>
      <c r="O5" s="990"/>
      <c r="P5" s="988" t="s">
        <v>19</v>
      </c>
      <c r="Q5" s="988"/>
      <c r="R5" s="989" t="s">
        <v>20</v>
      </c>
      <c r="S5" s="988"/>
      <c r="T5" s="988" t="s">
        <v>21</v>
      </c>
      <c r="U5" s="988"/>
      <c r="V5" s="988" t="s">
        <v>22</v>
      </c>
      <c r="W5" s="988"/>
      <c r="X5" s="988" t="s">
        <v>23</v>
      </c>
      <c r="Y5" s="990"/>
      <c r="Z5" s="998"/>
    </row>
    <row r="6" spans="1:26" s="33" customFormat="1" x14ac:dyDescent="0.3">
      <c r="A6" s="993"/>
      <c r="B6" s="738"/>
      <c r="C6" s="739" t="s">
        <v>24</v>
      </c>
      <c r="D6" s="740"/>
      <c r="E6" s="741" t="s">
        <v>24</v>
      </c>
      <c r="F6" s="738"/>
      <c r="G6" s="739" t="s">
        <v>24</v>
      </c>
      <c r="H6" s="740"/>
      <c r="I6" s="741" t="s">
        <v>24</v>
      </c>
      <c r="J6" s="738"/>
      <c r="K6" s="741" t="s">
        <v>24</v>
      </c>
      <c r="L6" s="738"/>
      <c r="M6" s="741" t="s">
        <v>24</v>
      </c>
      <c r="N6" s="738"/>
      <c r="O6" s="741" t="s">
        <v>24</v>
      </c>
      <c r="P6" s="738"/>
      <c r="Q6" s="741" t="s">
        <v>24</v>
      </c>
      <c r="R6" s="163"/>
      <c r="S6" s="742" t="s">
        <v>24</v>
      </c>
      <c r="T6" s="743"/>
      <c r="U6" s="742" t="s">
        <v>24</v>
      </c>
      <c r="V6" s="743"/>
      <c r="W6" s="742" t="s">
        <v>24</v>
      </c>
      <c r="X6" s="743"/>
      <c r="Y6" s="744" t="s">
        <v>24</v>
      </c>
      <c r="Z6" s="745" t="s">
        <v>24</v>
      </c>
    </row>
    <row r="7" spans="1:26" s="33" customFormat="1" ht="52" x14ac:dyDescent="0.3">
      <c r="A7" s="993"/>
      <c r="B7" s="746" t="s">
        <v>26</v>
      </c>
      <c r="C7" s="747" t="s">
        <v>27</v>
      </c>
      <c r="D7" s="748" t="s">
        <v>26</v>
      </c>
      <c r="E7" s="749" t="s">
        <v>27</v>
      </c>
      <c r="F7" s="746" t="s">
        <v>26</v>
      </c>
      <c r="G7" s="747" t="s">
        <v>27</v>
      </c>
      <c r="H7" s="748" t="s">
        <v>26</v>
      </c>
      <c r="I7" s="749" t="s">
        <v>27</v>
      </c>
      <c r="J7" s="746" t="s">
        <v>26</v>
      </c>
      <c r="K7" s="749" t="s">
        <v>27</v>
      </c>
      <c r="L7" s="746" t="s">
        <v>26</v>
      </c>
      <c r="M7" s="749" t="s">
        <v>27</v>
      </c>
      <c r="N7" s="746" t="s">
        <v>26</v>
      </c>
      <c r="O7" s="749" t="s">
        <v>27</v>
      </c>
      <c r="P7" s="746" t="s">
        <v>26</v>
      </c>
      <c r="Q7" s="749" t="s">
        <v>27</v>
      </c>
      <c r="R7" s="733" t="s">
        <v>26</v>
      </c>
      <c r="S7" s="749" t="s">
        <v>27</v>
      </c>
      <c r="T7" s="750" t="s">
        <v>26</v>
      </c>
      <c r="U7" s="749" t="s">
        <v>27</v>
      </c>
      <c r="V7" s="750" t="s">
        <v>26</v>
      </c>
      <c r="W7" s="749" t="s">
        <v>27</v>
      </c>
      <c r="X7" s="750" t="s">
        <v>26</v>
      </c>
      <c r="Y7" s="751" t="s">
        <v>27</v>
      </c>
      <c r="Z7" s="752" t="s">
        <v>27</v>
      </c>
    </row>
    <row r="8" spans="1:26" s="87" customFormat="1" ht="10.5" x14ac:dyDescent="0.25">
      <c r="A8" s="753" t="s">
        <v>39</v>
      </c>
      <c r="B8" s="754">
        <v>1</v>
      </c>
      <c r="C8" s="755">
        <v>2</v>
      </c>
      <c r="D8" s="756">
        <v>3</v>
      </c>
      <c r="E8" s="757">
        <v>4</v>
      </c>
      <c r="F8" s="754">
        <v>5</v>
      </c>
      <c r="G8" s="755">
        <v>6</v>
      </c>
      <c r="H8" s="756">
        <v>7</v>
      </c>
      <c r="I8" s="757">
        <v>8</v>
      </c>
      <c r="J8" s="754">
        <v>9</v>
      </c>
      <c r="K8" s="757">
        <v>10</v>
      </c>
      <c r="L8" s="754">
        <v>11</v>
      </c>
      <c r="M8" s="757">
        <v>12</v>
      </c>
      <c r="N8" s="754">
        <v>13</v>
      </c>
      <c r="O8" s="757">
        <v>14</v>
      </c>
      <c r="P8" s="754">
        <v>15</v>
      </c>
      <c r="Q8" s="757">
        <v>16</v>
      </c>
      <c r="R8" s="179">
        <v>17</v>
      </c>
      <c r="S8" s="758">
        <v>18</v>
      </c>
      <c r="T8" s="759">
        <v>19</v>
      </c>
      <c r="U8" s="758">
        <v>20</v>
      </c>
      <c r="V8" s="759">
        <v>21</v>
      </c>
      <c r="W8" s="758">
        <v>22</v>
      </c>
      <c r="X8" s="759">
        <v>23</v>
      </c>
      <c r="Y8" s="760">
        <v>24</v>
      </c>
      <c r="Z8" s="761">
        <v>25</v>
      </c>
    </row>
    <row r="9" spans="1:26" s="33" customFormat="1" ht="78" x14ac:dyDescent="0.3">
      <c r="A9" s="762" t="s">
        <v>321</v>
      </c>
      <c r="B9" s="763" t="s">
        <v>32</v>
      </c>
      <c r="C9" s="764">
        <f>C10+C11</f>
        <v>82658.63</v>
      </c>
      <c r="D9" s="763" t="s">
        <v>32</v>
      </c>
      <c r="E9" s="764">
        <f>E10+E11</f>
        <v>175311.62</v>
      </c>
      <c r="F9" s="763" t="s">
        <v>32</v>
      </c>
      <c r="G9" s="764">
        <f>G10+G11</f>
        <v>190022.59000000005</v>
      </c>
      <c r="H9" s="763" t="s">
        <v>32</v>
      </c>
      <c r="I9" s="764">
        <f>I10+I11</f>
        <v>169374.25999999998</v>
      </c>
      <c r="J9" s="185" t="s">
        <v>32</v>
      </c>
      <c r="K9" s="764">
        <f>K10+K11</f>
        <v>169216.83000000002</v>
      </c>
      <c r="L9" s="763" t="s">
        <v>32</v>
      </c>
      <c r="M9" s="764">
        <f>M10+M11</f>
        <v>157080.91999999995</v>
      </c>
      <c r="N9" s="185" t="s">
        <v>32</v>
      </c>
      <c r="O9" s="764">
        <f>O10+O11</f>
        <v>136711.77000000002</v>
      </c>
      <c r="P9" s="763" t="s">
        <v>32</v>
      </c>
      <c r="Q9" s="764">
        <f>Q10+Q11</f>
        <v>133006.24</v>
      </c>
      <c r="R9" s="763" t="s">
        <v>32</v>
      </c>
      <c r="S9" s="764">
        <f>S10+S11</f>
        <v>139827.31999999998</v>
      </c>
      <c r="T9" s="763" t="s">
        <v>32</v>
      </c>
      <c r="U9" s="764">
        <f>U10+U11</f>
        <v>143451.10999999999</v>
      </c>
      <c r="V9" s="763" t="s">
        <v>32</v>
      </c>
      <c r="W9" s="764">
        <f>W10+W11</f>
        <v>139874</v>
      </c>
      <c r="X9" s="763" t="s">
        <v>32</v>
      </c>
      <c r="Y9" s="765">
        <f>Y10+Y11</f>
        <v>170773.15999999997</v>
      </c>
      <c r="Z9" s="766">
        <f>Z10+Z11</f>
        <v>1807308.4500000004</v>
      </c>
    </row>
    <row r="10" spans="1:26" s="33" customFormat="1" x14ac:dyDescent="0.3">
      <c r="A10" s="767" t="s">
        <v>322</v>
      </c>
      <c r="B10" s="763">
        <v>261</v>
      </c>
      <c r="C10" s="768">
        <v>82658.63</v>
      </c>
      <c r="D10" s="763">
        <v>487</v>
      </c>
      <c r="E10" s="768">
        <v>173672.37</v>
      </c>
      <c r="F10" s="763">
        <v>480</v>
      </c>
      <c r="G10" s="768">
        <v>188697.47000000006</v>
      </c>
      <c r="H10" s="763">
        <v>454</v>
      </c>
      <c r="I10" s="768">
        <v>167022.74</v>
      </c>
      <c r="J10" s="185">
        <v>470</v>
      </c>
      <c r="K10" s="769">
        <v>166977.71000000002</v>
      </c>
      <c r="L10" s="763">
        <v>439</v>
      </c>
      <c r="M10" s="768">
        <v>156043.48999999996</v>
      </c>
      <c r="N10" s="185">
        <v>425</v>
      </c>
      <c r="O10" s="769">
        <v>135583.33000000002</v>
      </c>
      <c r="P10" s="763">
        <v>409</v>
      </c>
      <c r="Q10" s="769">
        <v>131023.92</v>
      </c>
      <c r="R10" s="763">
        <v>419</v>
      </c>
      <c r="S10" s="769">
        <v>137360.69999999998</v>
      </c>
      <c r="T10" s="763">
        <v>412</v>
      </c>
      <c r="U10" s="769">
        <v>141563.53</v>
      </c>
      <c r="V10" s="763">
        <v>409</v>
      </c>
      <c r="W10" s="769">
        <v>138271.04000000001</v>
      </c>
      <c r="X10" s="763">
        <v>461</v>
      </c>
      <c r="Y10" s="769">
        <v>169135.05</v>
      </c>
      <c r="Z10" s="770">
        <f>G10+I10+K10+M10+O10+Q10+S10+U10+W10+Y10+C10+E10</f>
        <v>1788009.9800000004</v>
      </c>
    </row>
    <row r="11" spans="1:26" s="33" customFormat="1" x14ac:dyDescent="0.3">
      <c r="A11" s="767" t="s">
        <v>323</v>
      </c>
      <c r="B11" s="763">
        <v>0</v>
      </c>
      <c r="C11" s="768">
        <v>0</v>
      </c>
      <c r="D11" s="763">
        <v>4</v>
      </c>
      <c r="E11" s="768">
        <v>1639.25</v>
      </c>
      <c r="F11" s="763">
        <v>4</v>
      </c>
      <c r="G11" s="768">
        <v>1325.12</v>
      </c>
      <c r="H11" s="763">
        <v>4</v>
      </c>
      <c r="I11" s="768">
        <v>2351.52</v>
      </c>
      <c r="J11" s="185">
        <v>5</v>
      </c>
      <c r="K11" s="769">
        <v>2239.12</v>
      </c>
      <c r="L11" s="763">
        <v>2</v>
      </c>
      <c r="M11" s="768">
        <v>1037.43</v>
      </c>
      <c r="N11" s="185">
        <v>2</v>
      </c>
      <c r="O11" s="769">
        <v>1128.44</v>
      </c>
      <c r="P11" s="763">
        <v>6</v>
      </c>
      <c r="Q11" s="769">
        <v>1982.3200000000002</v>
      </c>
      <c r="R11" s="763">
        <v>7</v>
      </c>
      <c r="S11" s="769">
        <v>2466.62</v>
      </c>
      <c r="T11" s="763">
        <v>5</v>
      </c>
      <c r="U11" s="769">
        <v>1887.5800000000002</v>
      </c>
      <c r="V11" s="763">
        <v>4</v>
      </c>
      <c r="W11" s="769">
        <v>1602.96</v>
      </c>
      <c r="X11" s="763">
        <v>4</v>
      </c>
      <c r="Y11" s="769">
        <v>1638.11</v>
      </c>
      <c r="Z11" s="770">
        <f>G11+I11+K11+M11+O11+Q11+S11+U11+W11+Y11+C11+E11</f>
        <v>19298.47</v>
      </c>
    </row>
    <row r="12" spans="1:26" s="33" customFormat="1" x14ac:dyDescent="0.3">
      <c r="A12" s="771"/>
      <c r="B12" s="772"/>
      <c r="C12" s="773"/>
      <c r="D12" s="772"/>
      <c r="E12" s="773"/>
      <c r="F12" s="772"/>
      <c r="G12" s="773"/>
      <c r="H12" s="772"/>
      <c r="I12" s="773"/>
      <c r="J12" s="772"/>
      <c r="K12" s="773"/>
      <c r="L12" s="772"/>
      <c r="M12" s="773"/>
      <c r="N12" s="772"/>
      <c r="O12" s="773"/>
      <c r="P12" s="772"/>
      <c r="Q12" s="773"/>
      <c r="R12" s="772"/>
      <c r="S12" s="773"/>
      <c r="T12" s="772"/>
      <c r="U12" s="773"/>
      <c r="V12" s="772"/>
      <c r="W12" s="774"/>
      <c r="X12" s="772"/>
      <c r="Y12" s="774"/>
      <c r="Z12" s="774"/>
    </row>
    <row r="13" spans="1:26" x14ac:dyDescent="0.3">
      <c r="A13" s="993" t="s">
        <v>38</v>
      </c>
      <c r="B13" s="991" t="s">
        <v>140</v>
      </c>
      <c r="C13" s="991"/>
      <c r="D13" s="991" t="s">
        <v>140</v>
      </c>
      <c r="E13" s="991"/>
      <c r="F13" s="991" t="s">
        <v>140</v>
      </c>
      <c r="G13" s="991"/>
      <c r="H13" s="991" t="s">
        <v>140</v>
      </c>
      <c r="I13" s="991"/>
      <c r="J13" s="991" t="s">
        <v>140</v>
      </c>
      <c r="K13" s="991"/>
      <c r="L13" s="991" t="s">
        <v>140</v>
      </c>
      <c r="M13" s="991"/>
      <c r="N13" s="991" t="s">
        <v>140</v>
      </c>
      <c r="O13" s="991"/>
      <c r="P13" s="991" t="s">
        <v>140</v>
      </c>
      <c r="Q13" s="991"/>
      <c r="R13" s="991" t="s">
        <v>140</v>
      </c>
      <c r="S13" s="991"/>
      <c r="T13" s="991" t="s">
        <v>140</v>
      </c>
      <c r="U13" s="991"/>
      <c r="V13" s="991" t="s">
        <v>140</v>
      </c>
      <c r="W13" s="991"/>
      <c r="X13" s="991" t="s">
        <v>140</v>
      </c>
      <c r="Y13" s="991"/>
      <c r="Z13" s="997" t="s">
        <v>140</v>
      </c>
    </row>
    <row r="14" spans="1:26" x14ac:dyDescent="0.3">
      <c r="A14" s="993"/>
      <c r="B14" s="988" t="s">
        <v>87</v>
      </c>
      <c r="C14" s="988"/>
      <c r="D14" s="988" t="s">
        <v>88</v>
      </c>
      <c r="E14" s="988"/>
      <c r="F14" s="988" t="s">
        <v>14</v>
      </c>
      <c r="G14" s="988"/>
      <c r="H14" s="988" t="s">
        <v>15</v>
      </c>
      <c r="I14" s="988"/>
      <c r="J14" s="989" t="s">
        <v>16</v>
      </c>
      <c r="K14" s="990"/>
      <c r="L14" s="988" t="s">
        <v>17</v>
      </c>
      <c r="M14" s="988"/>
      <c r="N14" s="989" t="s">
        <v>18</v>
      </c>
      <c r="O14" s="990"/>
      <c r="P14" s="988" t="s">
        <v>19</v>
      </c>
      <c r="Q14" s="988"/>
      <c r="R14" s="989" t="s">
        <v>20</v>
      </c>
      <c r="S14" s="988"/>
      <c r="T14" s="988" t="s">
        <v>21</v>
      </c>
      <c r="U14" s="988"/>
      <c r="V14" s="988" t="s">
        <v>22</v>
      </c>
      <c r="W14" s="988"/>
      <c r="X14" s="988" t="s">
        <v>23</v>
      </c>
      <c r="Y14" s="988"/>
      <c r="Z14" s="998"/>
    </row>
    <row r="15" spans="1:26" x14ac:dyDescent="0.3">
      <c r="A15" s="993"/>
      <c r="B15" s="738"/>
      <c r="C15" s="739" t="s">
        <v>24</v>
      </c>
      <c r="D15" s="740"/>
      <c r="E15" s="741" t="s">
        <v>24</v>
      </c>
      <c r="F15" s="738"/>
      <c r="G15" s="739" t="s">
        <v>24</v>
      </c>
      <c r="H15" s="740"/>
      <c r="I15" s="741" t="s">
        <v>24</v>
      </c>
      <c r="J15" s="738"/>
      <c r="K15" s="741" t="s">
        <v>24</v>
      </c>
      <c r="L15" s="738"/>
      <c r="M15" s="741" t="s">
        <v>24</v>
      </c>
      <c r="N15" s="738"/>
      <c r="O15" s="741" t="s">
        <v>24</v>
      </c>
      <c r="P15" s="738"/>
      <c r="Q15" s="741" t="s">
        <v>24</v>
      </c>
      <c r="R15" s="163"/>
      <c r="S15" s="742" t="s">
        <v>24</v>
      </c>
      <c r="T15" s="743"/>
      <c r="U15" s="742" t="s">
        <v>24</v>
      </c>
      <c r="V15" s="743"/>
      <c r="W15" s="742" t="s">
        <v>24</v>
      </c>
      <c r="X15" s="743"/>
      <c r="Y15" s="742" t="s">
        <v>24</v>
      </c>
      <c r="Z15" s="745" t="s">
        <v>24</v>
      </c>
    </row>
    <row r="16" spans="1:26" ht="52" x14ac:dyDescent="0.3">
      <c r="A16" s="993"/>
      <c r="B16" s="746" t="s">
        <v>26</v>
      </c>
      <c r="C16" s="747" t="s">
        <v>27</v>
      </c>
      <c r="D16" s="748" t="s">
        <v>26</v>
      </c>
      <c r="E16" s="749" t="s">
        <v>27</v>
      </c>
      <c r="F16" s="746" t="s">
        <v>26</v>
      </c>
      <c r="G16" s="747" t="s">
        <v>27</v>
      </c>
      <c r="H16" s="748" t="s">
        <v>26</v>
      </c>
      <c r="I16" s="749" t="s">
        <v>27</v>
      </c>
      <c r="J16" s="746" t="s">
        <v>26</v>
      </c>
      <c r="K16" s="749" t="s">
        <v>27</v>
      </c>
      <c r="L16" s="746" t="s">
        <v>26</v>
      </c>
      <c r="M16" s="749" t="s">
        <v>27</v>
      </c>
      <c r="N16" s="746" t="s">
        <v>26</v>
      </c>
      <c r="O16" s="749" t="s">
        <v>27</v>
      </c>
      <c r="P16" s="746" t="s">
        <v>26</v>
      </c>
      <c r="Q16" s="749" t="s">
        <v>27</v>
      </c>
      <c r="R16" s="733" t="s">
        <v>26</v>
      </c>
      <c r="S16" s="749" t="s">
        <v>27</v>
      </c>
      <c r="T16" s="750" t="s">
        <v>26</v>
      </c>
      <c r="U16" s="749" t="s">
        <v>27</v>
      </c>
      <c r="V16" s="750" t="s">
        <v>26</v>
      </c>
      <c r="W16" s="749" t="s">
        <v>27</v>
      </c>
      <c r="X16" s="750" t="s">
        <v>26</v>
      </c>
      <c r="Y16" s="751" t="s">
        <v>27</v>
      </c>
      <c r="Z16" s="752" t="s">
        <v>27</v>
      </c>
    </row>
    <row r="17" spans="1:26" s="775" customFormat="1" ht="10.5" x14ac:dyDescent="0.25">
      <c r="A17" s="753" t="s">
        <v>39</v>
      </c>
      <c r="B17" s="754">
        <v>1</v>
      </c>
      <c r="C17" s="755">
        <v>2</v>
      </c>
      <c r="D17" s="756">
        <v>3</v>
      </c>
      <c r="E17" s="757">
        <v>4</v>
      </c>
      <c r="F17" s="754">
        <v>5</v>
      </c>
      <c r="G17" s="755">
        <v>6</v>
      </c>
      <c r="H17" s="756">
        <v>7</v>
      </c>
      <c r="I17" s="757">
        <v>8</v>
      </c>
      <c r="J17" s="754">
        <v>9</v>
      </c>
      <c r="K17" s="757">
        <v>10</v>
      </c>
      <c r="L17" s="754">
        <v>11</v>
      </c>
      <c r="M17" s="757">
        <v>12</v>
      </c>
      <c r="N17" s="754">
        <v>13</v>
      </c>
      <c r="O17" s="757">
        <v>14</v>
      </c>
      <c r="P17" s="754">
        <v>15</v>
      </c>
      <c r="Q17" s="757">
        <v>16</v>
      </c>
      <c r="R17" s="179">
        <v>17</v>
      </c>
      <c r="S17" s="758">
        <v>18</v>
      </c>
      <c r="T17" s="759">
        <v>19</v>
      </c>
      <c r="U17" s="758">
        <v>20</v>
      </c>
      <c r="V17" s="759">
        <v>21</v>
      </c>
      <c r="W17" s="758">
        <v>22</v>
      </c>
      <c r="X17" s="759">
        <v>23</v>
      </c>
      <c r="Y17" s="760">
        <v>24</v>
      </c>
      <c r="Z17" s="761">
        <v>25</v>
      </c>
    </row>
    <row r="18" spans="1:26" ht="78" x14ac:dyDescent="0.3">
      <c r="A18" s="762" t="s">
        <v>321</v>
      </c>
      <c r="B18" s="763" t="s">
        <v>32</v>
      </c>
      <c r="C18" s="764">
        <f>C19+C20</f>
        <v>95185.01</v>
      </c>
      <c r="D18" s="763" t="s">
        <v>32</v>
      </c>
      <c r="E18" s="764">
        <f>E19+E20</f>
        <v>101991.45000000001</v>
      </c>
      <c r="F18" s="763" t="s">
        <v>32</v>
      </c>
      <c r="G18" s="764">
        <f>G19+G20</f>
        <v>118264.76000000001</v>
      </c>
      <c r="H18" s="763" t="s">
        <v>32</v>
      </c>
      <c r="I18" s="764">
        <f>I19+I20</f>
        <v>100611.40999999999</v>
      </c>
      <c r="J18" s="763" t="s">
        <v>32</v>
      </c>
      <c r="K18" s="764">
        <f>K19+K20</f>
        <v>100890.9</v>
      </c>
      <c r="L18" s="763" t="s">
        <v>32</v>
      </c>
      <c r="M18" s="764">
        <f>M19+M20</f>
        <v>85239.97</v>
      </c>
      <c r="N18" s="185" t="s">
        <v>32</v>
      </c>
      <c r="O18" s="764">
        <f>O19+O20</f>
        <v>51453.96</v>
      </c>
      <c r="P18" s="763" t="s">
        <v>32</v>
      </c>
      <c r="Q18" s="764">
        <f>Q19+Q20</f>
        <v>114085.58</v>
      </c>
      <c r="R18" s="763" t="s">
        <v>32</v>
      </c>
      <c r="S18" s="764">
        <f>S19+S20</f>
        <v>78099.73000000001</v>
      </c>
      <c r="T18" s="185" t="s">
        <v>32</v>
      </c>
      <c r="U18" s="764">
        <f>U19+U20</f>
        <v>84374.720000000001</v>
      </c>
      <c r="V18" s="763" t="s">
        <v>32</v>
      </c>
      <c r="W18" s="764">
        <f>W19+W20</f>
        <v>82539.19</v>
      </c>
      <c r="X18" s="763" t="s">
        <v>32</v>
      </c>
      <c r="Y18" s="764">
        <f>Y19+Y20</f>
        <v>70119.55</v>
      </c>
      <c r="Z18" s="766">
        <f>Z19+Z20</f>
        <v>1082856</v>
      </c>
    </row>
    <row r="19" spans="1:26" x14ac:dyDescent="0.3">
      <c r="A19" s="767" t="s">
        <v>322</v>
      </c>
      <c r="B19" s="763">
        <v>272</v>
      </c>
      <c r="C19" s="768">
        <v>93662.48</v>
      </c>
      <c r="D19" s="763">
        <v>312</v>
      </c>
      <c r="E19" s="768">
        <v>99932.37000000001</v>
      </c>
      <c r="F19" s="763">
        <v>327</v>
      </c>
      <c r="G19" s="768">
        <v>116526.23000000001</v>
      </c>
      <c r="H19" s="763">
        <v>296</v>
      </c>
      <c r="I19" s="768">
        <v>98501.54</v>
      </c>
      <c r="J19" s="763">
        <v>311</v>
      </c>
      <c r="K19" s="768">
        <v>98725.87</v>
      </c>
      <c r="L19" s="763">
        <v>288</v>
      </c>
      <c r="M19" s="768">
        <v>83033.279999999999</v>
      </c>
      <c r="N19" s="763">
        <v>234</v>
      </c>
      <c r="O19" s="768">
        <v>49689.99</v>
      </c>
      <c r="P19" s="763">
        <v>284</v>
      </c>
      <c r="Q19" s="768">
        <v>111996.25</v>
      </c>
      <c r="R19" s="763">
        <v>270</v>
      </c>
      <c r="S19" s="768">
        <v>75947.66</v>
      </c>
      <c r="T19" s="763">
        <v>282</v>
      </c>
      <c r="U19" s="768">
        <v>82385.06</v>
      </c>
      <c r="V19" s="763">
        <v>278</v>
      </c>
      <c r="W19" s="768">
        <v>79975.83</v>
      </c>
      <c r="X19" s="763">
        <v>244</v>
      </c>
      <c r="Y19" s="768">
        <v>67415.3</v>
      </c>
      <c r="Z19" s="770">
        <f>ROUND(G19+I19+K19+M19+O19+Q19+S19+U19+W19+Y19+C19+E19,0)</f>
        <v>1057792</v>
      </c>
    </row>
    <row r="20" spans="1:26" x14ac:dyDescent="0.3">
      <c r="A20" s="767" t="s">
        <v>323</v>
      </c>
      <c r="B20" s="763">
        <v>4</v>
      </c>
      <c r="C20" s="768">
        <v>1522.53</v>
      </c>
      <c r="D20" s="763">
        <v>4</v>
      </c>
      <c r="E20" s="768">
        <v>2059.08</v>
      </c>
      <c r="F20" s="763">
        <v>4</v>
      </c>
      <c r="G20" s="768">
        <v>1738.53</v>
      </c>
      <c r="H20" s="763">
        <v>4</v>
      </c>
      <c r="I20" s="768">
        <v>2109.87</v>
      </c>
      <c r="J20" s="763">
        <f>ROUND((H20+F20+D20+B20+X11+V11)/6,0)</f>
        <v>4</v>
      </c>
      <c r="K20" s="768">
        <v>2165.0300000000002</v>
      </c>
      <c r="L20" s="763">
        <v>3</v>
      </c>
      <c r="M20" s="768">
        <v>2206.69</v>
      </c>
      <c r="N20" s="763">
        <v>4</v>
      </c>
      <c r="O20" s="768">
        <v>1763.97</v>
      </c>
      <c r="P20" s="763">
        <v>3</v>
      </c>
      <c r="Q20" s="768">
        <v>2089.33</v>
      </c>
      <c r="R20" s="763">
        <v>4</v>
      </c>
      <c r="S20" s="768">
        <v>2152.0700000000002</v>
      </c>
      <c r="T20" s="763">
        <f>ROUND((R20+P20+N20+L20+J20+H20+F20+D20+B20)/9,0)</f>
        <v>4</v>
      </c>
      <c r="U20" s="768">
        <v>1989.66</v>
      </c>
      <c r="V20" s="763">
        <f t="shared" ref="V20:X20" si="0">T20</f>
        <v>4</v>
      </c>
      <c r="W20" s="768">
        <v>2563.36</v>
      </c>
      <c r="X20" s="763">
        <f t="shared" si="0"/>
        <v>4</v>
      </c>
      <c r="Y20" s="768">
        <v>2704.25</v>
      </c>
      <c r="Z20" s="770">
        <f>ROUND(G20+I20+K20+M20+O20+Q20+S20+U20+W20+Y20+C20+E20,0)</f>
        <v>25064</v>
      </c>
    </row>
    <row r="21" spans="1:26" ht="14.5" thickBot="1" x14ac:dyDescent="0.35"/>
    <row r="22" spans="1:26" x14ac:dyDescent="0.3">
      <c r="A22" s="993" t="s">
        <v>38</v>
      </c>
      <c r="B22" s="991" t="s">
        <v>189</v>
      </c>
      <c r="C22" s="991"/>
      <c r="D22" s="991" t="s">
        <v>189</v>
      </c>
      <c r="E22" s="991"/>
      <c r="F22" s="991" t="s">
        <v>189</v>
      </c>
      <c r="G22" s="991"/>
      <c r="H22" s="991" t="s">
        <v>189</v>
      </c>
      <c r="I22" s="991"/>
      <c r="J22" s="991" t="s">
        <v>189</v>
      </c>
      <c r="K22" s="991"/>
      <c r="L22" s="991" t="s">
        <v>189</v>
      </c>
      <c r="M22" s="991"/>
      <c r="N22" s="991" t="s">
        <v>189</v>
      </c>
      <c r="O22" s="991"/>
      <c r="P22" s="991" t="s">
        <v>189</v>
      </c>
      <c r="Q22" s="991"/>
      <c r="R22" s="991" t="s">
        <v>189</v>
      </c>
      <c r="S22" s="991"/>
      <c r="T22" s="992" t="s">
        <v>189</v>
      </c>
      <c r="U22" s="992"/>
      <c r="V22" s="992" t="s">
        <v>189</v>
      </c>
      <c r="W22" s="994"/>
      <c r="X22" s="995" t="s">
        <v>342</v>
      </c>
      <c r="Y22" s="996"/>
      <c r="Z22" s="986" t="s">
        <v>189</v>
      </c>
    </row>
    <row r="23" spans="1:26" x14ac:dyDescent="0.3">
      <c r="A23" s="993"/>
      <c r="B23" s="988" t="s">
        <v>87</v>
      </c>
      <c r="C23" s="988"/>
      <c r="D23" s="988" t="s">
        <v>88</v>
      </c>
      <c r="E23" s="988"/>
      <c r="F23" s="988" t="s">
        <v>14</v>
      </c>
      <c r="G23" s="988"/>
      <c r="H23" s="988" t="s">
        <v>15</v>
      </c>
      <c r="I23" s="988"/>
      <c r="J23" s="989" t="s">
        <v>16</v>
      </c>
      <c r="K23" s="990"/>
      <c r="L23" s="988" t="s">
        <v>17</v>
      </c>
      <c r="M23" s="988"/>
      <c r="N23" s="989" t="s">
        <v>18</v>
      </c>
      <c r="O23" s="990"/>
      <c r="P23" s="988" t="s">
        <v>19</v>
      </c>
      <c r="Q23" s="988"/>
      <c r="R23" s="989" t="s">
        <v>20</v>
      </c>
      <c r="S23" s="988"/>
      <c r="T23" s="981" t="s">
        <v>343</v>
      </c>
      <c r="U23" s="981"/>
      <c r="V23" s="981" t="s">
        <v>344</v>
      </c>
      <c r="W23" s="982"/>
      <c r="X23" s="983" t="s">
        <v>345</v>
      </c>
      <c r="Y23" s="984"/>
      <c r="Z23" s="987"/>
    </row>
    <row r="24" spans="1:26" x14ac:dyDescent="0.3">
      <c r="A24" s="993"/>
      <c r="B24" s="738"/>
      <c r="C24" s="739" t="s">
        <v>24</v>
      </c>
      <c r="D24" s="740"/>
      <c r="E24" s="741" t="s">
        <v>24</v>
      </c>
      <c r="F24" s="738"/>
      <c r="G24" s="739" t="s">
        <v>24</v>
      </c>
      <c r="H24" s="740"/>
      <c r="I24" s="741" t="s">
        <v>24</v>
      </c>
      <c r="J24" s="738"/>
      <c r="K24" s="741" t="s">
        <v>24</v>
      </c>
      <c r="L24" s="738"/>
      <c r="M24" s="741" t="s">
        <v>24</v>
      </c>
      <c r="N24" s="738"/>
      <c r="O24" s="741" t="s">
        <v>24</v>
      </c>
      <c r="P24" s="738"/>
      <c r="Q24" s="741" t="s">
        <v>24</v>
      </c>
      <c r="R24" s="163"/>
      <c r="S24" s="742" t="s">
        <v>24</v>
      </c>
      <c r="T24" s="777"/>
      <c r="U24" s="776" t="s">
        <v>24</v>
      </c>
      <c r="V24" s="777"/>
      <c r="W24" s="842" t="s">
        <v>24</v>
      </c>
      <c r="X24" s="852"/>
      <c r="Y24" s="853" t="s">
        <v>24</v>
      </c>
      <c r="Z24" s="847" t="s">
        <v>24</v>
      </c>
    </row>
    <row r="25" spans="1:26" ht="52" x14ac:dyDescent="0.3">
      <c r="A25" s="993"/>
      <c r="B25" s="746" t="s">
        <v>26</v>
      </c>
      <c r="C25" s="747" t="s">
        <v>27</v>
      </c>
      <c r="D25" s="748" t="s">
        <v>26</v>
      </c>
      <c r="E25" s="749" t="s">
        <v>27</v>
      </c>
      <c r="F25" s="746" t="s">
        <v>26</v>
      </c>
      <c r="G25" s="747" t="s">
        <v>27</v>
      </c>
      <c r="H25" s="748" t="s">
        <v>26</v>
      </c>
      <c r="I25" s="749" t="s">
        <v>27</v>
      </c>
      <c r="J25" s="746" t="s">
        <v>26</v>
      </c>
      <c r="K25" s="749" t="s">
        <v>27</v>
      </c>
      <c r="L25" s="750" t="s">
        <v>26</v>
      </c>
      <c r="M25" s="749" t="s">
        <v>27</v>
      </c>
      <c r="N25" s="750" t="s">
        <v>26</v>
      </c>
      <c r="O25" s="749" t="s">
        <v>27</v>
      </c>
      <c r="P25" s="750" t="s">
        <v>26</v>
      </c>
      <c r="Q25" s="749" t="s">
        <v>27</v>
      </c>
      <c r="R25" s="750" t="s">
        <v>26</v>
      </c>
      <c r="S25" s="749" t="s">
        <v>27</v>
      </c>
      <c r="T25" s="778" t="s">
        <v>26</v>
      </c>
      <c r="U25" s="779" t="s">
        <v>28</v>
      </c>
      <c r="V25" s="778" t="s">
        <v>26</v>
      </c>
      <c r="W25" s="843" t="s">
        <v>28</v>
      </c>
      <c r="X25" s="854" t="s">
        <v>26</v>
      </c>
      <c r="Y25" s="855" t="s">
        <v>28</v>
      </c>
      <c r="Z25" s="848" t="s">
        <v>28</v>
      </c>
    </row>
    <row r="26" spans="1:26" s="775" customFormat="1" ht="10.5" x14ac:dyDescent="0.25">
      <c r="A26" s="753" t="s">
        <v>39</v>
      </c>
      <c r="B26" s="754">
        <v>1</v>
      </c>
      <c r="C26" s="755">
        <v>2</v>
      </c>
      <c r="D26" s="756">
        <v>3</v>
      </c>
      <c r="E26" s="757">
        <v>4</v>
      </c>
      <c r="F26" s="754">
        <v>5</v>
      </c>
      <c r="G26" s="755">
        <v>6</v>
      </c>
      <c r="H26" s="756">
        <v>7</v>
      </c>
      <c r="I26" s="757">
        <v>8</v>
      </c>
      <c r="J26" s="754">
        <v>9</v>
      </c>
      <c r="K26" s="757">
        <v>10</v>
      </c>
      <c r="L26" s="754">
        <v>11</v>
      </c>
      <c r="M26" s="757">
        <v>12</v>
      </c>
      <c r="N26" s="754">
        <v>13</v>
      </c>
      <c r="O26" s="757">
        <v>14</v>
      </c>
      <c r="P26" s="754">
        <v>15</v>
      </c>
      <c r="Q26" s="757">
        <v>16</v>
      </c>
      <c r="R26" s="179">
        <v>17</v>
      </c>
      <c r="S26" s="758">
        <v>18</v>
      </c>
      <c r="T26" s="781">
        <v>19</v>
      </c>
      <c r="U26" s="780">
        <v>20</v>
      </c>
      <c r="V26" s="781">
        <v>21</v>
      </c>
      <c r="W26" s="844">
        <v>22</v>
      </c>
      <c r="X26" s="856">
        <v>23</v>
      </c>
      <c r="Y26" s="857">
        <v>24</v>
      </c>
      <c r="Z26" s="849">
        <v>25</v>
      </c>
    </row>
    <row r="27" spans="1:26" ht="78" x14ac:dyDescent="0.3">
      <c r="A27" s="762" t="s">
        <v>321</v>
      </c>
      <c r="B27" s="763" t="s">
        <v>32</v>
      </c>
      <c r="C27" s="764">
        <f>C28+C29</f>
        <v>108837.11</v>
      </c>
      <c r="D27" s="763" t="s">
        <v>32</v>
      </c>
      <c r="E27" s="764">
        <f>E28+E29</f>
        <v>84509.88</v>
      </c>
      <c r="F27" s="763" t="s">
        <v>32</v>
      </c>
      <c r="G27" s="764">
        <f>G28+G29</f>
        <v>77502.27</v>
      </c>
      <c r="H27" s="763" t="s">
        <v>32</v>
      </c>
      <c r="I27" s="764">
        <f>I28+I29</f>
        <v>55500.06</v>
      </c>
      <c r="J27" s="763" t="s">
        <v>32</v>
      </c>
      <c r="K27" s="764">
        <f>K28+K29</f>
        <v>100814.75</v>
      </c>
      <c r="L27" s="763" t="s">
        <v>32</v>
      </c>
      <c r="M27" s="764">
        <f>M28+M29</f>
        <v>75142.84</v>
      </c>
      <c r="N27" s="185" t="s">
        <v>32</v>
      </c>
      <c r="O27" s="764">
        <f>O28+O29</f>
        <v>65771.240000000005</v>
      </c>
      <c r="P27" s="763" t="s">
        <v>32</v>
      </c>
      <c r="Q27" s="764">
        <f>Q28+Q29</f>
        <v>69767.05</v>
      </c>
      <c r="R27" s="763" t="s">
        <v>32</v>
      </c>
      <c r="S27" s="764">
        <f>S28+S29</f>
        <v>73214.89</v>
      </c>
      <c r="T27" s="784" t="s">
        <v>32</v>
      </c>
      <c r="U27" s="783">
        <f>U28+U29</f>
        <v>79007</v>
      </c>
      <c r="V27" s="782" t="s">
        <v>32</v>
      </c>
      <c r="W27" s="845">
        <f>W28+W29</f>
        <v>79007</v>
      </c>
      <c r="X27" s="858" t="s">
        <v>32</v>
      </c>
      <c r="Y27" s="859">
        <f>Y28+Y29</f>
        <v>79007</v>
      </c>
      <c r="Z27" s="850">
        <f>Z28+Z29</f>
        <v>948081</v>
      </c>
    </row>
    <row r="28" spans="1:26" x14ac:dyDescent="0.3">
      <c r="A28" s="767" t="s">
        <v>322</v>
      </c>
      <c r="B28" s="763">
        <v>256</v>
      </c>
      <c r="C28" s="768">
        <v>106601.85</v>
      </c>
      <c r="D28" s="763">
        <v>285</v>
      </c>
      <c r="E28" s="768">
        <v>82090.52</v>
      </c>
      <c r="F28" s="763">
        <v>263</v>
      </c>
      <c r="G28" s="768">
        <v>75310.03</v>
      </c>
      <c r="H28" s="763">
        <v>216</v>
      </c>
      <c r="I28" s="768">
        <v>53050.99</v>
      </c>
      <c r="J28" s="763">
        <v>247</v>
      </c>
      <c r="K28" s="768">
        <v>98407.95</v>
      </c>
      <c r="L28" s="763">
        <v>253</v>
      </c>
      <c r="M28" s="768">
        <v>72949.64</v>
      </c>
      <c r="N28" s="763">
        <v>223</v>
      </c>
      <c r="O28" s="768">
        <v>63589.1</v>
      </c>
      <c r="P28" s="763">
        <v>246</v>
      </c>
      <c r="Q28" s="768">
        <v>67859.23</v>
      </c>
      <c r="R28" s="763">
        <v>242</v>
      </c>
      <c r="S28" s="768">
        <v>70980.63</v>
      </c>
      <c r="T28" s="782">
        <f>ROUND((R28+P28+N28+L28+J28+H28+F28+D28+B28)/9,0)</f>
        <v>248</v>
      </c>
      <c r="U28" s="785">
        <f>ROUND((S28+Q28+O28+M28+K28+I28+G28+E28+C28)/9,0)</f>
        <v>76760</v>
      </c>
      <c r="V28" s="782">
        <f t="shared" ref="V28:Y29" si="1">T28</f>
        <v>248</v>
      </c>
      <c r="W28" s="846">
        <f t="shared" si="1"/>
        <v>76760</v>
      </c>
      <c r="X28" s="858">
        <f t="shared" si="1"/>
        <v>248</v>
      </c>
      <c r="Y28" s="860">
        <f>W28</f>
        <v>76760</v>
      </c>
      <c r="Z28" s="851">
        <f>ROUND(G28+I28+K28+M28+O28+Q28+S28+U28+W28+Y28+C28+E28,0)</f>
        <v>921120</v>
      </c>
    </row>
    <row r="29" spans="1:26" ht="14.5" thickBot="1" x14ac:dyDescent="0.35">
      <c r="A29" s="767" t="s">
        <v>323</v>
      </c>
      <c r="B29" s="763">
        <v>4</v>
      </c>
      <c r="C29" s="768">
        <v>2235.2600000000002</v>
      </c>
      <c r="D29" s="763">
        <v>4</v>
      </c>
      <c r="E29" s="768">
        <v>2419.36</v>
      </c>
      <c r="F29" s="763">
        <v>4</v>
      </c>
      <c r="G29" s="768">
        <v>2192.2399999999998</v>
      </c>
      <c r="H29" s="763">
        <v>4</v>
      </c>
      <c r="I29" s="768">
        <v>2449.0700000000002</v>
      </c>
      <c r="J29" s="763">
        <v>4</v>
      </c>
      <c r="K29" s="768">
        <v>2406.8000000000002</v>
      </c>
      <c r="L29" s="763">
        <v>3</v>
      </c>
      <c r="M29" s="768">
        <v>2193.1999999999998</v>
      </c>
      <c r="N29" s="763">
        <v>4</v>
      </c>
      <c r="O29" s="768">
        <v>2182.14</v>
      </c>
      <c r="P29" s="763">
        <v>4</v>
      </c>
      <c r="Q29" s="768">
        <v>1907.82</v>
      </c>
      <c r="R29" s="763">
        <v>4</v>
      </c>
      <c r="S29" s="768">
        <v>2234.2600000000002</v>
      </c>
      <c r="T29" s="782">
        <f>ROUND((R29+P29+N29+L29+J29+H29+F29+D29+B29)/9,0)</f>
        <v>4</v>
      </c>
      <c r="U29" s="785">
        <f>ROUND((S29+Q29+O29+M29+K29+I29+G29+E29+C29)/9,0)</f>
        <v>2247</v>
      </c>
      <c r="V29" s="782">
        <f t="shared" si="1"/>
        <v>4</v>
      </c>
      <c r="W29" s="846">
        <f t="shared" si="1"/>
        <v>2247</v>
      </c>
      <c r="X29" s="861">
        <f t="shared" si="1"/>
        <v>4</v>
      </c>
      <c r="Y29" s="862">
        <f t="shared" si="1"/>
        <v>2247</v>
      </c>
      <c r="Z29" s="851">
        <f>ROUND(G29+I29+K29+M29+O29+Q29+S29+U29+W29+Y29+C29+E29,0)</f>
        <v>26961</v>
      </c>
    </row>
    <row r="30" spans="1:26" ht="13.5" customHeight="1" x14ac:dyDescent="0.3">
      <c r="A30" s="985" t="s">
        <v>346</v>
      </c>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row>
    <row r="31" spans="1:26" x14ac:dyDescent="0.3">
      <c r="A31" s="980" t="s">
        <v>347</v>
      </c>
      <c r="B31" s="980"/>
      <c r="C31" s="980"/>
      <c r="D31" s="980"/>
      <c r="E31" s="980"/>
      <c r="F31" s="980"/>
      <c r="G31" s="980"/>
      <c r="H31" s="980"/>
      <c r="I31" s="980"/>
      <c r="J31" s="980"/>
      <c r="K31" s="980"/>
      <c r="L31" s="980"/>
      <c r="M31" s="980"/>
      <c r="N31" s="980"/>
      <c r="O31" s="980"/>
      <c r="P31" s="980"/>
      <c r="Q31" s="980"/>
      <c r="R31" s="980"/>
      <c r="S31" s="980"/>
      <c r="T31" s="980"/>
      <c r="U31" s="980"/>
      <c r="V31" s="980"/>
      <c r="W31" s="980"/>
      <c r="X31" s="980"/>
      <c r="Y31" s="980"/>
      <c r="Z31" s="980"/>
    </row>
    <row r="32" spans="1:26" x14ac:dyDescent="0.3">
      <c r="A32" s="364"/>
      <c r="B32" s="364"/>
      <c r="C32" s="364"/>
      <c r="D32" s="364"/>
      <c r="E32" s="364"/>
      <c r="F32" s="364"/>
      <c r="G32" s="364"/>
      <c r="H32" s="364"/>
      <c r="I32" s="364"/>
      <c r="J32" s="364"/>
      <c r="K32" s="364"/>
      <c r="L32" s="364"/>
      <c r="M32" s="364"/>
      <c r="N32" s="364"/>
      <c r="O32" s="364"/>
      <c r="P32" s="364"/>
      <c r="Q32" s="364"/>
      <c r="R32" s="364"/>
      <c r="S32" s="364"/>
      <c r="T32" s="364"/>
      <c r="U32" s="364"/>
      <c r="V32" s="364"/>
      <c r="W32" s="364"/>
      <c r="X32" s="364"/>
      <c r="Y32" s="364"/>
      <c r="Z32" s="364"/>
    </row>
  </sheetData>
  <mergeCells count="83">
    <mergeCell ref="A1:Z1"/>
    <mergeCell ref="A2:Z2"/>
    <mergeCell ref="A3:Z3"/>
    <mergeCell ref="A4:A7"/>
    <mergeCell ref="B4:C4"/>
    <mergeCell ref="D4:E4"/>
    <mergeCell ref="F4:G4"/>
    <mergeCell ref="H4:I4"/>
    <mergeCell ref="J4:K4"/>
    <mergeCell ref="L4:M4"/>
    <mergeCell ref="Z4:Z5"/>
    <mergeCell ref="B5:C5"/>
    <mergeCell ref="D5:E5"/>
    <mergeCell ref="F5:G5"/>
    <mergeCell ref="H5:I5"/>
    <mergeCell ref="J5:K5"/>
    <mergeCell ref="L5:M5"/>
    <mergeCell ref="N5:O5"/>
    <mergeCell ref="P5:Q5"/>
    <mergeCell ref="R5:S5"/>
    <mergeCell ref="N4:O4"/>
    <mergeCell ref="P4:Q4"/>
    <mergeCell ref="R4:S4"/>
    <mergeCell ref="T4:U4"/>
    <mergeCell ref="V4:W4"/>
    <mergeCell ref="X4:Y4"/>
    <mergeCell ref="T5:U5"/>
    <mergeCell ref="V5:W5"/>
    <mergeCell ref="X5:Y5"/>
    <mergeCell ref="A13:A16"/>
    <mergeCell ref="B13:C13"/>
    <mergeCell ref="D13:E13"/>
    <mergeCell ref="F13:G13"/>
    <mergeCell ref="H13:I13"/>
    <mergeCell ref="J13:K13"/>
    <mergeCell ref="L13:M13"/>
    <mergeCell ref="Z13:Z14"/>
    <mergeCell ref="B14:C14"/>
    <mergeCell ref="D14:E14"/>
    <mergeCell ref="F14:G14"/>
    <mergeCell ref="H14:I14"/>
    <mergeCell ref="J14:K14"/>
    <mergeCell ref="L14:M14"/>
    <mergeCell ref="N14:O14"/>
    <mergeCell ref="P14:Q14"/>
    <mergeCell ref="R14:S14"/>
    <mergeCell ref="N13:O13"/>
    <mergeCell ref="P13:Q13"/>
    <mergeCell ref="R13:S13"/>
    <mergeCell ref="T13:U13"/>
    <mergeCell ref="R23:S23"/>
    <mergeCell ref="N22:O22"/>
    <mergeCell ref="V13:W13"/>
    <mergeCell ref="X13:Y13"/>
    <mergeCell ref="T14:U14"/>
    <mergeCell ref="V14:W14"/>
    <mergeCell ref="X14:Y14"/>
    <mergeCell ref="N23:O23"/>
    <mergeCell ref="P23:Q23"/>
    <mergeCell ref="V22:W22"/>
    <mergeCell ref="X22:Y22"/>
    <mergeCell ref="P22:Q22"/>
    <mergeCell ref="A22:A25"/>
    <mergeCell ref="B22:C22"/>
    <mergeCell ref="D22:E22"/>
    <mergeCell ref="F22:G22"/>
    <mergeCell ref="H22:I22"/>
    <mergeCell ref="A31:Z31"/>
    <mergeCell ref="T23:U23"/>
    <mergeCell ref="V23:W23"/>
    <mergeCell ref="X23:Y23"/>
    <mergeCell ref="A30:Z30"/>
    <mergeCell ref="Z22:Z23"/>
    <mergeCell ref="B23:C23"/>
    <mergeCell ref="D23:E23"/>
    <mergeCell ref="F23:G23"/>
    <mergeCell ref="H23:I23"/>
    <mergeCell ref="J23:K23"/>
    <mergeCell ref="L23:M23"/>
    <mergeCell ref="R22:S22"/>
    <mergeCell ref="T22:U22"/>
    <mergeCell ref="J22:K22"/>
    <mergeCell ref="L22:M22"/>
  </mergeCells>
  <pageMargins left="0.70866141732283472" right="0.70866141732283472" top="0.74803149606299213" bottom="0.74803149606299213" header="0.31496062992125984" footer="0.31496062992125984"/>
  <pageSetup paperSize="9" scale="45" orientation="landscape"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88F88-1BA6-4D24-98FE-F2373C1FB635}">
  <dimension ref="A1:AE58"/>
  <sheetViews>
    <sheetView zoomScale="50" zoomScaleNormal="50" workbookViewId="0">
      <selection activeCell="A3" sqref="A3:AB3"/>
    </sheetView>
  </sheetViews>
  <sheetFormatPr defaultColWidth="8.81640625" defaultRowHeight="14.5" x14ac:dyDescent="0.35"/>
  <cols>
    <col min="1" max="1" width="33.453125" style="1" customWidth="1"/>
    <col min="2" max="2" width="8.81640625" style="1"/>
    <col min="3" max="3" width="14.81640625" style="1" customWidth="1"/>
    <col min="4" max="4" width="8.81640625" style="1" bestFit="1" customWidth="1"/>
    <col min="5" max="5" width="14.54296875" style="1" customWidth="1"/>
    <col min="6" max="24" width="8.81640625" style="1" bestFit="1" customWidth="1"/>
    <col min="25" max="25" width="10" style="1" customWidth="1"/>
    <col min="26" max="26" width="8.81640625" style="1" bestFit="1" customWidth="1"/>
    <col min="27" max="27" width="10.54296875" style="1" customWidth="1"/>
    <col min="28" max="28" width="9.1796875" style="1" bestFit="1" customWidth="1"/>
    <col min="29" max="29" width="8.81640625" style="1" bestFit="1" customWidth="1"/>
    <col min="30" max="30" width="20.81640625" style="1" customWidth="1"/>
    <col min="31" max="16384" width="8.81640625" style="1"/>
  </cols>
  <sheetData>
    <row r="1" spans="1:28" s="4" customFormat="1" x14ac:dyDescent="0.35">
      <c r="A1" s="1000" t="s">
        <v>137</v>
      </c>
      <c r="B1" s="1000"/>
      <c r="C1" s="1000"/>
      <c r="D1" s="1000"/>
      <c r="E1" s="1000"/>
      <c r="F1" s="1000"/>
      <c r="G1" s="1000"/>
      <c r="H1" s="1000"/>
      <c r="I1" s="1000"/>
      <c r="J1" s="1000"/>
      <c r="K1" s="1000"/>
      <c r="L1" s="1000"/>
      <c r="M1" s="1000"/>
      <c r="N1" s="1000"/>
      <c r="O1" s="1000"/>
      <c r="P1" s="1000"/>
      <c r="Q1" s="1000"/>
      <c r="R1" s="1000"/>
      <c r="S1" s="1000"/>
      <c r="T1" s="1000"/>
      <c r="U1" s="1000"/>
      <c r="V1" s="1000"/>
      <c r="W1" s="1000"/>
      <c r="X1" s="1000"/>
      <c r="Y1" s="1000"/>
      <c r="Z1" s="1000"/>
      <c r="AA1" s="1000"/>
      <c r="AB1" s="1000"/>
    </row>
    <row r="2" spans="1:28" s="4" customFormat="1" x14ac:dyDescent="0.35">
      <c r="A2" s="1000" t="s">
        <v>243</v>
      </c>
      <c r="B2" s="1000"/>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c r="AB2" s="1000"/>
    </row>
    <row r="3" spans="1:28" s="4" customFormat="1" ht="62.5" customHeight="1" thickBot="1" x14ac:dyDescent="0.4">
      <c r="A3" s="1037" t="str">
        <f>Ietekme_LM_2026_!B40</f>
        <v>4.2. Sociālās rehabilitācijas pakalpojuma sniegšana Sociālās integrācijas valsts aģentūrā personām, kuras valsts apmaksātās medicīniskās transportēšanas ietvaros pārvestas no Ukrainas ārstniecības iestādes uz stacionāro ārstniecības iestādi Latvijā un saņem veselības aprūpes pakalpojumus atbilstoši medicīniskās transportēšanas mērķim (līdz 60 dienām)</v>
      </c>
      <c r="B3" s="1037"/>
      <c r="C3" s="1037"/>
      <c r="D3" s="1037"/>
      <c r="E3" s="1037"/>
      <c r="F3" s="1037"/>
      <c r="G3" s="1037"/>
      <c r="H3" s="1037"/>
      <c r="I3" s="1037"/>
      <c r="J3" s="1037"/>
      <c r="K3" s="1037"/>
      <c r="L3" s="1037"/>
      <c r="M3" s="1037"/>
      <c r="N3" s="1037"/>
      <c r="O3" s="1037"/>
      <c r="P3" s="1037"/>
      <c r="Q3" s="1037"/>
      <c r="R3" s="1037"/>
      <c r="S3" s="1037"/>
      <c r="T3" s="1037"/>
      <c r="U3" s="1037"/>
      <c r="V3" s="1037"/>
      <c r="W3" s="1037"/>
      <c r="X3" s="1037"/>
      <c r="Y3" s="1037"/>
      <c r="Z3" s="1037"/>
      <c r="AA3" s="1037"/>
      <c r="AB3" s="1037"/>
    </row>
    <row r="4" spans="1:28" x14ac:dyDescent="0.35">
      <c r="A4" s="1016" t="s">
        <v>12</v>
      </c>
      <c r="B4" s="1017"/>
      <c r="C4" s="1009" t="s">
        <v>82</v>
      </c>
      <c r="D4" s="1010"/>
      <c r="E4" s="1009" t="s">
        <v>82</v>
      </c>
      <c r="F4" s="1010"/>
      <c r="G4" s="1009" t="s">
        <v>82</v>
      </c>
      <c r="H4" s="1010"/>
      <c r="I4" s="1009" t="s">
        <v>82</v>
      </c>
      <c r="J4" s="1010"/>
      <c r="K4" s="1009" t="s">
        <v>82</v>
      </c>
      <c r="L4" s="1010"/>
      <c r="M4" s="1009" t="s">
        <v>82</v>
      </c>
      <c r="N4" s="1010"/>
      <c r="O4" s="1009" t="s">
        <v>82</v>
      </c>
      <c r="P4" s="1010"/>
      <c r="Q4" s="1009" t="s">
        <v>82</v>
      </c>
      <c r="R4" s="1010"/>
      <c r="S4" s="1009" t="s">
        <v>82</v>
      </c>
      <c r="T4" s="1010"/>
      <c r="U4" s="1009" t="s">
        <v>82</v>
      </c>
      <c r="V4" s="1010"/>
      <c r="W4" s="1009" t="s">
        <v>82</v>
      </c>
      <c r="X4" s="1010"/>
      <c r="Y4" s="1009" t="s">
        <v>82</v>
      </c>
      <c r="Z4" s="1010"/>
      <c r="AA4" s="345" t="s">
        <v>82</v>
      </c>
      <c r="AB4" s="1011" t="s">
        <v>37</v>
      </c>
    </row>
    <row r="5" spans="1:28" x14ac:dyDescent="0.35">
      <c r="A5" s="1014" t="s">
        <v>13</v>
      </c>
      <c r="B5" s="1015"/>
      <c r="C5" s="1003" t="s">
        <v>89</v>
      </c>
      <c r="D5" s="1004"/>
      <c r="E5" s="1003" t="s">
        <v>49</v>
      </c>
      <c r="F5" s="1004"/>
      <c r="G5" s="1003" t="s">
        <v>50</v>
      </c>
      <c r="H5" s="1004"/>
      <c r="I5" s="1005" t="s">
        <v>51</v>
      </c>
      <c r="J5" s="1006"/>
      <c r="K5" s="1003" t="s">
        <v>52</v>
      </c>
      <c r="L5" s="1004"/>
      <c r="M5" s="1003" t="s">
        <v>53</v>
      </c>
      <c r="N5" s="1004"/>
      <c r="O5" s="1005" t="s">
        <v>54</v>
      </c>
      <c r="P5" s="1006"/>
      <c r="Q5" s="1005" t="s">
        <v>81</v>
      </c>
      <c r="R5" s="1006"/>
      <c r="S5" s="1003" t="s">
        <v>90</v>
      </c>
      <c r="T5" s="1004"/>
      <c r="U5" s="1005" t="s">
        <v>91</v>
      </c>
      <c r="V5" s="1006"/>
      <c r="W5" s="1005" t="s">
        <v>92</v>
      </c>
      <c r="X5" s="1006"/>
      <c r="Y5" s="1003" t="s">
        <v>93</v>
      </c>
      <c r="Z5" s="1004"/>
      <c r="AA5" s="261" t="s">
        <v>36</v>
      </c>
      <c r="AB5" s="1012"/>
    </row>
    <row r="6" spans="1:28" x14ac:dyDescent="0.35">
      <c r="A6" s="1007" t="s">
        <v>32</v>
      </c>
      <c r="B6" s="1008"/>
      <c r="C6" s="36"/>
      <c r="D6" s="37" t="s">
        <v>24</v>
      </c>
      <c r="E6" s="36"/>
      <c r="F6" s="37" t="s">
        <v>24</v>
      </c>
      <c r="G6" s="36"/>
      <c r="H6" s="37" t="s">
        <v>24</v>
      </c>
      <c r="I6" s="38"/>
      <c r="J6" s="38" t="s">
        <v>24</v>
      </c>
      <c r="K6" s="36"/>
      <c r="L6" s="37" t="s">
        <v>24</v>
      </c>
      <c r="M6" s="36"/>
      <c r="N6" s="37" t="s">
        <v>24</v>
      </c>
      <c r="O6" s="38"/>
      <c r="P6" s="38" t="s">
        <v>24</v>
      </c>
      <c r="Q6" s="38"/>
      <c r="R6" s="38" t="s">
        <v>24</v>
      </c>
      <c r="S6" s="38"/>
      <c r="T6" s="38" t="s">
        <v>24</v>
      </c>
      <c r="U6" s="38"/>
      <c r="V6" s="38" t="s">
        <v>24</v>
      </c>
      <c r="W6" s="38"/>
      <c r="X6" s="38" t="s">
        <v>24</v>
      </c>
      <c r="Y6" s="38"/>
      <c r="Z6" s="38" t="s">
        <v>24</v>
      </c>
      <c r="AA6" s="38" t="s">
        <v>24</v>
      </c>
      <c r="AB6" s="1012"/>
    </row>
    <row r="7" spans="1:28" ht="52" x14ac:dyDescent="0.35">
      <c r="A7" s="44" t="s">
        <v>25</v>
      </c>
      <c r="B7" s="44" t="s">
        <v>55</v>
      </c>
      <c r="C7" s="45" t="s">
        <v>56</v>
      </c>
      <c r="D7" s="46" t="s">
        <v>27</v>
      </c>
      <c r="E7" s="45" t="s">
        <v>56</v>
      </c>
      <c r="F7" s="46" t="s">
        <v>27</v>
      </c>
      <c r="G7" s="45" t="s">
        <v>56</v>
      </c>
      <c r="H7" s="46" t="s">
        <v>27</v>
      </c>
      <c r="I7" s="45" t="s">
        <v>56</v>
      </c>
      <c r="J7" s="46" t="s">
        <v>27</v>
      </c>
      <c r="K7" s="45" t="s">
        <v>56</v>
      </c>
      <c r="L7" s="46" t="s">
        <v>27</v>
      </c>
      <c r="M7" s="45" t="s">
        <v>56</v>
      </c>
      <c r="N7" s="46" t="s">
        <v>27</v>
      </c>
      <c r="O7" s="45" t="s">
        <v>56</v>
      </c>
      <c r="P7" s="46" t="s">
        <v>27</v>
      </c>
      <c r="Q7" s="45" t="s">
        <v>56</v>
      </c>
      <c r="R7" s="46" t="s">
        <v>27</v>
      </c>
      <c r="S7" s="45" t="s">
        <v>56</v>
      </c>
      <c r="T7" s="46" t="s">
        <v>27</v>
      </c>
      <c r="U7" s="45" t="s">
        <v>56</v>
      </c>
      <c r="V7" s="46" t="s">
        <v>27</v>
      </c>
      <c r="W7" s="45" t="s">
        <v>56</v>
      </c>
      <c r="X7" s="46" t="s">
        <v>27</v>
      </c>
      <c r="Y7" s="45" t="s">
        <v>56</v>
      </c>
      <c r="Z7" s="46" t="s">
        <v>27</v>
      </c>
      <c r="AA7" s="46" t="s">
        <v>27</v>
      </c>
      <c r="AB7" s="1013"/>
    </row>
    <row r="8" spans="1:28" x14ac:dyDescent="0.35">
      <c r="A8" s="51" t="s">
        <v>29</v>
      </c>
      <c r="B8" s="51" t="s">
        <v>57</v>
      </c>
      <c r="C8" s="52">
        <v>1</v>
      </c>
      <c r="D8" s="53">
        <v>2</v>
      </c>
      <c r="E8" s="52">
        <v>3</v>
      </c>
      <c r="F8" s="53">
        <v>4</v>
      </c>
      <c r="G8" s="52">
        <v>5</v>
      </c>
      <c r="H8" s="53">
        <v>6</v>
      </c>
      <c r="I8" s="54">
        <v>7</v>
      </c>
      <c r="J8" s="55">
        <v>8</v>
      </c>
      <c r="K8" s="52">
        <v>9</v>
      </c>
      <c r="L8" s="53">
        <v>10</v>
      </c>
      <c r="M8" s="52">
        <v>11</v>
      </c>
      <c r="N8" s="53">
        <v>12</v>
      </c>
      <c r="O8" s="54">
        <v>13</v>
      </c>
      <c r="P8" s="55">
        <v>14</v>
      </c>
      <c r="Q8" s="52">
        <v>15</v>
      </c>
      <c r="R8" s="53">
        <v>16</v>
      </c>
      <c r="S8" s="52">
        <v>17</v>
      </c>
      <c r="T8" s="53">
        <v>18</v>
      </c>
      <c r="U8" s="54">
        <v>19</v>
      </c>
      <c r="V8" s="55">
        <v>20</v>
      </c>
      <c r="W8" s="52">
        <v>21</v>
      </c>
      <c r="X8" s="53">
        <v>22</v>
      </c>
      <c r="Y8" s="52">
        <v>23</v>
      </c>
      <c r="Z8" s="53">
        <v>24</v>
      </c>
      <c r="AA8" s="54">
        <v>25</v>
      </c>
      <c r="AB8" s="55">
        <v>26</v>
      </c>
    </row>
    <row r="9" spans="1:28" ht="45.65" customHeight="1" x14ac:dyDescent="0.35">
      <c r="A9" s="1024" t="s">
        <v>72</v>
      </c>
      <c r="B9" s="1026" t="s">
        <v>73</v>
      </c>
      <c r="C9" s="1020">
        <v>0</v>
      </c>
      <c r="D9" s="1018"/>
      <c r="E9" s="1020">
        <v>3</v>
      </c>
      <c r="F9" s="1018">
        <v>5652</v>
      </c>
      <c r="G9" s="1020">
        <v>3</v>
      </c>
      <c r="H9" s="1018">
        <v>5652</v>
      </c>
      <c r="I9" s="1020">
        <v>7</v>
      </c>
      <c r="J9" s="1018">
        <v>13188</v>
      </c>
      <c r="K9" s="1022">
        <v>5</v>
      </c>
      <c r="L9" s="1018">
        <v>9420</v>
      </c>
      <c r="M9" s="1022">
        <v>0</v>
      </c>
      <c r="N9" s="1028"/>
      <c r="O9" s="1022">
        <v>1</v>
      </c>
      <c r="P9" s="1018">
        <v>1884</v>
      </c>
      <c r="Q9" s="1022"/>
      <c r="R9" s="1028"/>
      <c r="S9" s="1022"/>
      <c r="T9" s="1028"/>
      <c r="U9" s="1022"/>
      <c r="V9" s="1028"/>
      <c r="W9" s="1022"/>
      <c r="X9" s="1028"/>
      <c r="Y9" s="1022"/>
      <c r="Z9" s="1028"/>
      <c r="AA9" s="1030">
        <f>Z9+X9+V9+T9+R9+P9+N9+L9+J9+H9+F9+D9</f>
        <v>35796</v>
      </c>
      <c r="AB9" s="346" t="s">
        <v>75</v>
      </c>
    </row>
    <row r="10" spans="1:28" ht="45.65" customHeight="1" x14ac:dyDescent="0.35">
      <c r="A10" s="1025"/>
      <c r="B10" s="1027"/>
      <c r="C10" s="1021"/>
      <c r="D10" s="1019"/>
      <c r="E10" s="1021"/>
      <c r="F10" s="1019"/>
      <c r="G10" s="1021"/>
      <c r="H10" s="1019"/>
      <c r="I10" s="1021"/>
      <c r="J10" s="1019"/>
      <c r="K10" s="1023"/>
      <c r="L10" s="1019"/>
      <c r="M10" s="1023"/>
      <c r="N10" s="1029"/>
      <c r="O10" s="1023"/>
      <c r="P10" s="1019"/>
      <c r="Q10" s="1023"/>
      <c r="R10" s="1029"/>
      <c r="S10" s="1023"/>
      <c r="T10" s="1029"/>
      <c r="U10" s="1023"/>
      <c r="V10" s="1029"/>
      <c r="W10" s="1023"/>
      <c r="X10" s="1029"/>
      <c r="Y10" s="1023"/>
      <c r="Z10" s="1029"/>
      <c r="AA10" s="1031"/>
      <c r="AB10" s="346" t="s">
        <v>77</v>
      </c>
    </row>
    <row r="11" spans="1:28" ht="45.65" customHeight="1" x14ac:dyDescent="0.35">
      <c r="A11" s="1024" t="s">
        <v>78</v>
      </c>
      <c r="B11" s="1026" t="s">
        <v>79</v>
      </c>
      <c r="C11" s="1020">
        <v>0</v>
      </c>
      <c r="D11" s="1018"/>
      <c r="E11" s="1020"/>
      <c r="F11" s="1018"/>
      <c r="G11" s="1033" t="s">
        <v>142</v>
      </c>
      <c r="H11" s="1018">
        <v>6970.7999999999993</v>
      </c>
      <c r="I11" s="1020" t="s">
        <v>143</v>
      </c>
      <c r="J11" s="1018">
        <v>1821.1999999999998</v>
      </c>
      <c r="K11" s="1022" t="s">
        <v>144</v>
      </c>
      <c r="L11" s="1018">
        <v>1695.6</v>
      </c>
      <c r="M11" s="1022">
        <v>0</v>
      </c>
      <c r="N11" s="1028"/>
      <c r="O11" s="1022">
        <v>0</v>
      </c>
      <c r="P11" s="1028"/>
      <c r="Q11" s="1022"/>
      <c r="R11" s="1028"/>
      <c r="S11" s="1022"/>
      <c r="T11" s="1028"/>
      <c r="U11" s="1022"/>
      <c r="V11" s="1028"/>
      <c r="W11" s="1022"/>
      <c r="X11" s="1028"/>
      <c r="Y11" s="1022"/>
      <c r="Z11" s="1028"/>
      <c r="AA11" s="1030">
        <f>Z11+X11+V11+T11+R11+P11+N11+L11+J11+H11+F11+D11</f>
        <v>10487.599999999999</v>
      </c>
      <c r="AB11" s="346" t="s">
        <v>75</v>
      </c>
    </row>
    <row r="12" spans="1:28" ht="45.65" customHeight="1" x14ac:dyDescent="0.35">
      <c r="A12" s="1032"/>
      <c r="B12" s="1027"/>
      <c r="C12" s="1021"/>
      <c r="D12" s="1019"/>
      <c r="E12" s="1021"/>
      <c r="F12" s="1019"/>
      <c r="G12" s="1034"/>
      <c r="H12" s="1019"/>
      <c r="I12" s="1021"/>
      <c r="J12" s="1019"/>
      <c r="K12" s="1023"/>
      <c r="L12" s="1019"/>
      <c r="M12" s="1023"/>
      <c r="N12" s="1029"/>
      <c r="O12" s="1023"/>
      <c r="P12" s="1029"/>
      <c r="Q12" s="1023"/>
      <c r="R12" s="1029"/>
      <c r="S12" s="1023"/>
      <c r="T12" s="1029"/>
      <c r="U12" s="1023"/>
      <c r="V12" s="1029"/>
      <c r="W12" s="1023"/>
      <c r="X12" s="1029"/>
      <c r="Y12" s="1023"/>
      <c r="Z12" s="1029"/>
      <c r="AA12" s="1031"/>
      <c r="AB12" s="346" t="s">
        <v>77</v>
      </c>
    </row>
    <row r="13" spans="1:28" ht="45.65" customHeight="1" x14ac:dyDescent="0.35">
      <c r="A13" s="1024" t="s">
        <v>145</v>
      </c>
      <c r="B13" s="1026" t="s">
        <v>73</v>
      </c>
      <c r="C13" s="1020"/>
      <c r="D13" s="1018"/>
      <c r="E13" s="1020"/>
      <c r="F13" s="1018"/>
      <c r="G13" s="1020"/>
      <c r="H13" s="1018"/>
      <c r="I13" s="1020"/>
      <c r="J13" s="1018"/>
      <c r="K13" s="1022">
        <v>0</v>
      </c>
      <c r="L13" s="1018">
        <v>0</v>
      </c>
      <c r="M13" s="1022">
        <v>0</v>
      </c>
      <c r="N13" s="1018">
        <v>0</v>
      </c>
      <c r="O13" s="1022">
        <v>1</v>
      </c>
      <c r="P13" s="1018">
        <v>4210.2</v>
      </c>
      <c r="Q13" s="1022">
        <v>3</v>
      </c>
      <c r="R13" s="1018">
        <v>12630.6</v>
      </c>
      <c r="S13" s="1022">
        <v>0</v>
      </c>
      <c r="T13" s="1028"/>
      <c r="U13" s="1022">
        <v>6</v>
      </c>
      <c r="V13" s="1018">
        <v>23666.61</v>
      </c>
      <c r="W13" s="1022">
        <v>1</v>
      </c>
      <c r="X13" s="1018">
        <v>4210.2</v>
      </c>
      <c r="Y13" s="1022">
        <v>0</v>
      </c>
      <c r="Z13" s="1028"/>
      <c r="AA13" s="1030">
        <f>Z13+X13+V13+T13+R13+P13+N13+L13+J13+H13+F13+D13</f>
        <v>44717.61</v>
      </c>
      <c r="AB13" s="346" t="s">
        <v>75</v>
      </c>
    </row>
    <row r="14" spans="1:28" ht="37.5" customHeight="1" x14ac:dyDescent="0.35">
      <c r="A14" s="1025"/>
      <c r="B14" s="1027"/>
      <c r="C14" s="1021"/>
      <c r="D14" s="1019"/>
      <c r="E14" s="1021"/>
      <c r="F14" s="1019"/>
      <c r="G14" s="1021"/>
      <c r="H14" s="1019"/>
      <c r="I14" s="1021"/>
      <c r="J14" s="1019"/>
      <c r="K14" s="1023"/>
      <c r="L14" s="1019"/>
      <c r="M14" s="1023"/>
      <c r="N14" s="1019"/>
      <c r="O14" s="1023"/>
      <c r="P14" s="1019"/>
      <c r="Q14" s="1023"/>
      <c r="R14" s="1019"/>
      <c r="S14" s="1023"/>
      <c r="T14" s="1029"/>
      <c r="U14" s="1023"/>
      <c r="V14" s="1019"/>
      <c r="W14" s="1023"/>
      <c r="X14" s="1019"/>
      <c r="Y14" s="1023"/>
      <c r="Z14" s="1029"/>
      <c r="AA14" s="1031"/>
      <c r="AB14" s="346" t="s">
        <v>77</v>
      </c>
    </row>
    <row r="15" spans="1:28" x14ac:dyDescent="0.35">
      <c r="A15" s="1024" t="s">
        <v>146</v>
      </c>
      <c r="B15" s="1026" t="s">
        <v>79</v>
      </c>
      <c r="C15" s="1020"/>
      <c r="D15" s="1018"/>
      <c r="E15" s="1020"/>
      <c r="F15" s="1018"/>
      <c r="G15" s="1020"/>
      <c r="H15" s="1018"/>
      <c r="I15" s="1020"/>
      <c r="J15" s="1018"/>
      <c r="K15" s="1038" t="s">
        <v>147</v>
      </c>
      <c r="L15" s="1018">
        <v>1824.42</v>
      </c>
      <c r="M15" s="1022" t="s">
        <v>148</v>
      </c>
      <c r="N15" s="1018">
        <v>2315.61</v>
      </c>
      <c r="O15" s="1038" t="s">
        <v>149</v>
      </c>
      <c r="P15" s="1018">
        <v>5824.1100000000006</v>
      </c>
      <c r="Q15" s="1022">
        <v>0</v>
      </c>
      <c r="R15" s="1028"/>
      <c r="S15" s="1038" t="s">
        <v>150</v>
      </c>
      <c r="T15" s="1018">
        <v>11858.73</v>
      </c>
      <c r="U15" s="1022">
        <v>0</v>
      </c>
      <c r="V15" s="1028"/>
      <c r="W15" s="1022">
        <v>0</v>
      </c>
      <c r="X15" s="1028"/>
      <c r="Y15" s="1022">
        <v>0</v>
      </c>
      <c r="Z15" s="1028"/>
      <c r="AA15" s="1030">
        <f>Z15+X15+V15+T15+R15+P15+N15+L15+J15+H15+F15+D15</f>
        <v>21822.870000000003</v>
      </c>
      <c r="AB15" s="346" t="s">
        <v>75</v>
      </c>
    </row>
    <row r="16" spans="1:28" ht="80.150000000000006" customHeight="1" x14ac:dyDescent="0.35">
      <c r="A16" s="1025"/>
      <c r="B16" s="1027"/>
      <c r="C16" s="1021"/>
      <c r="D16" s="1019"/>
      <c r="E16" s="1021"/>
      <c r="F16" s="1019"/>
      <c r="G16" s="1021"/>
      <c r="H16" s="1019"/>
      <c r="I16" s="1021"/>
      <c r="J16" s="1019"/>
      <c r="K16" s="1039"/>
      <c r="L16" s="1019"/>
      <c r="M16" s="1023"/>
      <c r="N16" s="1019"/>
      <c r="O16" s="1039"/>
      <c r="P16" s="1019"/>
      <c r="Q16" s="1023"/>
      <c r="R16" s="1029"/>
      <c r="S16" s="1039"/>
      <c r="T16" s="1019"/>
      <c r="U16" s="1023"/>
      <c r="V16" s="1029"/>
      <c r="W16" s="1023"/>
      <c r="X16" s="1029"/>
      <c r="Y16" s="1023"/>
      <c r="Z16" s="1029"/>
      <c r="AA16" s="1031"/>
      <c r="AB16" s="346" t="s">
        <v>77</v>
      </c>
    </row>
    <row r="17" spans="1:29" ht="15" hidden="1" thickBot="1" x14ac:dyDescent="0.4">
      <c r="A17" s="347"/>
      <c r="B17" s="348"/>
      <c r="C17" s="349"/>
      <c r="D17" s="350"/>
      <c r="E17" s="349"/>
      <c r="F17" s="350"/>
      <c r="G17" s="349"/>
      <c r="H17" s="350"/>
      <c r="I17" s="351"/>
      <c r="J17" s="350"/>
      <c r="K17" s="352"/>
      <c r="L17" s="350"/>
      <c r="M17" s="352"/>
      <c r="N17" s="353"/>
      <c r="O17" s="354"/>
      <c r="P17" s="439"/>
      <c r="Q17" s="354"/>
      <c r="R17" s="439"/>
      <c r="S17" s="354"/>
      <c r="T17" s="439"/>
      <c r="U17" s="354"/>
      <c r="V17" s="439"/>
      <c r="W17" s="354"/>
      <c r="X17" s="439"/>
      <c r="Y17" s="354"/>
      <c r="Z17" s="439"/>
      <c r="AA17" s="355"/>
      <c r="AB17" s="356"/>
    </row>
    <row r="18" spans="1:29" ht="15" thickBot="1" x14ac:dyDescent="0.4">
      <c r="A18" s="1035" t="s">
        <v>36</v>
      </c>
      <c r="B18" s="1036"/>
      <c r="C18" s="357" t="s">
        <v>32</v>
      </c>
      <c r="D18" s="358">
        <f>SUM(D9:D16)</f>
        <v>0</v>
      </c>
      <c r="E18" s="357" t="s">
        <v>32</v>
      </c>
      <c r="F18" s="358">
        <f>SUM(F9:F16)</f>
        <v>5652</v>
      </c>
      <c r="G18" s="357" t="s">
        <v>32</v>
      </c>
      <c r="H18" s="358">
        <f>SUM(H9:H16)</f>
        <v>12622.8</v>
      </c>
      <c r="I18" s="359" t="s">
        <v>32</v>
      </c>
      <c r="J18" s="358">
        <f>SUM(J9:J16)</f>
        <v>15009.2</v>
      </c>
      <c r="K18" s="360" t="s">
        <v>32</v>
      </c>
      <c r="L18" s="358">
        <f>SUM(L9:L16)</f>
        <v>12940.02</v>
      </c>
      <c r="M18" s="360" t="s">
        <v>32</v>
      </c>
      <c r="N18" s="358">
        <f>SUM(N9:N16)</f>
        <v>2315.61</v>
      </c>
      <c r="O18" s="361" t="s">
        <v>32</v>
      </c>
      <c r="P18" s="358">
        <f>SUM(P9:P16)</f>
        <v>11918.310000000001</v>
      </c>
      <c r="Q18" s="361" t="s">
        <v>32</v>
      </c>
      <c r="R18" s="358">
        <f>SUM(R9:R16)</f>
        <v>12630.6</v>
      </c>
      <c r="S18" s="361" t="s">
        <v>32</v>
      </c>
      <c r="T18" s="358">
        <f>SUM(T9:T16)</f>
        <v>11858.73</v>
      </c>
      <c r="U18" s="361" t="s">
        <v>32</v>
      </c>
      <c r="V18" s="358">
        <f>SUM(V9:V16)</f>
        <v>23666.61</v>
      </c>
      <c r="W18" s="361" t="s">
        <v>32</v>
      </c>
      <c r="X18" s="358">
        <f>SUM(X9:X16)</f>
        <v>4210.2</v>
      </c>
      <c r="Y18" s="361" t="s">
        <v>32</v>
      </c>
      <c r="Z18" s="358">
        <f>SUM(Z9:Z16)</f>
        <v>0</v>
      </c>
      <c r="AA18" s="358">
        <f>SUM(AA9:AA16)</f>
        <v>112824.07999999999</v>
      </c>
      <c r="AB18" s="362" t="s">
        <v>32</v>
      </c>
    </row>
    <row r="19" spans="1:29" x14ac:dyDescent="0.35">
      <c r="O19" s="32"/>
      <c r="P19" s="32"/>
      <c r="Q19" s="32"/>
      <c r="R19" s="32"/>
      <c r="S19" s="32"/>
      <c r="T19" s="32"/>
      <c r="U19" s="32"/>
      <c r="V19" s="32"/>
      <c r="W19" s="32"/>
      <c r="X19" s="32"/>
      <c r="Y19" s="32"/>
      <c r="Z19" s="32"/>
      <c r="AA19" s="32"/>
      <c r="AB19" s="32"/>
    </row>
    <row r="20" spans="1:29" ht="15" thickBot="1" x14ac:dyDescent="0.4">
      <c r="O20" s="32"/>
      <c r="P20" s="32"/>
      <c r="Q20" s="32"/>
      <c r="R20" s="32"/>
      <c r="S20" s="32"/>
      <c r="T20" s="32"/>
      <c r="U20" s="32"/>
      <c r="V20" s="32"/>
      <c r="W20" s="32"/>
      <c r="X20" s="32"/>
      <c r="Y20" s="32"/>
      <c r="Z20" s="32"/>
      <c r="AA20" s="32"/>
      <c r="AB20" s="32"/>
    </row>
    <row r="21" spans="1:29" ht="18.649999999999999" customHeight="1" x14ac:dyDescent="0.35">
      <c r="A21" s="1016" t="s">
        <v>12</v>
      </c>
      <c r="B21" s="1017"/>
      <c r="C21" s="1009" t="s">
        <v>140</v>
      </c>
      <c r="D21" s="1010"/>
      <c r="E21" s="1009" t="s">
        <v>140</v>
      </c>
      <c r="F21" s="1010"/>
      <c r="G21" s="1009" t="s">
        <v>140</v>
      </c>
      <c r="H21" s="1010"/>
      <c r="I21" s="1009" t="s">
        <v>140</v>
      </c>
      <c r="J21" s="1010"/>
      <c r="K21" s="1009" t="s">
        <v>140</v>
      </c>
      <c r="L21" s="1010"/>
      <c r="M21" s="1009" t="s">
        <v>140</v>
      </c>
      <c r="N21" s="1010"/>
      <c r="O21" s="1009" t="s">
        <v>140</v>
      </c>
      <c r="P21" s="1010"/>
      <c r="Q21" s="1009" t="s">
        <v>140</v>
      </c>
      <c r="R21" s="1010"/>
      <c r="S21" s="1009" t="s">
        <v>140</v>
      </c>
      <c r="T21" s="1010"/>
      <c r="U21" s="1009" t="s">
        <v>140</v>
      </c>
      <c r="V21" s="1010"/>
      <c r="W21" s="1009" t="s">
        <v>140</v>
      </c>
      <c r="X21" s="1010"/>
      <c r="Y21" s="1009" t="s">
        <v>140</v>
      </c>
      <c r="Z21" s="1010"/>
      <c r="AA21" s="345" t="s">
        <v>140</v>
      </c>
      <c r="AB21" s="1011" t="s">
        <v>37</v>
      </c>
    </row>
    <row r="22" spans="1:29" x14ac:dyDescent="0.35">
      <c r="A22" s="1014" t="s">
        <v>13</v>
      </c>
      <c r="B22" s="1015"/>
      <c r="C22" s="1003" t="s">
        <v>89</v>
      </c>
      <c r="D22" s="1004"/>
      <c r="E22" s="1003" t="s">
        <v>49</v>
      </c>
      <c r="F22" s="1004"/>
      <c r="G22" s="1003" t="s">
        <v>50</v>
      </c>
      <c r="H22" s="1004"/>
      <c r="I22" s="1005" t="s">
        <v>51</v>
      </c>
      <c r="J22" s="1006"/>
      <c r="K22" s="1003" t="s">
        <v>52</v>
      </c>
      <c r="L22" s="1004"/>
      <c r="M22" s="1003" t="s">
        <v>53</v>
      </c>
      <c r="N22" s="1004"/>
      <c r="O22" s="1005" t="s">
        <v>54</v>
      </c>
      <c r="P22" s="1006"/>
      <c r="Q22" s="1005" t="s">
        <v>81</v>
      </c>
      <c r="R22" s="1006"/>
      <c r="S22" s="1003" t="s">
        <v>90</v>
      </c>
      <c r="T22" s="1004"/>
      <c r="U22" s="1005" t="s">
        <v>91</v>
      </c>
      <c r="V22" s="1006"/>
      <c r="W22" s="1005" t="s">
        <v>92</v>
      </c>
      <c r="X22" s="1006"/>
      <c r="Y22" s="1003" t="s">
        <v>93</v>
      </c>
      <c r="Z22" s="1004"/>
      <c r="AA22" s="438" t="s">
        <v>36</v>
      </c>
      <c r="AB22" s="1012"/>
    </row>
    <row r="23" spans="1:29" x14ac:dyDescent="0.35">
      <c r="A23" s="1007" t="s">
        <v>32</v>
      </c>
      <c r="B23" s="1008"/>
      <c r="C23" s="36"/>
      <c r="D23" s="37" t="s">
        <v>24</v>
      </c>
      <c r="E23" s="36"/>
      <c r="F23" s="37" t="s">
        <v>24</v>
      </c>
      <c r="G23" s="36"/>
      <c r="H23" s="37" t="s">
        <v>24</v>
      </c>
      <c r="I23" s="38"/>
      <c r="J23" s="38" t="s">
        <v>24</v>
      </c>
      <c r="K23" s="36"/>
      <c r="L23" s="37" t="s">
        <v>24</v>
      </c>
      <c r="M23" s="36"/>
      <c r="N23" s="37" t="s">
        <v>24</v>
      </c>
      <c r="O23" s="38"/>
      <c r="P23" s="38" t="s">
        <v>24</v>
      </c>
      <c r="Q23" s="38"/>
      <c r="R23" s="38" t="s">
        <v>24</v>
      </c>
      <c r="S23" s="38"/>
      <c r="T23" s="38" t="s">
        <v>24</v>
      </c>
      <c r="U23" s="38"/>
      <c r="V23" s="38" t="s">
        <v>24</v>
      </c>
      <c r="W23" s="38"/>
      <c r="X23" s="38" t="s">
        <v>24</v>
      </c>
      <c r="Y23" s="38"/>
      <c r="Z23" s="38" t="s">
        <v>24</v>
      </c>
      <c r="AA23" s="38" t="s">
        <v>24</v>
      </c>
      <c r="AB23" s="1012"/>
    </row>
    <row r="24" spans="1:29" ht="52" x14ac:dyDescent="0.35">
      <c r="A24" s="44" t="s">
        <v>25</v>
      </c>
      <c r="B24" s="44" t="s">
        <v>55</v>
      </c>
      <c r="C24" s="45" t="s">
        <v>56</v>
      </c>
      <c r="D24" s="46" t="s">
        <v>27</v>
      </c>
      <c r="E24" s="45" t="s">
        <v>56</v>
      </c>
      <c r="F24" s="46" t="s">
        <v>27</v>
      </c>
      <c r="G24" s="45" t="s">
        <v>56</v>
      </c>
      <c r="H24" s="46" t="s">
        <v>27</v>
      </c>
      <c r="I24" s="45" t="s">
        <v>56</v>
      </c>
      <c r="J24" s="46" t="s">
        <v>27</v>
      </c>
      <c r="K24" s="45" t="s">
        <v>56</v>
      </c>
      <c r="L24" s="46" t="s">
        <v>27</v>
      </c>
      <c r="M24" s="45" t="s">
        <v>56</v>
      </c>
      <c r="N24" s="46" t="s">
        <v>27</v>
      </c>
      <c r="O24" s="45" t="s">
        <v>56</v>
      </c>
      <c r="P24" s="46" t="s">
        <v>27</v>
      </c>
      <c r="Q24" s="45" t="s">
        <v>56</v>
      </c>
      <c r="R24" s="46" t="s">
        <v>27</v>
      </c>
      <c r="S24" s="45" t="s">
        <v>56</v>
      </c>
      <c r="T24" s="46" t="s">
        <v>27</v>
      </c>
      <c r="U24" s="45" t="s">
        <v>56</v>
      </c>
      <c r="V24" s="46" t="s">
        <v>27</v>
      </c>
      <c r="W24" s="45" t="s">
        <v>56</v>
      </c>
      <c r="X24" s="46" t="s">
        <v>27</v>
      </c>
      <c r="Y24" s="45" t="s">
        <v>56</v>
      </c>
      <c r="Z24" s="46" t="s">
        <v>27</v>
      </c>
      <c r="AA24" s="46" t="s">
        <v>27</v>
      </c>
      <c r="AB24" s="1079"/>
      <c r="AC24" s="395"/>
    </row>
    <row r="25" spans="1:29" x14ac:dyDescent="0.35">
      <c r="A25" s="51" t="s">
        <v>29</v>
      </c>
      <c r="B25" s="51" t="s">
        <v>57</v>
      </c>
      <c r="C25" s="52">
        <v>1</v>
      </c>
      <c r="D25" s="53">
        <v>2</v>
      </c>
      <c r="E25" s="52">
        <v>3</v>
      </c>
      <c r="F25" s="53">
        <v>4</v>
      </c>
      <c r="G25" s="52">
        <v>5</v>
      </c>
      <c r="H25" s="53">
        <v>6</v>
      </c>
      <c r="I25" s="54">
        <v>7</v>
      </c>
      <c r="J25" s="55">
        <v>8</v>
      </c>
      <c r="K25" s="52">
        <v>9</v>
      </c>
      <c r="L25" s="53">
        <v>10</v>
      </c>
      <c r="M25" s="52">
        <v>11</v>
      </c>
      <c r="N25" s="53">
        <v>12</v>
      </c>
      <c r="O25" s="54">
        <v>13</v>
      </c>
      <c r="P25" s="55">
        <v>14</v>
      </c>
      <c r="Q25" s="52">
        <v>15</v>
      </c>
      <c r="R25" s="53">
        <v>16</v>
      </c>
      <c r="S25" s="52">
        <v>17</v>
      </c>
      <c r="T25" s="53">
        <v>18</v>
      </c>
      <c r="U25" s="54">
        <v>19</v>
      </c>
      <c r="V25" s="55">
        <v>20</v>
      </c>
      <c r="W25" s="52">
        <v>21</v>
      </c>
      <c r="X25" s="53">
        <v>22</v>
      </c>
      <c r="Y25" s="52">
        <v>23</v>
      </c>
      <c r="Z25" s="53">
        <v>24</v>
      </c>
      <c r="AA25" s="54">
        <v>25</v>
      </c>
      <c r="AB25" s="55">
        <v>26</v>
      </c>
      <c r="AC25" s="395"/>
    </row>
    <row r="26" spans="1:29" ht="73.5" customHeight="1" x14ac:dyDescent="0.35">
      <c r="A26" s="1024" t="s">
        <v>231</v>
      </c>
      <c r="B26" s="1026" t="s">
        <v>73</v>
      </c>
      <c r="C26" s="1020"/>
      <c r="D26" s="1018"/>
      <c r="E26" s="1020" t="s">
        <v>203</v>
      </c>
      <c r="F26" s="1018">
        <v>1884</v>
      </c>
      <c r="G26" s="1020"/>
      <c r="H26" s="1018"/>
      <c r="I26" s="1020"/>
      <c r="J26" s="1018"/>
      <c r="K26" s="1022"/>
      <c r="L26" s="1018"/>
      <c r="M26" s="1022"/>
      <c r="N26" s="1028"/>
      <c r="O26" s="1022"/>
      <c r="P26" s="1018"/>
      <c r="Q26" s="1022"/>
      <c r="R26" s="1028"/>
      <c r="S26" s="1022" t="s">
        <v>236</v>
      </c>
      <c r="T26" s="1018">
        <v>816.4</v>
      </c>
      <c r="U26" s="1022" t="s">
        <v>265</v>
      </c>
      <c r="V26" s="1028">
        <v>1067.5999999999999</v>
      </c>
      <c r="W26" s="1022">
        <v>0</v>
      </c>
      <c r="X26" s="1028">
        <v>0</v>
      </c>
      <c r="Y26" s="1022">
        <v>0</v>
      </c>
      <c r="Z26" s="1028">
        <v>0</v>
      </c>
      <c r="AA26" s="1047">
        <f>Z26+X26+V26+T26+R26+P26+N26+L26+J26+H26+F26+D26</f>
        <v>3768</v>
      </c>
      <c r="AB26" s="346" t="s">
        <v>75</v>
      </c>
      <c r="AC26" s="395"/>
    </row>
    <row r="27" spans="1:29" ht="73.5" customHeight="1" x14ac:dyDescent="0.35">
      <c r="A27" s="1025"/>
      <c r="B27" s="1027"/>
      <c r="C27" s="1021"/>
      <c r="D27" s="1019"/>
      <c r="E27" s="1021"/>
      <c r="F27" s="1019"/>
      <c r="G27" s="1021"/>
      <c r="H27" s="1019"/>
      <c r="I27" s="1021"/>
      <c r="J27" s="1019"/>
      <c r="K27" s="1023"/>
      <c r="L27" s="1019"/>
      <c r="M27" s="1023"/>
      <c r="N27" s="1029"/>
      <c r="O27" s="1023"/>
      <c r="P27" s="1019"/>
      <c r="Q27" s="1023"/>
      <c r="R27" s="1029"/>
      <c r="S27" s="1023"/>
      <c r="T27" s="1019"/>
      <c r="U27" s="1023"/>
      <c r="V27" s="1029"/>
      <c r="W27" s="1023"/>
      <c r="X27" s="1029"/>
      <c r="Y27" s="1023"/>
      <c r="Z27" s="1029"/>
      <c r="AA27" s="1031"/>
      <c r="AB27" s="346" t="s">
        <v>77</v>
      </c>
      <c r="AC27" s="395"/>
    </row>
    <row r="28" spans="1:29" ht="73.5" customHeight="1" x14ac:dyDescent="0.35">
      <c r="A28" s="1024" t="s">
        <v>232</v>
      </c>
      <c r="B28" s="1026" t="s">
        <v>79</v>
      </c>
      <c r="C28" s="1020"/>
      <c r="D28" s="1018"/>
      <c r="E28" s="1020"/>
      <c r="F28" s="1018"/>
      <c r="G28" s="1033"/>
      <c r="H28" s="1018"/>
      <c r="I28" s="1020"/>
      <c r="J28" s="1018"/>
      <c r="K28" s="1022"/>
      <c r="L28" s="1018"/>
      <c r="M28" s="1022"/>
      <c r="N28" s="1028"/>
      <c r="O28" s="1022"/>
      <c r="P28" s="1028"/>
      <c r="Q28" s="1022"/>
      <c r="R28" s="1028"/>
      <c r="S28" s="1022"/>
      <c r="T28" s="1028"/>
      <c r="U28" s="1022"/>
      <c r="V28" s="1028"/>
      <c r="W28" s="1022"/>
      <c r="X28" s="1028"/>
      <c r="Y28" s="1022"/>
      <c r="Z28" s="1028"/>
      <c r="AA28" s="1047">
        <f>Z28+X28+V28+T28+R28+P28+N28+L28+J28+H28+F28+D28</f>
        <v>0</v>
      </c>
      <c r="AB28" s="346" t="s">
        <v>75</v>
      </c>
      <c r="AC28" s="395"/>
    </row>
    <row r="29" spans="1:29" ht="73.5" customHeight="1" x14ac:dyDescent="0.35">
      <c r="A29" s="1040"/>
      <c r="B29" s="1041"/>
      <c r="C29" s="1042"/>
      <c r="D29" s="1043"/>
      <c r="E29" s="1042"/>
      <c r="F29" s="1043"/>
      <c r="G29" s="1044"/>
      <c r="H29" s="1043"/>
      <c r="I29" s="1042"/>
      <c r="J29" s="1043"/>
      <c r="K29" s="1045"/>
      <c r="L29" s="1043"/>
      <c r="M29" s="1045"/>
      <c r="N29" s="1046"/>
      <c r="O29" s="1045"/>
      <c r="P29" s="1046"/>
      <c r="Q29" s="1045"/>
      <c r="R29" s="1046"/>
      <c r="S29" s="1045"/>
      <c r="T29" s="1046"/>
      <c r="U29" s="1045"/>
      <c r="V29" s="1046"/>
      <c r="W29" s="1045"/>
      <c r="X29" s="1046"/>
      <c r="Y29" s="1045"/>
      <c r="Z29" s="1046"/>
      <c r="AA29" s="1031"/>
      <c r="AB29" s="346" t="s">
        <v>77</v>
      </c>
      <c r="AC29" s="395"/>
    </row>
    <row r="30" spans="1:29" ht="73.5" customHeight="1" x14ac:dyDescent="0.35">
      <c r="A30" s="1024" t="s">
        <v>233</v>
      </c>
      <c r="B30" s="1026" t="s">
        <v>79</v>
      </c>
      <c r="C30" s="1020"/>
      <c r="D30" s="1018"/>
      <c r="E30" s="1020"/>
      <c r="F30" s="1018"/>
      <c r="G30" s="1033"/>
      <c r="H30" s="1018"/>
      <c r="I30" s="1020"/>
      <c r="J30" s="1018"/>
      <c r="K30" s="1022"/>
      <c r="L30" s="1018"/>
      <c r="M30" s="1022"/>
      <c r="N30" s="1028"/>
      <c r="O30" s="1022"/>
      <c r="P30" s="1028"/>
      <c r="Q30" s="1022"/>
      <c r="R30" s="1028"/>
      <c r="S30" s="1022" t="s">
        <v>237</v>
      </c>
      <c r="T30" s="1028">
        <v>4224</v>
      </c>
      <c r="U30" s="1022" t="s">
        <v>238</v>
      </c>
      <c r="V30" s="1028">
        <v>4083.2</v>
      </c>
      <c r="W30" s="1022"/>
      <c r="X30" s="1028"/>
      <c r="Y30" s="1022"/>
      <c r="Z30" s="1028"/>
      <c r="AA30" s="1047">
        <f>Z30+X30+V30+T30+R30+P30+N30+L30+J30+H30+F30+D30</f>
        <v>8307.2000000000007</v>
      </c>
      <c r="AB30" s="346" t="s">
        <v>75</v>
      </c>
      <c r="AC30" s="395"/>
    </row>
    <row r="31" spans="1:29" ht="73.5" customHeight="1" x14ac:dyDescent="0.35">
      <c r="A31" s="1040"/>
      <c r="B31" s="1048"/>
      <c r="C31" s="1049"/>
      <c r="D31" s="1050"/>
      <c r="E31" s="1049"/>
      <c r="F31" s="1050"/>
      <c r="G31" s="1051"/>
      <c r="H31" s="1050"/>
      <c r="I31" s="1049"/>
      <c r="J31" s="1050"/>
      <c r="K31" s="1052"/>
      <c r="L31" s="1050"/>
      <c r="M31" s="1052"/>
      <c r="N31" s="1053"/>
      <c r="O31" s="1052"/>
      <c r="P31" s="1053"/>
      <c r="Q31" s="1052"/>
      <c r="R31" s="1053"/>
      <c r="S31" s="1052"/>
      <c r="T31" s="1053"/>
      <c r="U31" s="1052"/>
      <c r="V31" s="1053"/>
      <c r="W31" s="1052"/>
      <c r="X31" s="1053"/>
      <c r="Y31" s="1052"/>
      <c r="Z31" s="1053"/>
      <c r="AA31" s="1031"/>
      <c r="AB31" s="346" t="s">
        <v>77</v>
      </c>
      <c r="AC31" s="395"/>
    </row>
    <row r="32" spans="1:29" ht="73.5" customHeight="1" x14ac:dyDescent="0.35">
      <c r="A32" s="1024" t="s">
        <v>234</v>
      </c>
      <c r="B32" s="1041" t="s">
        <v>73</v>
      </c>
      <c r="C32" s="1042" t="s">
        <v>204</v>
      </c>
      <c r="D32" s="1043">
        <v>8420.4</v>
      </c>
      <c r="E32" s="1042" t="s">
        <v>205</v>
      </c>
      <c r="F32" s="1043">
        <v>4210.2</v>
      </c>
      <c r="G32" s="1042"/>
      <c r="H32" s="1043"/>
      <c r="I32" s="1042"/>
      <c r="J32" s="1043"/>
      <c r="K32" s="1045" t="s">
        <v>206</v>
      </c>
      <c r="L32" s="1043">
        <v>1122.72</v>
      </c>
      <c r="M32" s="1045" t="s">
        <v>239</v>
      </c>
      <c r="N32" s="1043">
        <v>2947.14</v>
      </c>
      <c r="O32" s="1045"/>
      <c r="P32" s="1043"/>
      <c r="Q32" s="1045"/>
      <c r="R32" s="1043"/>
      <c r="S32" s="1045"/>
      <c r="T32" s="1046"/>
      <c r="U32" s="1045"/>
      <c r="V32" s="1043"/>
      <c r="W32" s="1045">
        <v>0</v>
      </c>
      <c r="X32" s="1043">
        <v>0</v>
      </c>
      <c r="Y32" s="1045">
        <v>0</v>
      </c>
      <c r="Z32" s="1046">
        <v>0</v>
      </c>
      <c r="AA32" s="1047">
        <f>Z32+X32+V32+T32+R32+P32+N32+L32+J32+H32+F32+D32</f>
        <v>16700.46</v>
      </c>
      <c r="AB32" s="346" t="s">
        <v>75</v>
      </c>
      <c r="AC32" s="395"/>
    </row>
    <row r="33" spans="1:31" ht="73.5" customHeight="1" x14ac:dyDescent="0.35">
      <c r="A33" s="1025"/>
      <c r="B33" s="1027"/>
      <c r="C33" s="1021"/>
      <c r="D33" s="1019"/>
      <c r="E33" s="1021"/>
      <c r="F33" s="1019"/>
      <c r="G33" s="1021"/>
      <c r="H33" s="1019"/>
      <c r="I33" s="1021"/>
      <c r="J33" s="1019"/>
      <c r="K33" s="1023"/>
      <c r="L33" s="1019"/>
      <c r="M33" s="1023"/>
      <c r="N33" s="1019"/>
      <c r="O33" s="1023"/>
      <c r="P33" s="1019"/>
      <c r="Q33" s="1023"/>
      <c r="R33" s="1019"/>
      <c r="S33" s="1023"/>
      <c r="T33" s="1029"/>
      <c r="U33" s="1023"/>
      <c r="V33" s="1019"/>
      <c r="W33" s="1023"/>
      <c r="X33" s="1019"/>
      <c r="Y33" s="1023"/>
      <c r="Z33" s="1029"/>
      <c r="AA33" s="1031"/>
      <c r="AB33" s="346" t="s">
        <v>77</v>
      </c>
      <c r="AC33" s="395"/>
    </row>
    <row r="34" spans="1:31" ht="73.5" customHeight="1" x14ac:dyDescent="0.35">
      <c r="A34" s="1024" t="s">
        <v>235</v>
      </c>
      <c r="B34" s="1026" t="s">
        <v>79</v>
      </c>
      <c r="C34" s="1038" t="s">
        <v>207</v>
      </c>
      <c r="D34" s="1018">
        <v>5683.77</v>
      </c>
      <c r="E34" s="1038" t="s">
        <v>208</v>
      </c>
      <c r="F34" s="1018">
        <v>3508.5</v>
      </c>
      <c r="G34" s="1020" t="s">
        <v>209</v>
      </c>
      <c r="H34" s="1018">
        <v>1824.42</v>
      </c>
      <c r="I34" s="1020" t="s">
        <v>210</v>
      </c>
      <c r="J34" s="1018">
        <v>4210.2</v>
      </c>
      <c r="K34" s="1038"/>
      <c r="L34" s="1018"/>
      <c r="M34" s="1022"/>
      <c r="N34" s="1018"/>
      <c r="O34" s="1038"/>
      <c r="P34" s="1018"/>
      <c r="Q34" s="1022"/>
      <c r="R34" s="1028"/>
      <c r="S34" s="1038"/>
      <c r="T34" s="1018"/>
      <c r="U34" s="1022"/>
      <c r="V34" s="1028"/>
      <c r="W34" s="1022"/>
      <c r="X34" s="1028"/>
      <c r="Y34" s="1022"/>
      <c r="Z34" s="1028"/>
      <c r="AA34" s="1030">
        <v>15226.89</v>
      </c>
      <c r="AB34" s="346" t="s">
        <v>75</v>
      </c>
      <c r="AC34" s="395"/>
    </row>
    <row r="35" spans="1:31" ht="73.5" customHeight="1" x14ac:dyDescent="0.35">
      <c r="A35" s="1025"/>
      <c r="B35" s="1027"/>
      <c r="C35" s="1039"/>
      <c r="D35" s="1019"/>
      <c r="E35" s="1039"/>
      <c r="F35" s="1019"/>
      <c r="G35" s="1021"/>
      <c r="H35" s="1019"/>
      <c r="I35" s="1021"/>
      <c r="J35" s="1019"/>
      <c r="K35" s="1039"/>
      <c r="L35" s="1019"/>
      <c r="M35" s="1023"/>
      <c r="N35" s="1019"/>
      <c r="O35" s="1039"/>
      <c r="P35" s="1019"/>
      <c r="Q35" s="1023"/>
      <c r="R35" s="1029"/>
      <c r="S35" s="1039"/>
      <c r="T35" s="1019"/>
      <c r="U35" s="1023"/>
      <c r="V35" s="1029"/>
      <c r="W35" s="1023"/>
      <c r="X35" s="1029"/>
      <c r="Y35" s="1023"/>
      <c r="Z35" s="1029"/>
      <c r="AA35" s="1031"/>
      <c r="AB35" s="346" t="s">
        <v>77</v>
      </c>
      <c r="AC35" s="395"/>
    </row>
    <row r="36" spans="1:31" ht="15" hidden="1" customHeight="1" thickBot="1" x14ac:dyDescent="0.4">
      <c r="A36" s="20"/>
      <c r="B36" s="21"/>
      <c r="C36" s="22"/>
      <c r="D36" s="23"/>
      <c r="E36" s="22"/>
      <c r="F36" s="23"/>
      <c r="G36" s="22"/>
      <c r="H36" s="23"/>
      <c r="I36" s="24"/>
      <c r="J36" s="23"/>
      <c r="K36" s="25"/>
      <c r="L36" s="23"/>
      <c r="M36" s="25"/>
      <c r="N36" s="26"/>
      <c r="O36" s="354"/>
      <c r="P36" s="439"/>
      <c r="Q36" s="354"/>
      <c r="R36" s="439"/>
      <c r="S36" s="354"/>
      <c r="T36" s="439"/>
      <c r="U36" s="354"/>
      <c r="V36" s="439"/>
      <c r="W36" s="354"/>
      <c r="X36" s="439"/>
      <c r="Y36" s="354"/>
      <c r="Z36" s="439"/>
      <c r="AA36" s="355"/>
      <c r="AB36" s="356"/>
      <c r="AC36" s="395"/>
    </row>
    <row r="37" spans="1:31" ht="15" thickBot="1" x14ac:dyDescent="0.4">
      <c r="A37" s="1035" t="s">
        <v>36</v>
      </c>
      <c r="B37" s="1036"/>
      <c r="C37" s="357" t="s">
        <v>32</v>
      </c>
      <c r="D37" s="358">
        <f>SUM(D26:D35)</f>
        <v>14104.17</v>
      </c>
      <c r="E37" s="357" t="s">
        <v>32</v>
      </c>
      <c r="F37" s="358">
        <f>SUM(F26:F35)</f>
        <v>9602.7000000000007</v>
      </c>
      <c r="G37" s="357" t="s">
        <v>32</v>
      </c>
      <c r="H37" s="358">
        <f>SUM(H26:H35)</f>
        <v>1824.42</v>
      </c>
      <c r="I37" s="359" t="s">
        <v>32</v>
      </c>
      <c r="J37" s="358">
        <f>SUM(J26:J35)</f>
        <v>4210.2</v>
      </c>
      <c r="K37" s="360" t="s">
        <v>32</v>
      </c>
      <c r="L37" s="358">
        <f>SUM(L26:L35)</f>
        <v>1122.72</v>
      </c>
      <c r="M37" s="360" t="s">
        <v>32</v>
      </c>
      <c r="N37" s="358">
        <f>SUM(N26:N35)</f>
        <v>2947.14</v>
      </c>
      <c r="O37" s="361" t="s">
        <v>32</v>
      </c>
      <c r="P37" s="358">
        <f>SUM(P26:P35)</f>
        <v>0</v>
      </c>
      <c r="Q37" s="361" t="s">
        <v>32</v>
      </c>
      <c r="R37" s="358">
        <f>SUM(R26:R35)</f>
        <v>0</v>
      </c>
      <c r="S37" s="361" t="s">
        <v>32</v>
      </c>
      <c r="T37" s="358">
        <f>SUM(T26:T35)</f>
        <v>5040.3999999999996</v>
      </c>
      <c r="U37" s="361" t="s">
        <v>32</v>
      </c>
      <c r="V37" s="358">
        <f>SUM(V26:V35)</f>
        <v>5150.7999999999993</v>
      </c>
      <c r="W37" s="361" t="s">
        <v>32</v>
      </c>
      <c r="X37" s="358">
        <f>SUM(X26:X35)</f>
        <v>0</v>
      </c>
      <c r="Y37" s="361" t="s">
        <v>32</v>
      </c>
      <c r="Z37" s="358">
        <f>SUM(Z26:Z35)</f>
        <v>0</v>
      </c>
      <c r="AA37" s="358">
        <f>SUM(AA26:AA35)</f>
        <v>44002.55</v>
      </c>
      <c r="AB37" s="362" t="s">
        <v>32</v>
      </c>
      <c r="AC37" s="396"/>
    </row>
    <row r="39" spans="1:31" ht="15" thickBot="1" x14ac:dyDescent="0.4"/>
    <row r="40" spans="1:31" ht="18.649999999999999" customHeight="1" x14ac:dyDescent="0.35">
      <c r="A40" s="1016" t="s">
        <v>12</v>
      </c>
      <c r="B40" s="1017"/>
      <c r="C40" s="1009" t="s">
        <v>189</v>
      </c>
      <c r="D40" s="1010"/>
      <c r="E40" s="1009" t="s">
        <v>189</v>
      </c>
      <c r="F40" s="1010"/>
      <c r="G40" s="1009" t="s">
        <v>189</v>
      </c>
      <c r="H40" s="1010"/>
      <c r="I40" s="1009" t="s">
        <v>189</v>
      </c>
      <c r="J40" s="1010"/>
      <c r="K40" s="1009" t="s">
        <v>189</v>
      </c>
      <c r="L40" s="1010"/>
      <c r="M40" s="1009" t="s">
        <v>189</v>
      </c>
      <c r="N40" s="1010"/>
      <c r="O40" s="1009" t="s">
        <v>189</v>
      </c>
      <c r="P40" s="1010"/>
      <c r="Q40" s="1009" t="s">
        <v>189</v>
      </c>
      <c r="R40" s="1010"/>
      <c r="S40" s="1009" t="s">
        <v>189</v>
      </c>
      <c r="T40" s="1010"/>
      <c r="U40" s="1054" t="s">
        <v>189</v>
      </c>
      <c r="V40" s="1055"/>
      <c r="W40" s="1054" t="s">
        <v>189</v>
      </c>
      <c r="X40" s="1055"/>
      <c r="Y40" s="1054" t="s">
        <v>189</v>
      </c>
      <c r="Z40" s="1055"/>
      <c r="AA40" s="717" t="s">
        <v>312</v>
      </c>
      <c r="AB40" s="717" t="s">
        <v>250</v>
      </c>
      <c r="AC40" s="1011" t="s">
        <v>37</v>
      </c>
    </row>
    <row r="41" spans="1:31" x14ac:dyDescent="0.35">
      <c r="A41" s="1014" t="s">
        <v>13</v>
      </c>
      <c r="B41" s="1015"/>
      <c r="C41" s="1003" t="s">
        <v>89</v>
      </c>
      <c r="D41" s="1004"/>
      <c r="E41" s="1003" t="s">
        <v>49</v>
      </c>
      <c r="F41" s="1004"/>
      <c r="G41" s="1003" t="s">
        <v>50</v>
      </c>
      <c r="H41" s="1004"/>
      <c r="I41" s="1005" t="s">
        <v>51</v>
      </c>
      <c r="J41" s="1006"/>
      <c r="K41" s="1056" t="s">
        <v>52</v>
      </c>
      <c r="L41" s="1057"/>
      <c r="M41" s="1056" t="s">
        <v>53</v>
      </c>
      <c r="N41" s="1057"/>
      <c r="O41" s="1058" t="s">
        <v>54</v>
      </c>
      <c r="P41" s="1059"/>
      <c r="Q41" s="1058" t="s">
        <v>81</v>
      </c>
      <c r="R41" s="1059"/>
      <c r="S41" s="1056" t="s">
        <v>90</v>
      </c>
      <c r="T41" s="1057"/>
      <c r="U41" s="1060" t="s">
        <v>91</v>
      </c>
      <c r="V41" s="1061"/>
      <c r="W41" s="1060" t="s">
        <v>92</v>
      </c>
      <c r="X41" s="1061"/>
      <c r="Y41" s="1062" t="s">
        <v>93</v>
      </c>
      <c r="Z41" s="1063"/>
      <c r="AA41" s="555" t="s">
        <v>36</v>
      </c>
      <c r="AB41" s="555" t="s">
        <v>36</v>
      </c>
      <c r="AC41" s="1012"/>
    </row>
    <row r="42" spans="1:31" x14ac:dyDescent="0.35">
      <c r="A42" s="1007" t="s">
        <v>32</v>
      </c>
      <c r="B42" s="1008"/>
      <c r="C42" s="36"/>
      <c r="D42" s="37" t="s">
        <v>24</v>
      </c>
      <c r="E42" s="36"/>
      <c r="F42" s="37" t="s">
        <v>24</v>
      </c>
      <c r="G42" s="36"/>
      <c r="H42" s="37" t="s">
        <v>24</v>
      </c>
      <c r="I42" s="38"/>
      <c r="J42" s="38" t="s">
        <v>24</v>
      </c>
      <c r="K42" s="786"/>
      <c r="L42" s="787" t="s">
        <v>24</v>
      </c>
      <c r="M42" s="786"/>
      <c r="N42" s="787" t="s">
        <v>24</v>
      </c>
      <c r="O42" s="797"/>
      <c r="P42" s="797" t="s">
        <v>24</v>
      </c>
      <c r="Q42" s="797"/>
      <c r="R42" s="797" t="s">
        <v>24</v>
      </c>
      <c r="S42" s="797"/>
      <c r="T42" s="797" t="s">
        <v>24</v>
      </c>
      <c r="U42" s="456"/>
      <c r="V42" s="456" t="s">
        <v>24</v>
      </c>
      <c r="W42" s="456"/>
      <c r="X42" s="456" t="s">
        <v>24</v>
      </c>
      <c r="Y42" s="456"/>
      <c r="Z42" s="456" t="s">
        <v>24</v>
      </c>
      <c r="AA42" s="456" t="s">
        <v>24</v>
      </c>
      <c r="AB42" s="456" t="s">
        <v>24</v>
      </c>
      <c r="AC42" s="1012"/>
    </row>
    <row r="43" spans="1:31" ht="52" x14ac:dyDescent="0.35">
      <c r="A43" s="44" t="s">
        <v>25</v>
      </c>
      <c r="B43" s="44" t="s">
        <v>55</v>
      </c>
      <c r="C43" s="45" t="s">
        <v>56</v>
      </c>
      <c r="D43" s="46" t="s">
        <v>27</v>
      </c>
      <c r="E43" s="45" t="s">
        <v>56</v>
      </c>
      <c r="F43" s="46" t="s">
        <v>27</v>
      </c>
      <c r="G43" s="45" t="s">
        <v>56</v>
      </c>
      <c r="H43" s="46" t="s">
        <v>27</v>
      </c>
      <c r="I43" s="45" t="s">
        <v>56</v>
      </c>
      <c r="J43" s="46" t="s">
        <v>27</v>
      </c>
      <c r="K43" s="788" t="s">
        <v>56</v>
      </c>
      <c r="L43" s="789" t="s">
        <v>27</v>
      </c>
      <c r="M43" s="788" t="s">
        <v>56</v>
      </c>
      <c r="N43" s="789" t="s">
        <v>28</v>
      </c>
      <c r="O43" s="788" t="s">
        <v>56</v>
      </c>
      <c r="P43" s="789" t="s">
        <v>28</v>
      </c>
      <c r="Q43" s="788" t="s">
        <v>56</v>
      </c>
      <c r="R43" s="789" t="s">
        <v>28</v>
      </c>
      <c r="S43" s="788" t="s">
        <v>56</v>
      </c>
      <c r="T43" s="789" t="s">
        <v>28</v>
      </c>
      <c r="U43" s="458" t="s">
        <v>56</v>
      </c>
      <c r="V43" s="459" t="s">
        <v>28</v>
      </c>
      <c r="W43" s="458" t="s">
        <v>56</v>
      </c>
      <c r="X43" s="459" t="s">
        <v>28</v>
      </c>
      <c r="Y43" s="458" t="s">
        <v>56</v>
      </c>
      <c r="Z43" s="459" t="s">
        <v>28</v>
      </c>
      <c r="AA43" s="459" t="s">
        <v>28</v>
      </c>
      <c r="AB43" s="459" t="s">
        <v>28</v>
      </c>
      <c r="AC43" s="1013"/>
    </row>
    <row r="44" spans="1:31" x14ac:dyDescent="0.35">
      <c r="A44" s="51" t="s">
        <v>29</v>
      </c>
      <c r="B44" s="51" t="s">
        <v>57</v>
      </c>
      <c r="C44" s="52">
        <v>1</v>
      </c>
      <c r="D44" s="53">
        <v>2</v>
      </c>
      <c r="E44" s="52">
        <v>3</v>
      </c>
      <c r="F44" s="53">
        <v>4</v>
      </c>
      <c r="G44" s="52">
        <v>5</v>
      </c>
      <c r="H44" s="53">
        <v>6</v>
      </c>
      <c r="I44" s="54">
        <v>7</v>
      </c>
      <c r="J44" s="55">
        <v>8</v>
      </c>
      <c r="K44" s="790">
        <v>9</v>
      </c>
      <c r="L44" s="791">
        <v>10</v>
      </c>
      <c r="M44" s="790">
        <v>11</v>
      </c>
      <c r="N44" s="791">
        <v>12</v>
      </c>
      <c r="O44" s="795">
        <v>13</v>
      </c>
      <c r="P44" s="838">
        <v>14</v>
      </c>
      <c r="Q44" s="790">
        <v>15</v>
      </c>
      <c r="R44" s="791">
        <v>16</v>
      </c>
      <c r="S44" s="790">
        <v>17</v>
      </c>
      <c r="T44" s="791">
        <v>18</v>
      </c>
      <c r="U44" s="464">
        <v>19</v>
      </c>
      <c r="V44" s="472">
        <v>20</v>
      </c>
      <c r="W44" s="462">
        <v>21</v>
      </c>
      <c r="X44" s="463">
        <v>22</v>
      </c>
      <c r="Y44" s="462">
        <v>23</v>
      </c>
      <c r="Z44" s="463">
        <v>24</v>
      </c>
      <c r="AA44" s="464">
        <v>25</v>
      </c>
      <c r="AB44" s="464">
        <v>25</v>
      </c>
      <c r="AC44" s="55">
        <v>27</v>
      </c>
    </row>
    <row r="45" spans="1:31" ht="73.5" customHeight="1" x14ac:dyDescent="0.35">
      <c r="A45" s="1024" t="s">
        <v>231</v>
      </c>
      <c r="B45" s="1026" t="s">
        <v>73</v>
      </c>
      <c r="C45" s="1020"/>
      <c r="D45" s="1018"/>
      <c r="E45" s="1020"/>
      <c r="F45" s="1018"/>
      <c r="G45" s="1020"/>
      <c r="H45" s="1018"/>
      <c r="I45" s="1020"/>
      <c r="J45" s="1018"/>
      <c r="K45" s="1022"/>
      <c r="L45" s="1018"/>
      <c r="M45" s="1022"/>
      <c r="N45" s="1018"/>
      <c r="O45" s="1022"/>
      <c r="P45" s="1018"/>
      <c r="Q45" s="1022"/>
      <c r="R45" s="1018"/>
      <c r="S45" s="1022"/>
      <c r="T45" s="1018"/>
      <c r="U45" s="1064"/>
      <c r="V45" s="1066"/>
      <c r="W45" s="1064"/>
      <c r="X45" s="1066"/>
      <c r="Y45" s="1064"/>
      <c r="Z45" s="1066"/>
      <c r="AA45" s="1068">
        <f>Z45+X45+V45+T45+R45+P45+N45+L45+J45+H45+F45+D45</f>
        <v>0</v>
      </c>
      <c r="AB45" s="1070">
        <f>AA45</f>
        <v>0</v>
      </c>
      <c r="AC45" s="346" t="s">
        <v>75</v>
      </c>
    </row>
    <row r="46" spans="1:31" ht="73.5" customHeight="1" x14ac:dyDescent="0.35">
      <c r="A46" s="1025"/>
      <c r="B46" s="1027"/>
      <c r="C46" s="1021"/>
      <c r="D46" s="1019"/>
      <c r="E46" s="1021"/>
      <c r="F46" s="1019"/>
      <c r="G46" s="1021"/>
      <c r="H46" s="1019"/>
      <c r="I46" s="1021"/>
      <c r="J46" s="1019"/>
      <c r="K46" s="1023"/>
      <c r="L46" s="1019"/>
      <c r="M46" s="1023"/>
      <c r="N46" s="1019"/>
      <c r="O46" s="1023"/>
      <c r="P46" s="1019"/>
      <c r="Q46" s="1023"/>
      <c r="R46" s="1019"/>
      <c r="S46" s="1023"/>
      <c r="T46" s="1019"/>
      <c r="U46" s="1065"/>
      <c r="V46" s="1067"/>
      <c r="W46" s="1065"/>
      <c r="X46" s="1067"/>
      <c r="Y46" s="1065"/>
      <c r="Z46" s="1067"/>
      <c r="AA46" s="1069"/>
      <c r="AB46" s="1069"/>
      <c r="AC46" s="346" t="s">
        <v>77</v>
      </c>
    </row>
    <row r="47" spans="1:31" ht="73.5" customHeight="1" x14ac:dyDescent="0.35">
      <c r="A47" s="1024" t="s">
        <v>232</v>
      </c>
      <c r="B47" s="1026" t="s">
        <v>79</v>
      </c>
      <c r="C47" s="1020"/>
      <c r="D47" s="1018"/>
      <c r="E47" s="1020"/>
      <c r="F47" s="1018"/>
      <c r="G47" s="1033"/>
      <c r="H47" s="1018"/>
      <c r="I47" s="1020"/>
      <c r="J47" s="1018"/>
      <c r="K47" s="1022"/>
      <c r="L47" s="1018"/>
      <c r="M47" s="1022"/>
      <c r="N47" s="1018"/>
      <c r="O47" s="1022"/>
      <c r="P47" s="1018"/>
      <c r="Q47" s="1022"/>
      <c r="R47" s="1018"/>
      <c r="S47" s="1022"/>
      <c r="T47" s="1018"/>
      <c r="U47" s="1064"/>
      <c r="V47" s="1066"/>
      <c r="W47" s="1064"/>
      <c r="X47" s="1066"/>
      <c r="Y47" s="1064"/>
      <c r="Z47" s="1066"/>
      <c r="AA47" s="1068">
        <f>Z47+X47+V47+T47+R47+P47+N47+L47+J47+H47+F47+D47</f>
        <v>0</v>
      </c>
      <c r="AB47" s="1070">
        <f>AA47</f>
        <v>0</v>
      </c>
      <c r="AC47" s="346" t="s">
        <v>75</v>
      </c>
      <c r="AE47" s="3"/>
    </row>
    <row r="48" spans="1:31" ht="73.5" customHeight="1" x14ac:dyDescent="0.35">
      <c r="A48" s="1040"/>
      <c r="B48" s="1041"/>
      <c r="C48" s="1042"/>
      <c r="D48" s="1043"/>
      <c r="E48" s="1042"/>
      <c r="F48" s="1043"/>
      <c r="G48" s="1044"/>
      <c r="H48" s="1043"/>
      <c r="I48" s="1042"/>
      <c r="J48" s="1043"/>
      <c r="K48" s="1045"/>
      <c r="L48" s="1043"/>
      <c r="M48" s="1023"/>
      <c r="N48" s="1019"/>
      <c r="O48" s="1023"/>
      <c r="P48" s="1019"/>
      <c r="Q48" s="1023"/>
      <c r="R48" s="1019"/>
      <c r="S48" s="1023"/>
      <c r="T48" s="1019"/>
      <c r="U48" s="1071"/>
      <c r="V48" s="1072"/>
      <c r="W48" s="1071"/>
      <c r="X48" s="1072"/>
      <c r="Y48" s="1071"/>
      <c r="Z48" s="1072"/>
      <c r="AA48" s="1069"/>
      <c r="AB48" s="1069"/>
      <c r="AC48" s="346" t="s">
        <v>77</v>
      </c>
    </row>
    <row r="49" spans="1:29" ht="73.5" customHeight="1" x14ac:dyDescent="0.35">
      <c r="A49" s="1024" t="s">
        <v>233</v>
      </c>
      <c r="B49" s="1026" t="s">
        <v>79</v>
      </c>
      <c r="C49" s="1020"/>
      <c r="D49" s="1018"/>
      <c r="E49" s="1020"/>
      <c r="F49" s="1018"/>
      <c r="G49" s="1033" t="s">
        <v>263</v>
      </c>
      <c r="H49" s="1018">
        <v>4224</v>
      </c>
      <c r="I49" s="1020"/>
      <c r="J49" s="1018"/>
      <c r="K49" s="1022"/>
      <c r="L49" s="1018"/>
      <c r="M49" s="1022"/>
      <c r="N49" s="1018"/>
      <c r="O49" s="1022"/>
      <c r="P49" s="1018"/>
      <c r="Q49" s="1022"/>
      <c r="R49" s="1018"/>
      <c r="S49" s="1022"/>
      <c r="T49" s="1018"/>
      <c r="U49" s="1064"/>
      <c r="V49" s="1066"/>
      <c r="W49" s="1064"/>
      <c r="X49" s="1066"/>
      <c r="Y49" s="1064" t="s">
        <v>264</v>
      </c>
      <c r="Z49" s="1066">
        <v>4224</v>
      </c>
      <c r="AA49" s="1068">
        <f>Z49+X49+V49+T49+R49+P49+N49+L49+J49+H49+F49+D49</f>
        <v>8448</v>
      </c>
      <c r="AB49" s="1070">
        <f>AA49</f>
        <v>8448</v>
      </c>
      <c r="AC49" s="346" t="s">
        <v>75</v>
      </c>
    </row>
    <row r="50" spans="1:29" ht="73.5" customHeight="1" x14ac:dyDescent="0.35">
      <c r="A50" s="1040"/>
      <c r="B50" s="1048"/>
      <c r="C50" s="1049"/>
      <c r="D50" s="1050"/>
      <c r="E50" s="1049"/>
      <c r="F50" s="1050"/>
      <c r="G50" s="1051"/>
      <c r="H50" s="1050"/>
      <c r="I50" s="1049"/>
      <c r="J50" s="1050"/>
      <c r="K50" s="1052"/>
      <c r="L50" s="1050"/>
      <c r="M50" s="1023"/>
      <c r="N50" s="1019"/>
      <c r="O50" s="1023"/>
      <c r="P50" s="1019"/>
      <c r="Q50" s="1023"/>
      <c r="R50" s="1019"/>
      <c r="S50" s="1023"/>
      <c r="T50" s="1019"/>
      <c r="U50" s="1073"/>
      <c r="V50" s="1074"/>
      <c r="W50" s="1073"/>
      <c r="X50" s="1074"/>
      <c r="Y50" s="1073"/>
      <c r="Z50" s="1074"/>
      <c r="AA50" s="1069"/>
      <c r="AB50" s="1069"/>
      <c r="AC50" s="346" t="s">
        <v>77</v>
      </c>
    </row>
    <row r="51" spans="1:29" ht="73.5" customHeight="1" x14ac:dyDescent="0.35">
      <c r="A51" s="1024" t="s">
        <v>234</v>
      </c>
      <c r="B51" s="1041" t="s">
        <v>73</v>
      </c>
      <c r="C51" s="1042"/>
      <c r="D51" s="1043"/>
      <c r="E51" s="1042"/>
      <c r="F51" s="1043"/>
      <c r="G51" s="1042"/>
      <c r="H51" s="1043"/>
      <c r="I51" s="1042"/>
      <c r="J51" s="1043"/>
      <c r="K51" s="1045"/>
      <c r="L51" s="1043"/>
      <c r="M51" s="1022"/>
      <c r="N51" s="1018"/>
      <c r="O51" s="1022"/>
      <c r="P51" s="1018"/>
      <c r="Q51" s="1022"/>
      <c r="R51" s="1018"/>
      <c r="S51" s="1022"/>
      <c r="T51" s="1018"/>
      <c r="U51" s="1071"/>
      <c r="V51" s="1075"/>
      <c r="W51" s="1071"/>
      <c r="X51" s="1075"/>
      <c r="Y51" s="1071"/>
      <c r="Z51" s="1072"/>
      <c r="AA51" s="1068">
        <f>Z51+X51+V51+T51+R51+P51+N51+L51+J51+H51+F51+D51</f>
        <v>0</v>
      </c>
      <c r="AB51" s="1070">
        <f>AA51</f>
        <v>0</v>
      </c>
      <c r="AC51" s="346" t="s">
        <v>75</v>
      </c>
    </row>
    <row r="52" spans="1:29" ht="73.5" customHeight="1" x14ac:dyDescent="0.35">
      <c r="A52" s="1025"/>
      <c r="B52" s="1027"/>
      <c r="C52" s="1021"/>
      <c r="D52" s="1019"/>
      <c r="E52" s="1021"/>
      <c r="F52" s="1019"/>
      <c r="G52" s="1021"/>
      <c r="H52" s="1019"/>
      <c r="I52" s="1021"/>
      <c r="J52" s="1019"/>
      <c r="K52" s="1023"/>
      <c r="L52" s="1019"/>
      <c r="M52" s="1023"/>
      <c r="N52" s="1019"/>
      <c r="O52" s="1023"/>
      <c r="P52" s="1019"/>
      <c r="Q52" s="1023"/>
      <c r="R52" s="1019"/>
      <c r="S52" s="1023"/>
      <c r="T52" s="1019"/>
      <c r="U52" s="1065"/>
      <c r="V52" s="1076"/>
      <c r="W52" s="1065"/>
      <c r="X52" s="1076"/>
      <c r="Y52" s="1065"/>
      <c r="Z52" s="1067"/>
      <c r="AA52" s="1069"/>
      <c r="AB52" s="1069"/>
      <c r="AC52" s="346" t="s">
        <v>77</v>
      </c>
    </row>
    <row r="53" spans="1:29" ht="73.5" customHeight="1" x14ac:dyDescent="0.35">
      <c r="A53" s="1024" t="s">
        <v>235</v>
      </c>
      <c r="B53" s="1026" t="s">
        <v>79</v>
      </c>
      <c r="C53" s="1038"/>
      <c r="D53" s="1018"/>
      <c r="E53" s="1038"/>
      <c r="F53" s="1018"/>
      <c r="G53" s="1020"/>
      <c r="H53" s="1018"/>
      <c r="I53" s="1020"/>
      <c r="J53" s="1018"/>
      <c r="K53" s="1038"/>
      <c r="L53" s="1018"/>
      <c r="M53" s="1022"/>
      <c r="N53" s="1018"/>
      <c r="O53" s="1022"/>
      <c r="P53" s="1018"/>
      <c r="Q53" s="1022"/>
      <c r="R53" s="1018"/>
      <c r="S53" s="1022"/>
      <c r="T53" s="1018"/>
      <c r="U53" s="1064"/>
      <c r="V53" s="1066"/>
      <c r="W53" s="1064"/>
      <c r="X53" s="1066"/>
      <c r="Y53" s="1064"/>
      <c r="Z53" s="1066"/>
      <c r="AA53" s="1068">
        <f>Z53+X53+V53+T53+R53+P53+N53+L53+J53+H53+F53+D53</f>
        <v>0</v>
      </c>
      <c r="AB53" s="1070">
        <f>AA53</f>
        <v>0</v>
      </c>
      <c r="AC53" s="346" t="s">
        <v>75</v>
      </c>
    </row>
    <row r="54" spans="1:29" ht="73.5" customHeight="1" x14ac:dyDescent="0.35">
      <c r="A54" s="1025"/>
      <c r="B54" s="1027"/>
      <c r="C54" s="1039"/>
      <c r="D54" s="1019"/>
      <c r="E54" s="1039"/>
      <c r="F54" s="1019"/>
      <c r="G54" s="1021"/>
      <c r="H54" s="1019"/>
      <c r="I54" s="1021"/>
      <c r="J54" s="1019"/>
      <c r="K54" s="1039"/>
      <c r="L54" s="1019"/>
      <c r="M54" s="1023"/>
      <c r="N54" s="1019"/>
      <c r="O54" s="1023"/>
      <c r="P54" s="1019"/>
      <c r="Q54" s="1023"/>
      <c r="R54" s="1019"/>
      <c r="S54" s="1023"/>
      <c r="T54" s="1019"/>
      <c r="U54" s="1065"/>
      <c r="V54" s="1067"/>
      <c r="W54" s="1065"/>
      <c r="X54" s="1067"/>
      <c r="Y54" s="1065"/>
      <c r="Z54" s="1067"/>
      <c r="AA54" s="1069"/>
      <c r="AB54" s="1069"/>
      <c r="AC54" s="346" t="s">
        <v>77</v>
      </c>
    </row>
    <row r="55" spans="1:29" ht="15" hidden="1" thickBot="1" x14ac:dyDescent="0.4">
      <c r="A55" s="347"/>
      <c r="B55" s="348"/>
      <c r="C55" s="447"/>
      <c r="D55" s="446"/>
      <c r="E55" s="447"/>
      <c r="F55" s="446"/>
      <c r="G55" s="447"/>
      <c r="H55" s="446"/>
      <c r="I55" s="351"/>
      <c r="J55" s="446"/>
      <c r="K55" s="445"/>
      <c r="L55" s="446"/>
      <c r="M55" s="735"/>
      <c r="N55" s="736"/>
      <c r="O55" s="737"/>
      <c r="P55" s="736"/>
      <c r="Q55" s="737"/>
      <c r="R55" s="736"/>
      <c r="S55" s="737"/>
      <c r="T55" s="736"/>
      <c r="U55" s="719"/>
      <c r="V55" s="718"/>
      <c r="W55" s="719"/>
      <c r="X55" s="718"/>
      <c r="Y55" s="719"/>
      <c r="Z55" s="718"/>
      <c r="AA55" s="720"/>
      <c r="AB55" s="720"/>
      <c r="AC55" s="27"/>
    </row>
    <row r="56" spans="1:29" ht="15" thickBot="1" x14ac:dyDescent="0.4">
      <c r="A56" s="1035" t="s">
        <v>36</v>
      </c>
      <c r="B56" s="1036"/>
      <c r="C56" s="357" t="s">
        <v>32</v>
      </c>
      <c r="D56" s="358">
        <f>SUM(D45:D54)</f>
        <v>0</v>
      </c>
      <c r="E56" s="357" t="s">
        <v>32</v>
      </c>
      <c r="F56" s="358">
        <f>SUM(F45:F54)</f>
        <v>0</v>
      </c>
      <c r="G56" s="357" t="s">
        <v>32</v>
      </c>
      <c r="H56" s="358">
        <f>SUM(H45:H54)</f>
        <v>4224</v>
      </c>
      <c r="I56" s="359" t="s">
        <v>32</v>
      </c>
      <c r="J56" s="358">
        <f>SUM(J45:J54)</f>
        <v>0</v>
      </c>
      <c r="K56" s="360" t="s">
        <v>32</v>
      </c>
      <c r="L56" s="358">
        <f>SUM(L45:L54)</f>
        <v>0</v>
      </c>
      <c r="M56" s="839" t="s">
        <v>32</v>
      </c>
      <c r="N56" s="840">
        <f>SUM(N45:N54)</f>
        <v>0</v>
      </c>
      <c r="O56" s="841" t="s">
        <v>32</v>
      </c>
      <c r="P56" s="840">
        <f>SUM(P45:P54)</f>
        <v>0</v>
      </c>
      <c r="Q56" s="841" t="s">
        <v>32</v>
      </c>
      <c r="R56" s="840">
        <f>SUM(R45:R54)</f>
        <v>0</v>
      </c>
      <c r="S56" s="841" t="s">
        <v>32</v>
      </c>
      <c r="T56" s="840">
        <f>SUM(T45:T54)</f>
        <v>0</v>
      </c>
      <c r="U56" s="722" t="s">
        <v>32</v>
      </c>
      <c r="V56" s="721">
        <f>SUM(V45:V54)</f>
        <v>0</v>
      </c>
      <c r="W56" s="722" t="s">
        <v>32</v>
      </c>
      <c r="X56" s="721">
        <f>SUM(X45:X54)</f>
        <v>0</v>
      </c>
      <c r="Y56" s="722" t="s">
        <v>32</v>
      </c>
      <c r="Z56" s="721">
        <f>SUM(Z45:Z54)</f>
        <v>4224</v>
      </c>
      <c r="AA56" s="721">
        <f>SUM(AA45:AA54)</f>
        <v>8448</v>
      </c>
      <c r="AB56" s="721">
        <f>ROUND(SUM(AB45:AB54),0)</f>
        <v>8448</v>
      </c>
      <c r="AC56" s="363" t="s">
        <v>32</v>
      </c>
    </row>
    <row r="57" spans="1:29" ht="20.149999999999999" customHeight="1" x14ac:dyDescent="0.35">
      <c r="A57" s="1077" t="s">
        <v>313</v>
      </c>
      <c r="B57" s="1077"/>
      <c r="C57" s="1077"/>
      <c r="D57" s="1077"/>
      <c r="E57" s="1077"/>
      <c r="F57" s="1077"/>
      <c r="G57" s="1077"/>
      <c r="H57" s="1077"/>
      <c r="I57" s="1077"/>
      <c r="J57" s="1077"/>
      <c r="K57" s="1077"/>
      <c r="L57" s="1077"/>
      <c r="M57" s="1077"/>
      <c r="N57" s="1077"/>
      <c r="O57" s="1077"/>
      <c r="P57" s="1077"/>
      <c r="Q57" s="1077"/>
      <c r="R57" s="1077"/>
      <c r="S57" s="1077"/>
      <c r="T57" s="1077"/>
      <c r="U57" s="1077"/>
      <c r="V57" s="1077"/>
      <c r="W57" s="1077"/>
      <c r="X57" s="1077"/>
      <c r="Y57" s="1077"/>
      <c r="Z57" s="1077"/>
      <c r="AA57" s="1077"/>
      <c r="AB57" s="1077"/>
      <c r="AC57" s="1077"/>
    </row>
    <row r="58" spans="1:29" ht="76.5" customHeight="1" x14ac:dyDescent="0.35">
      <c r="A58" s="1077" t="s">
        <v>341</v>
      </c>
      <c r="B58" s="1078"/>
      <c r="C58" s="1078"/>
      <c r="D58" s="1078"/>
      <c r="E58" s="1078"/>
      <c r="F58" s="1078"/>
      <c r="G58" s="1078"/>
      <c r="H58" s="1078"/>
      <c r="I58" s="1078"/>
      <c r="J58" s="1078"/>
      <c r="K58" s="1078"/>
      <c r="L58" s="1078"/>
      <c r="M58" s="1078"/>
      <c r="N58" s="1078"/>
      <c r="O58" s="1078"/>
      <c r="P58" s="1078"/>
      <c r="Q58" s="1078"/>
      <c r="R58" s="1078"/>
      <c r="S58" s="1078"/>
      <c r="T58" s="1078"/>
      <c r="U58" s="1078"/>
      <c r="V58" s="1078"/>
      <c r="W58" s="1078"/>
      <c r="X58" s="1078"/>
      <c r="Y58" s="1078"/>
      <c r="Z58" s="1078"/>
      <c r="AA58" s="1078"/>
      <c r="AB58" s="1078"/>
      <c r="AC58" s="1078"/>
    </row>
  </sheetData>
  <mergeCells count="475">
    <mergeCell ref="X53:X54"/>
    <mergeCell ref="Y53:Y54"/>
    <mergeCell ref="Z53:Z54"/>
    <mergeCell ref="AA53:AA54"/>
    <mergeCell ref="AB53:AB54"/>
    <mergeCell ref="A56:B56"/>
    <mergeCell ref="A57:AC57"/>
    <mergeCell ref="A58:AC58"/>
    <mergeCell ref="AB21:AB24"/>
    <mergeCell ref="AB51:AB52"/>
    <mergeCell ref="A53:A54"/>
    <mergeCell ref="B53:B54"/>
    <mergeCell ref="C53:C54"/>
    <mergeCell ref="D53:D54"/>
    <mergeCell ref="E53:E54"/>
    <mergeCell ref="F53:F54"/>
    <mergeCell ref="G53:G54"/>
    <mergeCell ref="H53:H54"/>
    <mergeCell ref="I53:I54"/>
    <mergeCell ref="J53:J54"/>
    <mergeCell ref="K53:K54"/>
    <mergeCell ref="L53:L54"/>
    <mergeCell ref="M53:M54"/>
    <mergeCell ref="N53:N54"/>
    <mergeCell ref="O53:O54"/>
    <mergeCell ref="P53:P54"/>
    <mergeCell ref="Q53:Q54"/>
    <mergeCell ref="R53:R54"/>
    <mergeCell ref="S53:S54"/>
    <mergeCell ref="T53:T54"/>
    <mergeCell ref="U53:U54"/>
    <mergeCell ref="V53:V54"/>
    <mergeCell ref="W53:W54"/>
    <mergeCell ref="S51:S52"/>
    <mergeCell ref="T51:T52"/>
    <mergeCell ref="U51:U52"/>
    <mergeCell ref="V51:V52"/>
    <mergeCell ref="W51:W52"/>
    <mergeCell ref="X51:X52"/>
    <mergeCell ref="Y51:Y52"/>
    <mergeCell ref="Z51:Z52"/>
    <mergeCell ref="AA51:AA52"/>
    <mergeCell ref="J51:J52"/>
    <mergeCell ref="K51:K52"/>
    <mergeCell ref="L51:L52"/>
    <mergeCell ref="M51:M52"/>
    <mergeCell ref="N51:N52"/>
    <mergeCell ref="O51:O52"/>
    <mergeCell ref="P51:P52"/>
    <mergeCell ref="Q51:Q52"/>
    <mergeCell ref="R51:R52"/>
    <mergeCell ref="A51:A52"/>
    <mergeCell ref="B51:B52"/>
    <mergeCell ref="C51:C52"/>
    <mergeCell ref="D51:D52"/>
    <mergeCell ref="E51:E52"/>
    <mergeCell ref="F51:F52"/>
    <mergeCell ref="G51:G52"/>
    <mergeCell ref="H51:H52"/>
    <mergeCell ref="I51:I52"/>
    <mergeCell ref="T49:T50"/>
    <mergeCell ref="U49:U50"/>
    <mergeCell ref="V49:V50"/>
    <mergeCell ref="W49:W50"/>
    <mergeCell ref="X49:X50"/>
    <mergeCell ref="Y49:Y50"/>
    <mergeCell ref="Z49:Z50"/>
    <mergeCell ref="AA49:AA50"/>
    <mergeCell ref="AB49:AB50"/>
    <mergeCell ref="X47:X48"/>
    <mergeCell ref="Y47:Y48"/>
    <mergeCell ref="Z47:Z48"/>
    <mergeCell ref="AA47:AA48"/>
    <mergeCell ref="AB47:AB48"/>
    <mergeCell ref="A49:A50"/>
    <mergeCell ref="B49:B50"/>
    <mergeCell ref="C49:C50"/>
    <mergeCell ref="D49:D50"/>
    <mergeCell ref="E49:E50"/>
    <mergeCell ref="F49:F50"/>
    <mergeCell ref="G49:G50"/>
    <mergeCell ref="H49:H50"/>
    <mergeCell ref="I49:I50"/>
    <mergeCell ref="J49:J50"/>
    <mergeCell ref="K49:K50"/>
    <mergeCell ref="L49:L50"/>
    <mergeCell ref="M49:M50"/>
    <mergeCell ref="N49:N50"/>
    <mergeCell ref="O49:O50"/>
    <mergeCell ref="P49:P50"/>
    <mergeCell ref="Q49:Q50"/>
    <mergeCell ref="R49:R50"/>
    <mergeCell ref="S49:S50"/>
    <mergeCell ref="AB45:AB46"/>
    <mergeCell ref="A47:A48"/>
    <mergeCell ref="B47:B48"/>
    <mergeCell ref="C47:C48"/>
    <mergeCell ref="D47:D48"/>
    <mergeCell ref="E47:E48"/>
    <mergeCell ref="F47:F48"/>
    <mergeCell ref="G47:G48"/>
    <mergeCell ref="H47:H48"/>
    <mergeCell ref="I47:I48"/>
    <mergeCell ref="J47:J48"/>
    <mergeCell ref="K47:K48"/>
    <mergeCell ref="L47:L48"/>
    <mergeCell ref="M47:M48"/>
    <mergeCell ref="N47:N48"/>
    <mergeCell ref="O47:O48"/>
    <mergeCell ref="P47:P48"/>
    <mergeCell ref="Q47:Q48"/>
    <mergeCell ref="R47:R48"/>
    <mergeCell ref="S47:S48"/>
    <mergeCell ref="T47:T48"/>
    <mergeCell ref="U47:U48"/>
    <mergeCell ref="V47:V48"/>
    <mergeCell ref="W47:W48"/>
    <mergeCell ref="S45:S46"/>
    <mergeCell ref="T45:T46"/>
    <mergeCell ref="U45:U46"/>
    <mergeCell ref="V45:V46"/>
    <mergeCell ref="W45:W46"/>
    <mergeCell ref="X45:X46"/>
    <mergeCell ref="Y45:Y46"/>
    <mergeCell ref="Z45:Z46"/>
    <mergeCell ref="AA45:AA46"/>
    <mergeCell ref="J45:J46"/>
    <mergeCell ref="K45:K46"/>
    <mergeCell ref="L45:L46"/>
    <mergeCell ref="M45:M46"/>
    <mergeCell ref="N45:N46"/>
    <mergeCell ref="O45:O46"/>
    <mergeCell ref="P45:P46"/>
    <mergeCell ref="Q45:Q46"/>
    <mergeCell ref="R45:R46"/>
    <mergeCell ref="A45:A46"/>
    <mergeCell ref="B45:B46"/>
    <mergeCell ref="C45:C46"/>
    <mergeCell ref="D45:D46"/>
    <mergeCell ref="E45:E46"/>
    <mergeCell ref="F45:F46"/>
    <mergeCell ref="G45:G46"/>
    <mergeCell ref="H45:H46"/>
    <mergeCell ref="I45:I46"/>
    <mergeCell ref="Y40:Z40"/>
    <mergeCell ref="AC40:AC43"/>
    <mergeCell ref="A41:B41"/>
    <mergeCell ref="C41:D41"/>
    <mergeCell ref="E41:F41"/>
    <mergeCell ref="G41:H41"/>
    <mergeCell ref="I41:J41"/>
    <mergeCell ref="K41:L41"/>
    <mergeCell ref="M41:N41"/>
    <mergeCell ref="O41:P41"/>
    <mergeCell ref="Q41:R41"/>
    <mergeCell ref="S41:T41"/>
    <mergeCell ref="U41:V41"/>
    <mergeCell ref="W41:X41"/>
    <mergeCell ref="Y41:Z41"/>
    <mergeCell ref="A42:B42"/>
    <mergeCell ref="A40:B40"/>
    <mergeCell ref="C40:D40"/>
    <mergeCell ref="E40:F40"/>
    <mergeCell ref="G40:H40"/>
    <mergeCell ref="I40:J40"/>
    <mergeCell ref="K40:L40"/>
    <mergeCell ref="M40:N40"/>
    <mergeCell ref="O40:P40"/>
    <mergeCell ref="Q40:R40"/>
    <mergeCell ref="S30:S31"/>
    <mergeCell ref="T30:T31"/>
    <mergeCell ref="U30:U31"/>
    <mergeCell ref="V30:V31"/>
    <mergeCell ref="W30:W31"/>
    <mergeCell ref="R34:R35"/>
    <mergeCell ref="S32:S33"/>
    <mergeCell ref="T32:T33"/>
    <mergeCell ref="U32:U33"/>
    <mergeCell ref="V32:V33"/>
    <mergeCell ref="W32:W33"/>
    <mergeCell ref="S40:T40"/>
    <mergeCell ref="U40:V40"/>
    <mergeCell ref="W40:X40"/>
    <mergeCell ref="X30:X31"/>
    <mergeCell ref="X32:X33"/>
    <mergeCell ref="Y30:Y31"/>
    <mergeCell ref="Z30:Z31"/>
    <mergeCell ref="AA30:AA31"/>
    <mergeCell ref="J30:J31"/>
    <mergeCell ref="K30:K31"/>
    <mergeCell ref="L30:L31"/>
    <mergeCell ref="M30:M31"/>
    <mergeCell ref="N30:N31"/>
    <mergeCell ref="O30:O31"/>
    <mergeCell ref="P30:P31"/>
    <mergeCell ref="Q30:Q31"/>
    <mergeCell ref="R30:R31"/>
    <mergeCell ref="A37:B37"/>
    <mergeCell ref="J34:J35"/>
    <mergeCell ref="K34:K35"/>
    <mergeCell ref="L34:L35"/>
    <mergeCell ref="M34:M35"/>
    <mergeCell ref="N34:N35"/>
    <mergeCell ref="O34:O35"/>
    <mergeCell ref="P34:P35"/>
    <mergeCell ref="Q34:Q35"/>
    <mergeCell ref="A34:A35"/>
    <mergeCell ref="B34:B35"/>
    <mergeCell ref="C34:C35"/>
    <mergeCell ref="D34:D35"/>
    <mergeCell ref="E34:E35"/>
    <mergeCell ref="F34:F35"/>
    <mergeCell ref="G34:G35"/>
    <mergeCell ref="H34:H35"/>
    <mergeCell ref="I34:I35"/>
    <mergeCell ref="Y32:Y33"/>
    <mergeCell ref="Z32:Z33"/>
    <mergeCell ref="AA32:AA33"/>
    <mergeCell ref="J32:J33"/>
    <mergeCell ref="K32:K33"/>
    <mergeCell ref="L32:L33"/>
    <mergeCell ref="M32:M33"/>
    <mergeCell ref="N32:N33"/>
    <mergeCell ref="O32:O33"/>
    <mergeCell ref="P32:P33"/>
    <mergeCell ref="Q32:Q33"/>
    <mergeCell ref="R32:R33"/>
    <mergeCell ref="A30:A31"/>
    <mergeCell ref="B30:B31"/>
    <mergeCell ref="C30:C31"/>
    <mergeCell ref="D30:D31"/>
    <mergeCell ref="E30:E31"/>
    <mergeCell ref="F30:F31"/>
    <mergeCell ref="G30:G31"/>
    <mergeCell ref="H30:H31"/>
    <mergeCell ref="I30:I31"/>
    <mergeCell ref="A32:A33"/>
    <mergeCell ref="B32:B33"/>
    <mergeCell ref="C32:C33"/>
    <mergeCell ref="D32:D33"/>
    <mergeCell ref="E32:E33"/>
    <mergeCell ref="F32:F33"/>
    <mergeCell ref="G32:G33"/>
    <mergeCell ref="H32:H33"/>
    <mergeCell ref="I32:I33"/>
    <mergeCell ref="W26:W27"/>
    <mergeCell ref="X26:X27"/>
    <mergeCell ref="Y26:Y27"/>
    <mergeCell ref="Z26:Z27"/>
    <mergeCell ref="R28:R29"/>
    <mergeCell ref="S28:S29"/>
    <mergeCell ref="T28:T29"/>
    <mergeCell ref="U28:U29"/>
    <mergeCell ref="V28:V29"/>
    <mergeCell ref="W28:W29"/>
    <mergeCell ref="X28:X29"/>
    <mergeCell ref="Y28:Y29"/>
    <mergeCell ref="Z28:Z29"/>
    <mergeCell ref="AA28:AA29"/>
    <mergeCell ref="AA26:AA27"/>
    <mergeCell ref="R26:R27"/>
    <mergeCell ref="S26:S27"/>
    <mergeCell ref="L26:L27"/>
    <mergeCell ref="A21:B21"/>
    <mergeCell ref="C21:D21"/>
    <mergeCell ref="E21:F21"/>
    <mergeCell ref="G21:H21"/>
    <mergeCell ref="I21:J21"/>
    <mergeCell ref="K21:L21"/>
    <mergeCell ref="M21:N21"/>
    <mergeCell ref="O21:P21"/>
    <mergeCell ref="Q21:R21"/>
    <mergeCell ref="S21:T21"/>
    <mergeCell ref="U21:V21"/>
    <mergeCell ref="W21:X21"/>
    <mergeCell ref="Y21:Z21"/>
    <mergeCell ref="T26:T27"/>
    <mergeCell ref="U26:U27"/>
    <mergeCell ref="V26:V27"/>
    <mergeCell ref="M26:M27"/>
    <mergeCell ref="N26:N27"/>
    <mergeCell ref="O26:O27"/>
    <mergeCell ref="AA34:AA35"/>
    <mergeCell ref="S34:S35"/>
    <mergeCell ref="T34:T35"/>
    <mergeCell ref="U34:U35"/>
    <mergeCell ref="V34:V35"/>
    <mergeCell ref="W34:W35"/>
    <mergeCell ref="X34:X35"/>
    <mergeCell ref="Y34:Y35"/>
    <mergeCell ref="Z34:Z35"/>
    <mergeCell ref="P26:P27"/>
    <mergeCell ref="Q26:Q27"/>
    <mergeCell ref="I28:I29"/>
    <mergeCell ref="J28:J29"/>
    <mergeCell ref="K28:K29"/>
    <mergeCell ref="L28:L29"/>
    <mergeCell ref="M28:M29"/>
    <mergeCell ref="N28:N29"/>
    <mergeCell ref="O28:O29"/>
    <mergeCell ref="P28:P29"/>
    <mergeCell ref="Q28:Q29"/>
    <mergeCell ref="I26:I27"/>
    <mergeCell ref="J26:J27"/>
    <mergeCell ref="K26:K27"/>
    <mergeCell ref="H26:H27"/>
    <mergeCell ref="A28:A29"/>
    <mergeCell ref="B28:B29"/>
    <mergeCell ref="C28:C29"/>
    <mergeCell ref="D28:D29"/>
    <mergeCell ref="E28:E29"/>
    <mergeCell ref="F28:F29"/>
    <mergeCell ref="G28:G29"/>
    <mergeCell ref="H28:H29"/>
    <mergeCell ref="A26:A27"/>
    <mergeCell ref="B26:B27"/>
    <mergeCell ref="C26:C27"/>
    <mergeCell ref="D26:D27"/>
    <mergeCell ref="E26:E27"/>
    <mergeCell ref="F26:F27"/>
    <mergeCell ref="G26:G27"/>
    <mergeCell ref="A23:B23"/>
    <mergeCell ref="S22:T22"/>
    <mergeCell ref="U22:V22"/>
    <mergeCell ref="W22:X22"/>
    <mergeCell ref="Y22:Z22"/>
    <mergeCell ref="A22:B22"/>
    <mergeCell ref="C22:D22"/>
    <mergeCell ref="E22:F22"/>
    <mergeCell ref="G22:H22"/>
    <mergeCell ref="I22:J22"/>
    <mergeCell ref="K22:L22"/>
    <mergeCell ref="M22:N22"/>
    <mergeCell ref="O22:P22"/>
    <mergeCell ref="Q22:R22"/>
    <mergeCell ref="AA15:AA16"/>
    <mergeCell ref="A18:B18"/>
    <mergeCell ref="A1:AB1"/>
    <mergeCell ref="A2:AB2"/>
    <mergeCell ref="A3:AB3"/>
    <mergeCell ref="U15:U16"/>
    <mergeCell ref="V15:V16"/>
    <mergeCell ref="W15:W16"/>
    <mergeCell ref="X15:X16"/>
    <mergeCell ref="Y15:Y16"/>
    <mergeCell ref="Z15:Z16"/>
    <mergeCell ref="O15:O16"/>
    <mergeCell ref="P15:P16"/>
    <mergeCell ref="Q15:Q16"/>
    <mergeCell ref="R15:R16"/>
    <mergeCell ref="S15:S16"/>
    <mergeCell ref="T15:T16"/>
    <mergeCell ref="I15:I16"/>
    <mergeCell ref="J15:J16"/>
    <mergeCell ref="K15:K16"/>
    <mergeCell ref="L15:L16"/>
    <mergeCell ref="M15:M16"/>
    <mergeCell ref="N15:N16"/>
    <mergeCell ref="Z13:Z14"/>
    <mergeCell ref="AA13:AA14"/>
    <mergeCell ref="A15:A16"/>
    <mergeCell ref="B15:B16"/>
    <mergeCell ref="C15:C16"/>
    <mergeCell ref="D15:D16"/>
    <mergeCell ref="E15:E16"/>
    <mergeCell ref="F15:F16"/>
    <mergeCell ref="G15:G16"/>
    <mergeCell ref="H15:H16"/>
    <mergeCell ref="T13:T14"/>
    <mergeCell ref="U13:U14"/>
    <mergeCell ref="V13:V14"/>
    <mergeCell ref="W13:W14"/>
    <mergeCell ref="X13:X14"/>
    <mergeCell ref="Y13:Y14"/>
    <mergeCell ref="N13:N14"/>
    <mergeCell ref="O13:O14"/>
    <mergeCell ref="P13:P14"/>
    <mergeCell ref="Q13:Q14"/>
    <mergeCell ref="R13:R14"/>
    <mergeCell ref="S13:S14"/>
    <mergeCell ref="H13:H14"/>
    <mergeCell ref="I13:I14"/>
    <mergeCell ref="J13:J14"/>
    <mergeCell ref="Y11:Y12"/>
    <mergeCell ref="J11:J12"/>
    <mergeCell ref="K11:K12"/>
    <mergeCell ref="L11:L12"/>
    <mergeCell ref="Z11:Z12"/>
    <mergeCell ref="AA11:AA12"/>
    <mergeCell ref="U11:U12"/>
    <mergeCell ref="V11:V12"/>
    <mergeCell ref="W11:W12"/>
    <mergeCell ref="X11:X12"/>
    <mergeCell ref="A13:A14"/>
    <mergeCell ref="B13:B14"/>
    <mergeCell ref="C13:C14"/>
    <mergeCell ref="D13:D14"/>
    <mergeCell ref="E13:E14"/>
    <mergeCell ref="F13:F14"/>
    <mergeCell ref="G13:G14"/>
    <mergeCell ref="S11:S12"/>
    <mergeCell ref="T11:T12"/>
    <mergeCell ref="M11:M12"/>
    <mergeCell ref="N11:N12"/>
    <mergeCell ref="O11:O12"/>
    <mergeCell ref="P11:P12"/>
    <mergeCell ref="Q11:Q12"/>
    <mergeCell ref="R11:R12"/>
    <mergeCell ref="G11:G12"/>
    <mergeCell ref="H11:H12"/>
    <mergeCell ref="I11:I12"/>
    <mergeCell ref="K13:K14"/>
    <mergeCell ref="L13:L14"/>
    <mergeCell ref="M13:M14"/>
    <mergeCell ref="X9:X10"/>
    <mergeCell ref="Y9:Y10"/>
    <mergeCell ref="Z9:Z10"/>
    <mergeCell ref="AA9:AA10"/>
    <mergeCell ref="A11:A12"/>
    <mergeCell ref="B11:B12"/>
    <mergeCell ref="C11:C12"/>
    <mergeCell ref="D11:D12"/>
    <mergeCell ref="E11:E12"/>
    <mergeCell ref="F11:F12"/>
    <mergeCell ref="R9:R10"/>
    <mergeCell ref="S9:S10"/>
    <mergeCell ref="T9:T10"/>
    <mergeCell ref="U9:U10"/>
    <mergeCell ref="V9:V10"/>
    <mergeCell ref="W9:W10"/>
    <mergeCell ref="L9:L10"/>
    <mergeCell ref="M9:M10"/>
    <mergeCell ref="N9:N10"/>
    <mergeCell ref="O9:O10"/>
    <mergeCell ref="P9:P10"/>
    <mergeCell ref="Q9:Q10"/>
    <mergeCell ref="F9:F10"/>
    <mergeCell ref="G9:G10"/>
    <mergeCell ref="G4:H4"/>
    <mergeCell ref="I4:J4"/>
    <mergeCell ref="K4:L4"/>
    <mergeCell ref="Q5:R5"/>
    <mergeCell ref="H9:H10"/>
    <mergeCell ref="I9:I10"/>
    <mergeCell ref="J9:J10"/>
    <mergeCell ref="K9:K10"/>
    <mergeCell ref="A9:A10"/>
    <mergeCell ref="B9:B10"/>
    <mergeCell ref="C9:C10"/>
    <mergeCell ref="D9:D10"/>
    <mergeCell ref="E9:E10"/>
    <mergeCell ref="S5:T5"/>
    <mergeCell ref="U5:V5"/>
    <mergeCell ref="W5:X5"/>
    <mergeCell ref="Y5:Z5"/>
    <mergeCell ref="A6:B6"/>
    <mergeCell ref="Y4:Z4"/>
    <mergeCell ref="AB4:AB7"/>
    <mergeCell ref="A5:B5"/>
    <mergeCell ref="C5:D5"/>
    <mergeCell ref="E5:F5"/>
    <mergeCell ref="G5:H5"/>
    <mergeCell ref="I5:J5"/>
    <mergeCell ref="K5:L5"/>
    <mergeCell ref="M5:N5"/>
    <mergeCell ref="O5:P5"/>
    <mergeCell ref="M4:N4"/>
    <mergeCell ref="O4:P4"/>
    <mergeCell ref="Q4:R4"/>
    <mergeCell ref="S4:T4"/>
    <mergeCell ref="U4:V4"/>
    <mergeCell ref="W4:X4"/>
    <mergeCell ref="A4:B4"/>
    <mergeCell ref="C4:D4"/>
    <mergeCell ref="E4:F4"/>
  </mergeCells>
  <pageMargins left="0.70866141732283505" right="0.70866141732283505" top="0.74803149606299202" bottom="0.74803149606299202" header="0.31496062992126" footer="0.31496062992126"/>
  <pageSetup paperSize="9" scale="4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E860E-C0FD-45F6-BEC9-FF6ACDAC00EB}">
  <dimension ref="A1:AD40"/>
  <sheetViews>
    <sheetView zoomScale="70" zoomScaleNormal="70" workbookViewId="0">
      <pane ySplit="3" topLeftCell="A4" activePane="bottomLeft" state="frozen"/>
      <selection activeCell="T50" sqref="T50"/>
      <selection pane="bottomLeft" activeCell="F47" sqref="F47"/>
    </sheetView>
  </sheetViews>
  <sheetFormatPr defaultColWidth="8.81640625" defaultRowHeight="14.5" x14ac:dyDescent="0.35"/>
  <cols>
    <col min="1" max="1" width="20.81640625" style="1" customWidth="1"/>
    <col min="2" max="2" width="11" style="1" customWidth="1"/>
    <col min="3" max="3" width="8.81640625" style="1"/>
    <col min="4" max="4" width="9.1796875" style="1" bestFit="1" customWidth="1"/>
    <col min="5" max="5" width="8.81640625" style="1"/>
    <col min="6" max="6" width="9.1796875" style="1" bestFit="1" customWidth="1"/>
    <col min="7" max="7" width="8.81640625" style="1"/>
    <col min="8" max="8" width="9.1796875" style="1" bestFit="1" customWidth="1"/>
    <col min="9" max="9" width="8.81640625" style="1"/>
    <col min="10" max="10" width="9.1796875" style="1" bestFit="1" customWidth="1"/>
    <col min="11" max="11" width="9.453125" style="1" customWidth="1"/>
    <col min="12" max="12" width="9.1796875" style="1" bestFit="1" customWidth="1"/>
    <col min="13" max="13" width="8.81640625" style="1"/>
    <col min="14" max="14" width="9.1796875" style="1" bestFit="1" customWidth="1"/>
    <col min="15" max="15" width="8.81640625" style="1"/>
    <col min="16" max="16" width="9.1796875" style="1" bestFit="1" customWidth="1"/>
    <col min="17" max="17" width="8.81640625" style="1"/>
    <col min="18" max="18" width="9.1796875" style="1" bestFit="1" customWidth="1"/>
    <col min="19" max="19" width="8.81640625" style="1"/>
    <col min="20" max="20" width="9.1796875" style="1" bestFit="1" customWidth="1"/>
    <col min="21" max="21" width="8.81640625" style="1"/>
    <col min="22" max="22" width="9.1796875" style="1" bestFit="1" customWidth="1"/>
    <col min="23" max="23" width="8.81640625" style="1"/>
    <col min="24" max="24" width="9.1796875" style="1" bestFit="1" customWidth="1"/>
    <col min="25" max="25" width="8.81640625" style="1"/>
    <col min="26" max="26" width="9.1796875" style="1" bestFit="1" customWidth="1"/>
    <col min="27" max="27" width="10.81640625" style="1" customWidth="1"/>
    <col min="28" max="16384" width="8.81640625" style="1"/>
  </cols>
  <sheetData>
    <row r="1" spans="1:28" s="4" customFormat="1" x14ac:dyDescent="0.35">
      <c r="A1" s="1000" t="s">
        <v>136</v>
      </c>
      <c r="B1" s="1000"/>
      <c r="C1" s="1000"/>
      <c r="D1" s="1000"/>
      <c r="E1" s="1000"/>
      <c r="F1" s="1000"/>
      <c r="G1" s="1000"/>
      <c r="H1" s="1000"/>
      <c r="I1" s="1000"/>
      <c r="J1" s="1000"/>
      <c r="K1" s="1000"/>
      <c r="L1" s="1000"/>
      <c r="M1" s="1000"/>
      <c r="N1" s="1000"/>
      <c r="O1" s="1000"/>
      <c r="P1" s="1000"/>
      <c r="Q1" s="1000"/>
      <c r="R1" s="1000"/>
      <c r="S1" s="1000"/>
      <c r="T1" s="1000"/>
      <c r="U1" s="1000"/>
      <c r="V1" s="1000"/>
      <c r="W1" s="1000"/>
      <c r="X1" s="1000"/>
      <c r="Y1" s="1000"/>
      <c r="Z1" s="1000"/>
      <c r="AA1" s="1000"/>
    </row>
    <row r="2" spans="1:28" s="4" customFormat="1" x14ac:dyDescent="0.35">
      <c r="A2" s="1000" t="s">
        <v>243</v>
      </c>
      <c r="B2" s="1000"/>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row>
    <row r="3" spans="1:28" s="4" customFormat="1" ht="25.5" customHeight="1" thickBot="1" x14ac:dyDescent="0.4">
      <c r="A3" s="1086" t="str">
        <f>Ietekme_LM_2026_!B53</f>
        <v>4.3. Valsts finansēto tehnisko palīglīdzekļu nodrošināšana</v>
      </c>
      <c r="B3" s="1086"/>
      <c r="C3" s="1086"/>
      <c r="D3" s="1086"/>
      <c r="E3" s="1086"/>
      <c r="F3" s="1086"/>
      <c r="G3" s="1086"/>
      <c r="H3" s="1086"/>
      <c r="I3" s="1086"/>
      <c r="J3" s="1086"/>
      <c r="K3" s="1086"/>
      <c r="L3" s="1086"/>
      <c r="M3" s="1086"/>
      <c r="N3" s="1086"/>
      <c r="O3" s="1086"/>
      <c r="P3" s="1086"/>
      <c r="Q3" s="1086"/>
      <c r="R3" s="1086"/>
      <c r="S3" s="1086"/>
      <c r="T3" s="1086"/>
      <c r="U3" s="1086"/>
      <c r="V3" s="1086"/>
      <c r="W3" s="1086"/>
      <c r="X3" s="1086"/>
      <c r="Y3" s="1086"/>
      <c r="Z3" s="1086"/>
      <c r="AA3" s="1086"/>
    </row>
    <row r="4" spans="1:28" ht="14.5" customHeight="1" x14ac:dyDescent="0.35">
      <c r="A4" s="1016" t="s">
        <v>12</v>
      </c>
      <c r="B4" s="1017"/>
      <c r="C4" s="1009" t="s">
        <v>82</v>
      </c>
      <c r="D4" s="1010"/>
      <c r="E4" s="1009" t="s">
        <v>82</v>
      </c>
      <c r="F4" s="1010"/>
      <c r="G4" s="1082" t="s">
        <v>82</v>
      </c>
      <c r="H4" s="1010"/>
      <c r="I4" s="1009" t="s">
        <v>82</v>
      </c>
      <c r="J4" s="1010"/>
      <c r="K4" s="1009" t="s">
        <v>82</v>
      </c>
      <c r="L4" s="1010"/>
      <c r="M4" s="1009" t="s">
        <v>82</v>
      </c>
      <c r="N4" s="1010"/>
      <c r="O4" s="1009" t="s">
        <v>82</v>
      </c>
      <c r="P4" s="1010"/>
      <c r="Q4" s="1009" t="s">
        <v>82</v>
      </c>
      <c r="R4" s="1010"/>
      <c r="S4" s="1009" t="s">
        <v>82</v>
      </c>
      <c r="T4" s="1010"/>
      <c r="U4" s="1009" t="s">
        <v>82</v>
      </c>
      <c r="V4" s="1010"/>
      <c r="W4" s="1009" t="s">
        <v>82</v>
      </c>
      <c r="X4" s="1010"/>
      <c r="Y4" s="1009" t="s">
        <v>82</v>
      </c>
      <c r="Z4" s="1010"/>
      <c r="AA4" s="311" t="s">
        <v>82</v>
      </c>
    </row>
    <row r="5" spans="1:28" x14ac:dyDescent="0.35">
      <c r="A5" s="1014" t="s">
        <v>13</v>
      </c>
      <c r="B5" s="1085"/>
      <c r="C5" s="1003" t="s">
        <v>89</v>
      </c>
      <c r="D5" s="1004"/>
      <c r="E5" s="1003" t="s">
        <v>49</v>
      </c>
      <c r="F5" s="1004"/>
      <c r="G5" s="1005" t="s">
        <v>50</v>
      </c>
      <c r="H5" s="1004"/>
      <c r="I5" s="1005" t="s">
        <v>51</v>
      </c>
      <c r="J5" s="1006"/>
      <c r="K5" s="1003" t="s">
        <v>52</v>
      </c>
      <c r="L5" s="1004"/>
      <c r="M5" s="1003" t="s">
        <v>53</v>
      </c>
      <c r="N5" s="1004"/>
      <c r="O5" s="1005" t="s">
        <v>54</v>
      </c>
      <c r="P5" s="1006"/>
      <c r="Q5" s="1003" t="s">
        <v>81</v>
      </c>
      <c r="R5" s="1004"/>
      <c r="S5" s="1005" t="s">
        <v>90</v>
      </c>
      <c r="T5" s="1006"/>
      <c r="U5" s="1003" t="s">
        <v>91</v>
      </c>
      <c r="V5" s="1004"/>
      <c r="W5" s="1005" t="s">
        <v>92</v>
      </c>
      <c r="X5" s="1006"/>
      <c r="Y5" s="1003" t="s">
        <v>93</v>
      </c>
      <c r="Z5" s="1004"/>
      <c r="AA5" s="312" t="s">
        <v>36</v>
      </c>
    </row>
    <row r="6" spans="1:28" ht="15" thickBot="1" x14ac:dyDescent="0.4">
      <c r="A6" s="1083" t="s">
        <v>32</v>
      </c>
      <c r="B6" s="1084"/>
      <c r="C6" s="36"/>
      <c r="D6" s="37" t="s">
        <v>24</v>
      </c>
      <c r="E6" s="36"/>
      <c r="F6" s="37" t="s">
        <v>24</v>
      </c>
      <c r="G6" s="313"/>
      <c r="H6" s="37" t="s">
        <v>24</v>
      </c>
      <c r="I6" s="38"/>
      <c r="J6" s="38" t="s">
        <v>24</v>
      </c>
      <c r="K6" s="36"/>
      <c r="L6" s="37" t="s">
        <v>24</v>
      </c>
      <c r="M6" s="36"/>
      <c r="N6" s="37" t="s">
        <v>24</v>
      </c>
      <c r="O6" s="38"/>
      <c r="P6" s="38" t="s">
        <v>24</v>
      </c>
      <c r="Q6" s="38"/>
      <c r="R6" s="38" t="s">
        <v>24</v>
      </c>
      <c r="S6" s="38"/>
      <c r="T6" s="38" t="s">
        <v>24</v>
      </c>
      <c r="U6" s="38"/>
      <c r="V6" s="38" t="s">
        <v>24</v>
      </c>
      <c r="W6" s="38"/>
      <c r="X6" s="38" t="s">
        <v>24</v>
      </c>
      <c r="Y6" s="38"/>
      <c r="Z6" s="38" t="s">
        <v>24</v>
      </c>
      <c r="AA6" s="314" t="s">
        <v>24</v>
      </c>
    </row>
    <row r="7" spans="1:28" ht="52" x14ac:dyDescent="0.35">
      <c r="A7" s="315" t="s">
        <v>25</v>
      </c>
      <c r="B7" s="316" t="s">
        <v>55</v>
      </c>
      <c r="C7" s="45" t="s">
        <v>56</v>
      </c>
      <c r="D7" s="46" t="s">
        <v>27</v>
      </c>
      <c r="E7" s="45" t="s">
        <v>56</v>
      </c>
      <c r="F7" s="46" t="s">
        <v>27</v>
      </c>
      <c r="G7" s="47" t="s">
        <v>56</v>
      </c>
      <c r="H7" s="46" t="s">
        <v>27</v>
      </c>
      <c r="I7" s="45" t="s">
        <v>56</v>
      </c>
      <c r="J7" s="46" t="s">
        <v>27</v>
      </c>
      <c r="K7" s="45" t="s">
        <v>56</v>
      </c>
      <c r="L7" s="46" t="s">
        <v>27</v>
      </c>
      <c r="M7" s="45" t="s">
        <v>56</v>
      </c>
      <c r="N7" s="46" t="s">
        <v>27</v>
      </c>
      <c r="O7" s="45" t="s">
        <v>56</v>
      </c>
      <c r="P7" s="46" t="s">
        <v>27</v>
      </c>
      <c r="Q7" s="45" t="s">
        <v>56</v>
      </c>
      <c r="R7" s="46" t="s">
        <v>27</v>
      </c>
      <c r="S7" s="45" t="s">
        <v>56</v>
      </c>
      <c r="T7" s="46" t="s">
        <v>27</v>
      </c>
      <c r="U7" s="45" t="s">
        <v>56</v>
      </c>
      <c r="V7" s="46" t="s">
        <v>27</v>
      </c>
      <c r="W7" s="45" t="s">
        <v>56</v>
      </c>
      <c r="X7" s="46" t="s">
        <v>27</v>
      </c>
      <c r="Y7" s="45" t="s">
        <v>56</v>
      </c>
      <c r="Z7" s="46" t="s">
        <v>27</v>
      </c>
      <c r="AA7" s="46" t="s">
        <v>27</v>
      </c>
    </row>
    <row r="8" spans="1:28" ht="15" thickBot="1" x14ac:dyDescent="0.4">
      <c r="A8" s="317" t="s">
        <v>29</v>
      </c>
      <c r="B8" s="318" t="s">
        <v>57</v>
      </c>
      <c r="C8" s="319">
        <v>1</v>
      </c>
      <c r="D8" s="320">
        <v>2</v>
      </c>
      <c r="E8" s="319">
        <v>1</v>
      </c>
      <c r="F8" s="320">
        <v>2</v>
      </c>
      <c r="G8" s="321">
        <v>3</v>
      </c>
      <c r="H8" s="320">
        <v>4</v>
      </c>
      <c r="I8" s="321">
        <v>5</v>
      </c>
      <c r="J8" s="322">
        <v>6</v>
      </c>
      <c r="K8" s="319">
        <v>7</v>
      </c>
      <c r="L8" s="320">
        <v>8</v>
      </c>
      <c r="M8" s="319">
        <v>9</v>
      </c>
      <c r="N8" s="320">
        <v>10</v>
      </c>
      <c r="O8" s="321">
        <v>11</v>
      </c>
      <c r="P8" s="322">
        <v>12</v>
      </c>
      <c r="Q8" s="319">
        <v>13</v>
      </c>
      <c r="R8" s="320">
        <v>14</v>
      </c>
      <c r="S8" s="319">
        <v>15</v>
      </c>
      <c r="T8" s="320">
        <v>16</v>
      </c>
      <c r="U8" s="321">
        <v>17</v>
      </c>
      <c r="V8" s="322">
        <v>18</v>
      </c>
      <c r="W8" s="319">
        <v>19</v>
      </c>
      <c r="X8" s="320">
        <v>20</v>
      </c>
      <c r="Y8" s="319">
        <v>21</v>
      </c>
      <c r="Z8" s="320">
        <v>22</v>
      </c>
      <c r="AA8" s="323">
        <v>23</v>
      </c>
    </row>
    <row r="9" spans="1:28" ht="52" x14ac:dyDescent="0.35">
      <c r="A9" s="324" t="s">
        <v>58</v>
      </c>
      <c r="B9" s="325" t="s">
        <v>59</v>
      </c>
      <c r="C9" s="326">
        <v>1</v>
      </c>
      <c r="D9" s="327">
        <v>1680</v>
      </c>
      <c r="E9" s="326">
        <v>1</v>
      </c>
      <c r="F9" s="327">
        <v>473.76</v>
      </c>
      <c r="G9" s="326"/>
      <c r="H9" s="327"/>
      <c r="I9" s="326"/>
      <c r="J9" s="327"/>
      <c r="K9" s="326"/>
      <c r="L9" s="327"/>
      <c r="M9" s="326"/>
      <c r="N9" s="327"/>
      <c r="O9" s="326">
        <v>3</v>
      </c>
      <c r="P9" s="327">
        <v>736.16</v>
      </c>
      <c r="Q9" s="326">
        <v>3</v>
      </c>
      <c r="R9" s="327">
        <v>576.26</v>
      </c>
      <c r="S9" s="326"/>
      <c r="T9" s="327"/>
      <c r="U9" s="326"/>
      <c r="V9" s="327"/>
      <c r="W9" s="326">
        <v>2</v>
      </c>
      <c r="X9" s="327">
        <v>557.76</v>
      </c>
      <c r="Y9" s="328"/>
      <c r="Z9" s="327"/>
      <c r="AA9" s="329">
        <f t="shared" ref="AA9:AA11" si="0">Z9+X9+V9+T9+R9+P9+N9+L9+J9+H9+F9+D9</f>
        <v>4023.9399999999996</v>
      </c>
      <c r="AB9" s="5"/>
    </row>
    <row r="10" spans="1:28" ht="65.150000000000006" customHeight="1" x14ac:dyDescent="0.35">
      <c r="A10" s="330" t="s">
        <v>62</v>
      </c>
      <c r="B10" s="331" t="s">
        <v>59</v>
      </c>
      <c r="C10" s="332">
        <v>6</v>
      </c>
      <c r="D10" s="333">
        <v>1408.84</v>
      </c>
      <c r="E10" s="332"/>
      <c r="F10" s="333"/>
      <c r="G10" s="332">
        <v>17</v>
      </c>
      <c r="H10" s="333">
        <v>4398.84</v>
      </c>
      <c r="I10" s="332">
        <v>19</v>
      </c>
      <c r="J10" s="333">
        <v>4534.41</v>
      </c>
      <c r="K10" s="332">
        <v>10</v>
      </c>
      <c r="L10" s="333">
        <v>3177.94</v>
      </c>
      <c r="M10" s="332">
        <v>25</v>
      </c>
      <c r="N10" s="333">
        <v>5673.14</v>
      </c>
      <c r="O10" s="332"/>
      <c r="P10" s="333"/>
      <c r="Q10" s="332"/>
      <c r="R10" s="333"/>
      <c r="S10" s="332">
        <v>4</v>
      </c>
      <c r="T10" s="333">
        <v>1376.56</v>
      </c>
      <c r="U10" s="332">
        <v>20</v>
      </c>
      <c r="V10" s="333">
        <v>5076.1000000000004</v>
      </c>
      <c r="W10" s="332">
        <v>15</v>
      </c>
      <c r="X10" s="333">
        <v>3629.84</v>
      </c>
      <c r="Y10" s="334">
        <v>8</v>
      </c>
      <c r="Z10" s="333">
        <v>1851.54</v>
      </c>
      <c r="AA10" s="335">
        <f t="shared" si="0"/>
        <v>31127.21</v>
      </c>
    </row>
    <row r="11" spans="1:28" ht="65.150000000000006" customHeight="1" thickBot="1" x14ac:dyDescent="0.4">
      <c r="A11" s="336" t="s">
        <v>63</v>
      </c>
      <c r="B11" s="337" t="s">
        <v>59</v>
      </c>
      <c r="C11" s="338">
        <v>24</v>
      </c>
      <c r="D11" s="339">
        <v>15396.48</v>
      </c>
      <c r="E11" s="338">
        <v>23</v>
      </c>
      <c r="F11" s="339">
        <v>45679.28</v>
      </c>
      <c r="G11" s="338">
        <v>28</v>
      </c>
      <c r="H11" s="339">
        <v>58762.44</v>
      </c>
      <c r="I11" s="338">
        <v>9</v>
      </c>
      <c r="J11" s="339">
        <v>6780.5</v>
      </c>
      <c r="K11" s="338">
        <v>28</v>
      </c>
      <c r="L11" s="339">
        <v>21943.119999999999</v>
      </c>
      <c r="M11" s="338">
        <v>20</v>
      </c>
      <c r="N11" s="339">
        <v>31703.8</v>
      </c>
      <c r="O11" s="338">
        <v>29</v>
      </c>
      <c r="P11" s="339">
        <v>22829.01</v>
      </c>
      <c r="Q11" s="338">
        <v>9</v>
      </c>
      <c r="R11" s="339">
        <v>11095.2</v>
      </c>
      <c r="S11" s="338">
        <v>33</v>
      </c>
      <c r="T11" s="339">
        <v>35174.43</v>
      </c>
      <c r="U11" s="338">
        <v>29</v>
      </c>
      <c r="V11" s="339">
        <v>29453.83</v>
      </c>
      <c r="W11" s="338">
        <v>23</v>
      </c>
      <c r="X11" s="339">
        <v>26446.23</v>
      </c>
      <c r="Y11" s="340">
        <v>26</v>
      </c>
      <c r="Z11" s="339">
        <v>29645.94</v>
      </c>
      <c r="AA11" s="341">
        <f t="shared" si="0"/>
        <v>334910.26</v>
      </c>
    </row>
    <row r="12" spans="1:28" s="4" customFormat="1" ht="18" customHeight="1" thickBot="1" x14ac:dyDescent="0.4">
      <c r="A12" s="1080" t="s">
        <v>36</v>
      </c>
      <c r="B12" s="1081"/>
      <c r="C12" s="342">
        <f>SUM(C9:C11)</f>
        <v>31</v>
      </c>
      <c r="D12" s="342">
        <f t="shared" ref="D12:AA12" si="1">SUM(D9:D11)</f>
        <v>18485.32</v>
      </c>
      <c r="E12" s="342">
        <f t="shared" si="1"/>
        <v>24</v>
      </c>
      <c r="F12" s="342">
        <f t="shared" si="1"/>
        <v>46153.04</v>
      </c>
      <c r="G12" s="342">
        <f t="shared" si="1"/>
        <v>45</v>
      </c>
      <c r="H12" s="342">
        <f t="shared" si="1"/>
        <v>63161.279999999999</v>
      </c>
      <c r="I12" s="342">
        <f t="shared" si="1"/>
        <v>28</v>
      </c>
      <c r="J12" s="342">
        <f t="shared" si="1"/>
        <v>11314.91</v>
      </c>
      <c r="K12" s="342">
        <f t="shared" si="1"/>
        <v>38</v>
      </c>
      <c r="L12" s="342">
        <f t="shared" si="1"/>
        <v>25121.059999999998</v>
      </c>
      <c r="M12" s="342">
        <f t="shared" si="1"/>
        <v>45</v>
      </c>
      <c r="N12" s="342">
        <f t="shared" si="1"/>
        <v>37376.94</v>
      </c>
      <c r="O12" s="342">
        <f t="shared" si="1"/>
        <v>32</v>
      </c>
      <c r="P12" s="342">
        <f t="shared" si="1"/>
        <v>23565.17</v>
      </c>
      <c r="Q12" s="342">
        <f t="shared" si="1"/>
        <v>12</v>
      </c>
      <c r="R12" s="342">
        <f t="shared" si="1"/>
        <v>11671.460000000001</v>
      </c>
      <c r="S12" s="342">
        <f t="shared" si="1"/>
        <v>37</v>
      </c>
      <c r="T12" s="342">
        <f t="shared" si="1"/>
        <v>36550.99</v>
      </c>
      <c r="U12" s="342">
        <f t="shared" si="1"/>
        <v>49</v>
      </c>
      <c r="V12" s="342">
        <f t="shared" si="1"/>
        <v>34529.93</v>
      </c>
      <c r="W12" s="342">
        <f t="shared" si="1"/>
        <v>40</v>
      </c>
      <c r="X12" s="342">
        <f t="shared" si="1"/>
        <v>30633.83</v>
      </c>
      <c r="Y12" s="342">
        <f t="shared" si="1"/>
        <v>34</v>
      </c>
      <c r="Z12" s="342">
        <f t="shared" si="1"/>
        <v>31497.48</v>
      </c>
      <c r="AA12" s="342">
        <f t="shared" si="1"/>
        <v>370061.41000000003</v>
      </c>
    </row>
    <row r="13" spans="1:28" s="4" customFormat="1" ht="18" customHeight="1" thickBot="1" x14ac:dyDescent="0.4">
      <c r="A13" s="343"/>
      <c r="B13" s="343"/>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row>
    <row r="14" spans="1:28" ht="14.5" customHeight="1" x14ac:dyDescent="0.35">
      <c r="A14" s="1016" t="s">
        <v>12</v>
      </c>
      <c r="B14" s="1017"/>
      <c r="C14" s="1009" t="s">
        <v>140</v>
      </c>
      <c r="D14" s="1010"/>
      <c r="E14" s="1009" t="s">
        <v>140</v>
      </c>
      <c r="F14" s="1010"/>
      <c r="G14" s="1009" t="s">
        <v>140</v>
      </c>
      <c r="H14" s="1010"/>
      <c r="I14" s="1009" t="s">
        <v>140</v>
      </c>
      <c r="J14" s="1010"/>
      <c r="K14" s="1009" t="s">
        <v>140</v>
      </c>
      <c r="L14" s="1010"/>
      <c r="M14" s="1009" t="s">
        <v>140</v>
      </c>
      <c r="N14" s="1010"/>
      <c r="O14" s="1009" t="s">
        <v>140</v>
      </c>
      <c r="P14" s="1010"/>
      <c r="Q14" s="1009" t="s">
        <v>140</v>
      </c>
      <c r="R14" s="1010"/>
      <c r="S14" s="1009" t="s">
        <v>140</v>
      </c>
      <c r="T14" s="1010"/>
      <c r="U14" s="1009" t="s">
        <v>140</v>
      </c>
      <c r="V14" s="1010"/>
      <c r="W14" s="1009" t="s">
        <v>140</v>
      </c>
      <c r="X14" s="1010"/>
      <c r="Y14" s="1009" t="s">
        <v>140</v>
      </c>
      <c r="Z14" s="1010"/>
      <c r="AA14" s="130" t="s">
        <v>140</v>
      </c>
    </row>
    <row r="15" spans="1:28" x14ac:dyDescent="0.35">
      <c r="A15" s="1014" t="s">
        <v>13</v>
      </c>
      <c r="B15" s="1085"/>
      <c r="C15" s="1003" t="s">
        <v>89</v>
      </c>
      <c r="D15" s="1004"/>
      <c r="E15" s="1003" t="s">
        <v>49</v>
      </c>
      <c r="F15" s="1004"/>
      <c r="G15" s="1005" t="s">
        <v>50</v>
      </c>
      <c r="H15" s="1004"/>
      <c r="I15" s="1005" t="s">
        <v>51</v>
      </c>
      <c r="J15" s="1006"/>
      <c r="K15" s="1003" t="s">
        <v>52</v>
      </c>
      <c r="L15" s="1004"/>
      <c r="M15" s="1003" t="s">
        <v>53</v>
      </c>
      <c r="N15" s="1004"/>
      <c r="O15" s="1005" t="s">
        <v>54</v>
      </c>
      <c r="P15" s="1006"/>
      <c r="Q15" s="1003" t="s">
        <v>81</v>
      </c>
      <c r="R15" s="1004"/>
      <c r="S15" s="1005" t="s">
        <v>90</v>
      </c>
      <c r="T15" s="1006"/>
      <c r="U15" s="1003" t="s">
        <v>91</v>
      </c>
      <c r="V15" s="1004"/>
      <c r="W15" s="1005" t="s">
        <v>92</v>
      </c>
      <c r="X15" s="1006"/>
      <c r="Y15" s="1003" t="s">
        <v>93</v>
      </c>
      <c r="Z15" s="1005"/>
      <c r="AA15" s="131" t="s">
        <v>36</v>
      </c>
    </row>
    <row r="16" spans="1:28" ht="15" thickBot="1" x14ac:dyDescent="0.4">
      <c r="A16" s="1083" t="s">
        <v>32</v>
      </c>
      <c r="B16" s="1084"/>
      <c r="C16" s="36"/>
      <c r="D16" s="37" t="s">
        <v>24</v>
      </c>
      <c r="E16" s="36"/>
      <c r="F16" s="37" t="s">
        <v>24</v>
      </c>
      <c r="G16" s="313"/>
      <c r="H16" s="37" t="s">
        <v>24</v>
      </c>
      <c r="I16" s="38"/>
      <c r="J16" s="38" t="s">
        <v>24</v>
      </c>
      <c r="K16" s="36"/>
      <c r="L16" s="37" t="s">
        <v>24</v>
      </c>
      <c r="M16" s="36"/>
      <c r="N16" s="37" t="s">
        <v>24</v>
      </c>
      <c r="O16" s="38"/>
      <c r="P16" s="38" t="s">
        <v>24</v>
      </c>
      <c r="Q16" s="38"/>
      <c r="R16" s="38" t="s">
        <v>24</v>
      </c>
      <c r="S16" s="38"/>
      <c r="T16" s="38" t="s">
        <v>24</v>
      </c>
      <c r="U16" s="38"/>
      <c r="V16" s="38" t="s">
        <v>24</v>
      </c>
      <c r="W16" s="38"/>
      <c r="X16" s="38" t="s">
        <v>24</v>
      </c>
      <c r="Y16" s="38"/>
      <c r="Z16" s="38" t="s">
        <v>24</v>
      </c>
      <c r="AA16" s="391" t="s">
        <v>24</v>
      </c>
    </row>
    <row r="17" spans="1:30" ht="52" x14ac:dyDescent="0.35">
      <c r="A17" s="315" t="s">
        <v>25</v>
      </c>
      <c r="B17" s="316" t="s">
        <v>55</v>
      </c>
      <c r="C17" s="45" t="s">
        <v>56</v>
      </c>
      <c r="D17" s="46" t="s">
        <v>27</v>
      </c>
      <c r="E17" s="45" t="s">
        <v>56</v>
      </c>
      <c r="F17" s="46" t="s">
        <v>27</v>
      </c>
      <c r="G17" s="47" t="s">
        <v>56</v>
      </c>
      <c r="H17" s="46" t="s">
        <v>27</v>
      </c>
      <c r="I17" s="45" t="s">
        <v>56</v>
      </c>
      <c r="J17" s="46" t="s">
        <v>27</v>
      </c>
      <c r="K17" s="45" t="s">
        <v>56</v>
      </c>
      <c r="L17" s="46" t="s">
        <v>27</v>
      </c>
      <c r="M17" s="45" t="s">
        <v>56</v>
      </c>
      <c r="N17" s="46" t="s">
        <v>27</v>
      </c>
      <c r="O17" s="45" t="s">
        <v>56</v>
      </c>
      <c r="P17" s="46" t="s">
        <v>27</v>
      </c>
      <c r="Q17" s="45" t="s">
        <v>56</v>
      </c>
      <c r="R17" s="46" t="s">
        <v>27</v>
      </c>
      <c r="S17" s="45" t="s">
        <v>56</v>
      </c>
      <c r="T17" s="46" t="s">
        <v>27</v>
      </c>
      <c r="U17" s="45" t="s">
        <v>56</v>
      </c>
      <c r="V17" s="46" t="s">
        <v>27</v>
      </c>
      <c r="W17" s="45" t="s">
        <v>56</v>
      </c>
      <c r="X17" s="46" t="s">
        <v>27</v>
      </c>
      <c r="Y17" s="45" t="s">
        <v>56</v>
      </c>
      <c r="Z17" s="46" t="s">
        <v>27</v>
      </c>
      <c r="AA17" s="46" t="s">
        <v>27</v>
      </c>
    </row>
    <row r="18" spans="1:30" ht="15" thickBot="1" x14ac:dyDescent="0.4">
      <c r="A18" s="317" t="s">
        <v>29</v>
      </c>
      <c r="B18" s="318" t="s">
        <v>57</v>
      </c>
      <c r="C18" s="319">
        <v>1</v>
      </c>
      <c r="D18" s="320">
        <v>2</v>
      </c>
      <c r="E18" s="319">
        <v>1</v>
      </c>
      <c r="F18" s="320">
        <v>2</v>
      </c>
      <c r="G18" s="321">
        <v>3</v>
      </c>
      <c r="H18" s="320">
        <v>4</v>
      </c>
      <c r="I18" s="321">
        <v>5</v>
      </c>
      <c r="J18" s="322">
        <v>6</v>
      </c>
      <c r="K18" s="319">
        <v>7</v>
      </c>
      <c r="L18" s="320">
        <v>8</v>
      </c>
      <c r="M18" s="319">
        <v>9</v>
      </c>
      <c r="N18" s="320">
        <v>10</v>
      </c>
      <c r="O18" s="321">
        <v>11</v>
      </c>
      <c r="P18" s="322">
        <v>12</v>
      </c>
      <c r="Q18" s="319">
        <v>13</v>
      </c>
      <c r="R18" s="320">
        <v>14</v>
      </c>
      <c r="S18" s="319">
        <v>15</v>
      </c>
      <c r="T18" s="320">
        <v>16</v>
      </c>
      <c r="U18" s="321">
        <v>17</v>
      </c>
      <c r="V18" s="322">
        <v>18</v>
      </c>
      <c r="W18" s="319">
        <v>19</v>
      </c>
      <c r="X18" s="320">
        <v>20</v>
      </c>
      <c r="Y18" s="319">
        <v>21</v>
      </c>
      <c r="Z18" s="392">
        <v>22</v>
      </c>
      <c r="AA18" s="393">
        <v>23</v>
      </c>
    </row>
    <row r="19" spans="1:30" ht="52" x14ac:dyDescent="0.35">
      <c r="A19" s="324" t="s">
        <v>58</v>
      </c>
      <c r="B19" s="325" t="s">
        <v>59</v>
      </c>
      <c r="C19" s="326"/>
      <c r="D19" s="327"/>
      <c r="E19" s="326"/>
      <c r="F19" s="327"/>
      <c r="G19" s="326"/>
      <c r="H19" s="327"/>
      <c r="I19" s="326">
        <v>2</v>
      </c>
      <c r="J19" s="327">
        <v>101.64</v>
      </c>
      <c r="K19" s="326"/>
      <c r="L19" s="327"/>
      <c r="M19" s="326">
        <v>10</v>
      </c>
      <c r="N19" s="327">
        <v>2886.33</v>
      </c>
      <c r="O19" s="326">
        <v>1</v>
      </c>
      <c r="P19" s="327">
        <v>473.76</v>
      </c>
      <c r="Q19" s="326"/>
      <c r="R19" s="327"/>
      <c r="S19" s="326"/>
      <c r="T19" s="327"/>
      <c r="U19" s="326"/>
      <c r="V19" s="327"/>
      <c r="W19" s="326"/>
      <c r="X19" s="327"/>
      <c r="Y19" s="326"/>
      <c r="Z19" s="410"/>
      <c r="AA19" s="411">
        <f>Z19+X19+V19+T19+R19+P19+N19+L19+J19+H19+F19+D19</f>
        <v>3461.73</v>
      </c>
      <c r="AB19" s="5"/>
      <c r="AC19" s="5"/>
      <c r="AD19" s="2"/>
    </row>
    <row r="20" spans="1:30" ht="65.150000000000006" customHeight="1" x14ac:dyDescent="0.35">
      <c r="A20" s="330" t="s">
        <v>62</v>
      </c>
      <c r="B20" s="331" t="s">
        <v>59</v>
      </c>
      <c r="C20" s="332"/>
      <c r="D20" s="333"/>
      <c r="E20" s="332">
        <v>9</v>
      </c>
      <c r="F20" s="333">
        <v>2222.29</v>
      </c>
      <c r="G20" s="332">
        <v>2</v>
      </c>
      <c r="H20" s="333">
        <v>941.6</v>
      </c>
      <c r="I20" s="332">
        <v>8</v>
      </c>
      <c r="J20" s="333">
        <v>2419.42</v>
      </c>
      <c r="K20" s="332">
        <v>1</v>
      </c>
      <c r="L20" s="333">
        <v>861.24</v>
      </c>
      <c r="M20" s="332">
        <v>4</v>
      </c>
      <c r="N20" s="333">
        <v>890.34</v>
      </c>
      <c r="O20" s="332">
        <v>6</v>
      </c>
      <c r="P20" s="333">
        <v>1281.23</v>
      </c>
      <c r="Q20" s="332"/>
      <c r="R20" s="333"/>
      <c r="S20" s="332">
        <v>19</v>
      </c>
      <c r="T20" s="333">
        <v>4491.96</v>
      </c>
      <c r="U20" s="332">
        <v>14</v>
      </c>
      <c r="V20" s="333">
        <v>3355.41</v>
      </c>
      <c r="W20" s="332">
        <v>8</v>
      </c>
      <c r="X20" s="333">
        <v>1773.44</v>
      </c>
      <c r="Y20" s="332">
        <v>9</v>
      </c>
      <c r="Z20" s="412">
        <v>1969.92</v>
      </c>
      <c r="AA20" s="413">
        <f t="shared" ref="AA20:AA21" si="2">Z20+X20+V20+T20+R20+P20+N20+L20+J20+H20+F20+D20</f>
        <v>20206.849999999999</v>
      </c>
      <c r="AB20" s="5"/>
      <c r="AC20" s="5"/>
      <c r="AD20" s="2"/>
    </row>
    <row r="21" spans="1:30" ht="65.150000000000006" customHeight="1" thickBot="1" x14ac:dyDescent="0.4">
      <c r="A21" s="336" t="s">
        <v>63</v>
      </c>
      <c r="B21" s="337" t="s">
        <v>59</v>
      </c>
      <c r="C21" s="338">
        <v>26</v>
      </c>
      <c r="D21" s="339">
        <v>15321.9</v>
      </c>
      <c r="E21" s="338">
        <v>27</v>
      </c>
      <c r="F21" s="339">
        <v>16434.099999999999</v>
      </c>
      <c r="G21" s="338">
        <v>28</v>
      </c>
      <c r="H21" s="339">
        <v>15834.29</v>
      </c>
      <c r="I21" s="338">
        <v>36</v>
      </c>
      <c r="J21" s="339">
        <v>46274.68</v>
      </c>
      <c r="K21" s="338">
        <v>26</v>
      </c>
      <c r="L21" s="339">
        <v>25380.57</v>
      </c>
      <c r="M21" s="338">
        <v>25</v>
      </c>
      <c r="N21" s="339">
        <v>20170.63</v>
      </c>
      <c r="O21" s="338">
        <v>38</v>
      </c>
      <c r="P21" s="339">
        <v>26488.39</v>
      </c>
      <c r="Q21" s="338">
        <v>19</v>
      </c>
      <c r="R21" s="339">
        <v>31609.42</v>
      </c>
      <c r="S21" s="338">
        <v>20</v>
      </c>
      <c r="T21" s="339">
        <v>9065.5</v>
      </c>
      <c r="U21" s="338">
        <v>17</v>
      </c>
      <c r="V21" s="339">
        <v>6833.1</v>
      </c>
      <c r="W21" s="338">
        <v>36</v>
      </c>
      <c r="X21" s="339">
        <v>21819.96</v>
      </c>
      <c r="Y21" s="338">
        <v>34</v>
      </c>
      <c r="Z21" s="414">
        <v>23081.51</v>
      </c>
      <c r="AA21" s="415">
        <f t="shared" si="2"/>
        <v>258314.05</v>
      </c>
      <c r="AB21" s="5"/>
      <c r="AC21" s="5"/>
      <c r="AD21" s="2"/>
    </row>
    <row r="22" spans="1:30" s="4" customFormat="1" ht="18" customHeight="1" thickBot="1" x14ac:dyDescent="0.4">
      <c r="A22" s="1080" t="s">
        <v>36</v>
      </c>
      <c r="B22" s="1081"/>
      <c r="C22" s="342">
        <f>SUM(C19:C21)</f>
        <v>26</v>
      </c>
      <c r="D22" s="342">
        <f t="shared" ref="D22:Z22" si="3">SUM(D19:D21)</f>
        <v>15321.9</v>
      </c>
      <c r="E22" s="342">
        <f t="shared" si="3"/>
        <v>36</v>
      </c>
      <c r="F22" s="342">
        <f t="shared" si="3"/>
        <v>18656.39</v>
      </c>
      <c r="G22" s="342">
        <f t="shared" si="3"/>
        <v>30</v>
      </c>
      <c r="H22" s="342">
        <f t="shared" si="3"/>
        <v>16775.89</v>
      </c>
      <c r="I22" s="342">
        <f t="shared" si="3"/>
        <v>46</v>
      </c>
      <c r="J22" s="342">
        <f t="shared" si="3"/>
        <v>48795.74</v>
      </c>
      <c r="K22" s="342">
        <f t="shared" si="3"/>
        <v>27</v>
      </c>
      <c r="L22" s="342">
        <f t="shared" si="3"/>
        <v>26241.81</v>
      </c>
      <c r="M22" s="342">
        <f t="shared" si="3"/>
        <v>39</v>
      </c>
      <c r="N22" s="342">
        <f t="shared" si="3"/>
        <v>23947.300000000003</v>
      </c>
      <c r="O22" s="342">
        <f t="shared" si="3"/>
        <v>45</v>
      </c>
      <c r="P22" s="342">
        <f t="shared" si="3"/>
        <v>28243.38</v>
      </c>
      <c r="Q22" s="342">
        <f t="shared" si="3"/>
        <v>19</v>
      </c>
      <c r="R22" s="342">
        <f t="shared" si="3"/>
        <v>31609.42</v>
      </c>
      <c r="S22" s="342">
        <f t="shared" si="3"/>
        <v>39</v>
      </c>
      <c r="T22" s="342">
        <f t="shared" si="3"/>
        <v>13557.46</v>
      </c>
      <c r="U22" s="342">
        <f t="shared" si="3"/>
        <v>31</v>
      </c>
      <c r="V22" s="342">
        <f t="shared" si="3"/>
        <v>10188.51</v>
      </c>
      <c r="W22" s="342">
        <f t="shared" si="3"/>
        <v>44</v>
      </c>
      <c r="X22" s="342">
        <f t="shared" si="3"/>
        <v>23593.399999999998</v>
      </c>
      <c r="Y22" s="342">
        <f t="shared" si="3"/>
        <v>43</v>
      </c>
      <c r="Z22" s="416">
        <f t="shared" si="3"/>
        <v>25051.43</v>
      </c>
      <c r="AA22" s="417">
        <f>SUM(AA19:AA21)</f>
        <v>281982.63</v>
      </c>
    </row>
    <row r="23" spans="1:30" ht="15" thickBot="1" x14ac:dyDescent="0.4"/>
    <row r="24" spans="1:30" ht="14.5" customHeight="1" x14ac:dyDescent="0.35">
      <c r="A24" s="1016" t="s">
        <v>12</v>
      </c>
      <c r="B24" s="1017"/>
      <c r="C24" s="1009" t="s">
        <v>189</v>
      </c>
      <c r="D24" s="1010"/>
      <c r="E24" s="1009" t="s">
        <v>189</v>
      </c>
      <c r="F24" s="1010"/>
      <c r="G24" s="1009" t="s">
        <v>189</v>
      </c>
      <c r="H24" s="1010"/>
      <c r="I24" s="1009" t="s">
        <v>189</v>
      </c>
      <c r="J24" s="1010"/>
      <c r="K24" s="1009" t="s">
        <v>189</v>
      </c>
      <c r="L24" s="1010"/>
      <c r="M24" s="1087" t="s">
        <v>189</v>
      </c>
      <c r="N24" s="1088"/>
      <c r="O24" s="1087" t="s">
        <v>189</v>
      </c>
      <c r="P24" s="1088"/>
      <c r="Q24" s="1087" t="s">
        <v>189</v>
      </c>
      <c r="R24" s="1088"/>
      <c r="S24" s="1087" t="s">
        <v>189</v>
      </c>
      <c r="T24" s="1088"/>
      <c r="U24" s="1054" t="s">
        <v>189</v>
      </c>
      <c r="V24" s="1055"/>
      <c r="W24" s="1054" t="s">
        <v>189</v>
      </c>
      <c r="X24" s="1055"/>
      <c r="Y24" s="1054" t="s">
        <v>189</v>
      </c>
      <c r="Z24" s="1055"/>
      <c r="AA24" s="451" t="s">
        <v>189</v>
      </c>
    </row>
    <row r="25" spans="1:30" x14ac:dyDescent="0.35">
      <c r="A25" s="1014" t="s">
        <v>13</v>
      </c>
      <c r="B25" s="1085"/>
      <c r="C25" s="1003" t="s">
        <v>89</v>
      </c>
      <c r="D25" s="1004"/>
      <c r="E25" s="1003" t="s">
        <v>49</v>
      </c>
      <c r="F25" s="1004"/>
      <c r="G25" s="1005" t="s">
        <v>50</v>
      </c>
      <c r="H25" s="1004"/>
      <c r="I25" s="1005" t="s">
        <v>51</v>
      </c>
      <c r="J25" s="1006"/>
      <c r="K25" s="1003" t="s">
        <v>52</v>
      </c>
      <c r="L25" s="1004"/>
      <c r="M25" s="1089" t="s">
        <v>53</v>
      </c>
      <c r="N25" s="1090"/>
      <c r="O25" s="1091" t="s">
        <v>54</v>
      </c>
      <c r="P25" s="1092"/>
      <c r="Q25" s="1089" t="s">
        <v>81</v>
      </c>
      <c r="R25" s="1090"/>
      <c r="S25" s="1091" t="s">
        <v>90</v>
      </c>
      <c r="T25" s="1092"/>
      <c r="U25" s="1062" t="s">
        <v>91</v>
      </c>
      <c r="V25" s="1063"/>
      <c r="W25" s="1060" t="s">
        <v>92</v>
      </c>
      <c r="X25" s="1061"/>
      <c r="Y25" s="1062" t="s">
        <v>93</v>
      </c>
      <c r="Z25" s="1060"/>
      <c r="AA25" s="452" t="s">
        <v>36</v>
      </c>
    </row>
    <row r="26" spans="1:30" ht="15" thickBot="1" x14ac:dyDescent="0.4">
      <c r="A26" s="1083" t="s">
        <v>32</v>
      </c>
      <c r="B26" s="1084"/>
      <c r="C26" s="36"/>
      <c r="D26" s="37" t="s">
        <v>24</v>
      </c>
      <c r="E26" s="36"/>
      <c r="F26" s="37" t="s">
        <v>24</v>
      </c>
      <c r="G26" s="313"/>
      <c r="H26" s="37" t="s">
        <v>24</v>
      </c>
      <c r="I26" s="38"/>
      <c r="J26" s="38" t="s">
        <v>24</v>
      </c>
      <c r="K26" s="36"/>
      <c r="L26" s="37" t="s">
        <v>24</v>
      </c>
      <c r="M26" s="121"/>
      <c r="N26" s="41" t="s">
        <v>24</v>
      </c>
      <c r="O26" s="42"/>
      <c r="P26" s="42" t="s">
        <v>24</v>
      </c>
      <c r="Q26" s="42"/>
      <c r="R26" s="42" t="s">
        <v>24</v>
      </c>
      <c r="S26" s="42"/>
      <c r="T26" s="42" t="s">
        <v>24</v>
      </c>
      <c r="U26" s="456"/>
      <c r="V26" s="456" t="s">
        <v>24</v>
      </c>
      <c r="W26" s="456"/>
      <c r="X26" s="456" t="s">
        <v>24</v>
      </c>
      <c r="Y26" s="456"/>
      <c r="Z26" s="456" t="s">
        <v>24</v>
      </c>
      <c r="AA26" s="457" t="s">
        <v>24</v>
      </c>
    </row>
    <row r="27" spans="1:30" ht="52" x14ac:dyDescent="0.35">
      <c r="A27" s="315" t="s">
        <v>25</v>
      </c>
      <c r="B27" s="316" t="s">
        <v>55</v>
      </c>
      <c r="C27" s="45" t="s">
        <v>56</v>
      </c>
      <c r="D27" s="46" t="s">
        <v>27</v>
      </c>
      <c r="E27" s="45" t="s">
        <v>56</v>
      </c>
      <c r="F27" s="46" t="s">
        <v>27</v>
      </c>
      <c r="G27" s="47" t="s">
        <v>56</v>
      </c>
      <c r="H27" s="46" t="s">
        <v>27</v>
      </c>
      <c r="I27" s="45" t="s">
        <v>56</v>
      </c>
      <c r="J27" s="46" t="s">
        <v>27</v>
      </c>
      <c r="K27" s="45" t="s">
        <v>56</v>
      </c>
      <c r="L27" s="46" t="s">
        <v>27</v>
      </c>
      <c r="M27" s="49" t="s">
        <v>56</v>
      </c>
      <c r="N27" s="816" t="s">
        <v>27</v>
      </c>
      <c r="O27" s="49" t="s">
        <v>56</v>
      </c>
      <c r="P27" s="816" t="s">
        <v>27</v>
      </c>
      <c r="Q27" s="49" t="s">
        <v>56</v>
      </c>
      <c r="R27" s="816" t="s">
        <v>27</v>
      </c>
      <c r="S27" s="49" t="s">
        <v>56</v>
      </c>
      <c r="T27" s="816" t="s">
        <v>27</v>
      </c>
      <c r="U27" s="458" t="s">
        <v>56</v>
      </c>
      <c r="V27" s="459" t="s">
        <v>28</v>
      </c>
      <c r="W27" s="458" t="s">
        <v>56</v>
      </c>
      <c r="X27" s="459" t="s">
        <v>28</v>
      </c>
      <c r="Y27" s="458" t="s">
        <v>56</v>
      </c>
      <c r="Z27" s="681" t="s">
        <v>28</v>
      </c>
      <c r="AA27" s="682" t="s">
        <v>28</v>
      </c>
    </row>
    <row r="28" spans="1:30" ht="15" thickBot="1" x14ac:dyDescent="0.4">
      <c r="A28" s="317" t="s">
        <v>29</v>
      </c>
      <c r="B28" s="318" t="s">
        <v>57</v>
      </c>
      <c r="C28" s="319">
        <v>1</v>
      </c>
      <c r="D28" s="320">
        <v>2</v>
      </c>
      <c r="E28" s="319">
        <v>1</v>
      </c>
      <c r="F28" s="320">
        <v>2</v>
      </c>
      <c r="G28" s="321">
        <v>3</v>
      </c>
      <c r="H28" s="320">
        <v>4</v>
      </c>
      <c r="I28" s="321">
        <v>5</v>
      </c>
      <c r="J28" s="322">
        <v>6</v>
      </c>
      <c r="K28" s="319">
        <v>7</v>
      </c>
      <c r="L28" s="320">
        <v>8</v>
      </c>
      <c r="M28" s="817">
        <v>9</v>
      </c>
      <c r="N28" s="818">
        <v>10</v>
      </c>
      <c r="O28" s="819">
        <v>11</v>
      </c>
      <c r="P28" s="820">
        <v>12</v>
      </c>
      <c r="Q28" s="817">
        <v>13</v>
      </c>
      <c r="R28" s="818">
        <v>14</v>
      </c>
      <c r="S28" s="817">
        <v>15</v>
      </c>
      <c r="T28" s="818">
        <v>16</v>
      </c>
      <c r="U28" s="685">
        <v>17</v>
      </c>
      <c r="V28" s="686">
        <v>18</v>
      </c>
      <c r="W28" s="683">
        <v>19</v>
      </c>
      <c r="X28" s="684">
        <v>20</v>
      </c>
      <c r="Y28" s="683">
        <v>21</v>
      </c>
      <c r="Z28" s="687">
        <v>22</v>
      </c>
      <c r="AA28" s="688">
        <v>23</v>
      </c>
    </row>
    <row r="29" spans="1:30" ht="52" x14ac:dyDescent="0.35">
      <c r="A29" s="324" t="s">
        <v>58</v>
      </c>
      <c r="B29" s="325" t="s">
        <v>59</v>
      </c>
      <c r="C29" s="326">
        <v>1</v>
      </c>
      <c r="D29" s="327">
        <v>363</v>
      </c>
      <c r="E29" s="326">
        <v>4</v>
      </c>
      <c r="F29" s="327">
        <v>685.51</v>
      </c>
      <c r="G29" s="326">
        <v>2</v>
      </c>
      <c r="H29" s="327">
        <v>787.71</v>
      </c>
      <c r="I29" s="326">
        <v>1</v>
      </c>
      <c r="J29" s="327">
        <v>473.76</v>
      </c>
      <c r="K29" s="326"/>
      <c r="L29" s="327"/>
      <c r="M29" s="326">
        <v>0</v>
      </c>
      <c r="N29" s="327">
        <v>0</v>
      </c>
      <c r="O29" s="326">
        <v>6</v>
      </c>
      <c r="P29" s="327">
        <v>2140.66</v>
      </c>
      <c r="Q29" s="326">
        <v>0</v>
      </c>
      <c r="R29" s="327">
        <v>0</v>
      </c>
      <c r="S29" s="326">
        <v>1</v>
      </c>
      <c r="T29" s="327">
        <v>447.7</v>
      </c>
      <c r="U29" s="689">
        <f>AVERAGE(K29,M29,O29,Q29,S29,I29,G29,E29,C29)</f>
        <v>1.875</v>
      </c>
      <c r="V29" s="690">
        <f>AVERAGE(L29,N29,P29,R29,T29,J29,H29,F29,D29)</f>
        <v>612.29250000000002</v>
      </c>
      <c r="W29" s="689">
        <f t="shared" ref="W29:Z29" si="4">U29</f>
        <v>1.875</v>
      </c>
      <c r="X29" s="690">
        <f t="shared" si="4"/>
        <v>612.29250000000002</v>
      </c>
      <c r="Y29" s="689">
        <f t="shared" si="4"/>
        <v>1.875</v>
      </c>
      <c r="Z29" s="690">
        <f t="shared" si="4"/>
        <v>612.29250000000002</v>
      </c>
      <c r="AA29" s="691">
        <f>Z29+X29+V29+T29+R29+P29+N29+L29+J29+H29+F29+D29</f>
        <v>6735.2174999999997</v>
      </c>
      <c r="AB29" s="5"/>
      <c r="AC29" s="5"/>
      <c r="AD29" s="2"/>
    </row>
    <row r="30" spans="1:30" ht="65.150000000000006" customHeight="1" x14ac:dyDescent="0.35">
      <c r="A30" s="330" t="s">
        <v>62</v>
      </c>
      <c r="B30" s="331" t="s">
        <v>59</v>
      </c>
      <c r="C30" s="332"/>
      <c r="D30" s="333"/>
      <c r="E30" s="332">
        <v>2</v>
      </c>
      <c r="F30" s="333">
        <v>997.6</v>
      </c>
      <c r="G30" s="332">
        <v>24</v>
      </c>
      <c r="H30" s="333">
        <v>5324.41</v>
      </c>
      <c r="I30" s="332"/>
      <c r="J30" s="333"/>
      <c r="K30" s="332">
        <v>5</v>
      </c>
      <c r="L30" s="333">
        <v>1211.46</v>
      </c>
      <c r="M30" s="332">
        <v>3</v>
      </c>
      <c r="N30" s="333">
        <v>561.55999999999995</v>
      </c>
      <c r="O30" s="332">
        <v>7</v>
      </c>
      <c r="P30" s="333">
        <v>1962.83</v>
      </c>
      <c r="Q30" s="332">
        <v>5</v>
      </c>
      <c r="R30" s="333">
        <v>1252.1600000000001</v>
      </c>
      <c r="S30" s="332">
        <v>11</v>
      </c>
      <c r="T30" s="333">
        <v>2233.5700000000002</v>
      </c>
      <c r="U30" s="692">
        <f t="shared" ref="U30" si="5">AVERAGE(K30,M30,O30,Q30,S30,I30,G30,E30,C30)</f>
        <v>8.1428571428571423</v>
      </c>
      <c r="V30" s="693">
        <f t="shared" ref="V30" si="6">AVERAGE(L30,N30,P30,R30,T30,J30,H30,F30,D30)</f>
        <v>1934.7985714285714</v>
      </c>
      <c r="W30" s="692">
        <f t="shared" ref="W30:W31" si="7">U30</f>
        <v>8.1428571428571423</v>
      </c>
      <c r="X30" s="693">
        <f t="shared" ref="X30:X31" si="8">V30</f>
        <v>1934.7985714285714</v>
      </c>
      <c r="Y30" s="692">
        <f t="shared" ref="Y30:Y31" si="9">W30</f>
        <v>8.1428571428571423</v>
      </c>
      <c r="Z30" s="693">
        <f t="shared" ref="Z30:Z31" si="10">X30</f>
        <v>1934.7985714285714</v>
      </c>
      <c r="AA30" s="694">
        <f t="shared" ref="AA30:AA31" si="11">Z30+X30+V30+T30+R30+P30+N30+L30+J30+H30+F30+D30</f>
        <v>19347.985714285711</v>
      </c>
      <c r="AB30" s="5"/>
      <c r="AC30" s="3"/>
      <c r="AD30" s="2"/>
    </row>
    <row r="31" spans="1:30" ht="65.150000000000006" customHeight="1" thickBot="1" x14ac:dyDescent="0.4">
      <c r="A31" s="336" t="s">
        <v>63</v>
      </c>
      <c r="B31" s="337" t="s">
        <v>59</v>
      </c>
      <c r="C31" s="338">
        <v>13</v>
      </c>
      <c r="D31" s="339">
        <v>7857.68</v>
      </c>
      <c r="E31" s="338">
        <v>22</v>
      </c>
      <c r="F31" s="339">
        <v>13487.54</v>
      </c>
      <c r="G31" s="338">
        <v>30</v>
      </c>
      <c r="H31" s="339">
        <v>44626.13</v>
      </c>
      <c r="I31" s="338">
        <v>16</v>
      </c>
      <c r="J31" s="339">
        <v>15353.89</v>
      </c>
      <c r="K31" s="338">
        <v>12</v>
      </c>
      <c r="L31" s="339">
        <v>11972.09</v>
      </c>
      <c r="M31" s="332">
        <v>11</v>
      </c>
      <c r="N31" s="333">
        <v>33762.11</v>
      </c>
      <c r="O31" s="332">
        <v>36</v>
      </c>
      <c r="P31" s="333">
        <v>44819.87</v>
      </c>
      <c r="Q31" s="332">
        <v>16</v>
      </c>
      <c r="R31" s="333">
        <v>13234.64</v>
      </c>
      <c r="S31" s="332">
        <v>2</v>
      </c>
      <c r="T31" s="333">
        <v>1982.42</v>
      </c>
      <c r="U31" s="695">
        <f>AVERAGE(K31,M31,O31,Q31,S31,I31,G31,E31,C31)</f>
        <v>17.555555555555557</v>
      </c>
      <c r="V31" s="696">
        <f>AVERAGE(L31,N31,P31,R31,T31,J31,H31,F31,D31)</f>
        <v>20788.485555555555</v>
      </c>
      <c r="W31" s="695">
        <f t="shared" si="7"/>
        <v>17.555555555555557</v>
      </c>
      <c r="X31" s="696">
        <f t="shared" si="8"/>
        <v>20788.485555555555</v>
      </c>
      <c r="Y31" s="695">
        <f t="shared" si="9"/>
        <v>17.555555555555557</v>
      </c>
      <c r="Z31" s="696">
        <f t="shared" si="10"/>
        <v>20788.485555555555</v>
      </c>
      <c r="AA31" s="697">
        <f t="shared" si="11"/>
        <v>249461.82666666663</v>
      </c>
      <c r="AB31" s="5"/>
      <c r="AC31" s="5"/>
      <c r="AD31" s="2"/>
    </row>
    <row r="32" spans="1:30" s="4" customFormat="1" ht="18" customHeight="1" thickBot="1" x14ac:dyDescent="0.4">
      <c r="A32" s="1080" t="s">
        <v>36</v>
      </c>
      <c r="B32" s="1081"/>
      <c r="C32" s="342">
        <f>SUM(C29:C31)</f>
        <v>14</v>
      </c>
      <c r="D32" s="342">
        <f t="shared" ref="D32:P32" si="12">SUM(D29:D31)</f>
        <v>8220.68</v>
      </c>
      <c r="E32" s="342">
        <f t="shared" si="12"/>
        <v>28</v>
      </c>
      <c r="F32" s="342">
        <f t="shared" si="12"/>
        <v>15170.650000000001</v>
      </c>
      <c r="G32" s="342">
        <f t="shared" si="12"/>
        <v>56</v>
      </c>
      <c r="H32" s="342">
        <f t="shared" si="12"/>
        <v>50738.25</v>
      </c>
      <c r="I32" s="342">
        <f t="shared" si="12"/>
        <v>17</v>
      </c>
      <c r="J32" s="342">
        <f t="shared" si="12"/>
        <v>15827.65</v>
      </c>
      <c r="K32" s="342">
        <f t="shared" si="12"/>
        <v>17</v>
      </c>
      <c r="L32" s="342">
        <f t="shared" si="12"/>
        <v>13183.55</v>
      </c>
      <c r="M32" s="821">
        <f t="shared" si="12"/>
        <v>14</v>
      </c>
      <c r="N32" s="821">
        <f t="shared" si="12"/>
        <v>34323.67</v>
      </c>
      <c r="O32" s="821">
        <f t="shared" si="12"/>
        <v>49</v>
      </c>
      <c r="P32" s="821">
        <f t="shared" si="12"/>
        <v>48923.360000000001</v>
      </c>
      <c r="Q32" s="821">
        <f t="shared" ref="Q32:Z32" si="13">SUM(Q29:Q31)</f>
        <v>21</v>
      </c>
      <c r="R32" s="821">
        <f t="shared" si="13"/>
        <v>14486.8</v>
      </c>
      <c r="S32" s="821">
        <f t="shared" si="13"/>
        <v>14</v>
      </c>
      <c r="T32" s="821">
        <f t="shared" si="13"/>
        <v>4663.6900000000005</v>
      </c>
      <c r="U32" s="698">
        <f t="shared" si="13"/>
        <v>27.573412698412699</v>
      </c>
      <c r="V32" s="698">
        <f t="shared" si="13"/>
        <v>23335.576626984126</v>
      </c>
      <c r="W32" s="698">
        <f t="shared" si="13"/>
        <v>27.573412698412699</v>
      </c>
      <c r="X32" s="698">
        <f t="shared" si="13"/>
        <v>23335.576626984126</v>
      </c>
      <c r="Y32" s="698">
        <f t="shared" si="13"/>
        <v>27.573412698412699</v>
      </c>
      <c r="Z32" s="698">
        <f t="shared" si="13"/>
        <v>23335.576626984126</v>
      </c>
      <c r="AA32" s="699">
        <f>SUM(AA29:AA31)</f>
        <v>275545.02988095232</v>
      </c>
    </row>
    <row r="33" spans="1:27" s="4" customFormat="1" ht="18" customHeight="1" x14ac:dyDescent="0.35">
      <c r="A33" s="13"/>
      <c r="B33" s="13"/>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spans="1:27" ht="14.5" customHeight="1" x14ac:dyDescent="0.35">
      <c r="A34" s="1077" t="s">
        <v>340</v>
      </c>
      <c r="B34" s="1077"/>
      <c r="C34" s="1077"/>
      <c r="D34" s="1077"/>
      <c r="E34" s="1077"/>
      <c r="F34" s="1077"/>
      <c r="G34" s="1077"/>
      <c r="H34" s="1077"/>
      <c r="I34" s="1077"/>
      <c r="J34" s="1077"/>
      <c r="K34" s="1077"/>
      <c r="L34" s="1077"/>
      <c r="M34" s="1077"/>
      <c r="N34" s="1077"/>
      <c r="O34" s="1077"/>
      <c r="P34" s="1077"/>
      <c r="Q34" s="1077"/>
      <c r="R34" s="1077"/>
      <c r="S34" s="1077"/>
      <c r="T34" s="376"/>
      <c r="U34" s="700"/>
      <c r="V34" s="1094" t="s">
        <v>193</v>
      </c>
      <c r="W34" s="1094"/>
      <c r="X34" s="1094"/>
      <c r="Y34" s="1094"/>
      <c r="Z34" s="1094"/>
      <c r="AA34" s="701">
        <f>ROUND((AA32/(C32+E32+G32+I32+K32+M32+O32+Q32+S32+U32+W32+Y32))*1.023,2)</f>
        <v>901.39</v>
      </c>
    </row>
    <row r="35" spans="1:27" x14ac:dyDescent="0.35">
      <c r="A35" s="1077"/>
      <c r="B35" s="1077"/>
      <c r="C35" s="1077"/>
      <c r="D35" s="1077"/>
      <c r="E35" s="1077"/>
      <c r="F35" s="1077"/>
      <c r="G35" s="1077"/>
      <c r="H35" s="1077"/>
      <c r="I35" s="1077"/>
      <c r="J35" s="1077"/>
      <c r="K35" s="1077"/>
      <c r="L35" s="1077"/>
      <c r="M35" s="1077"/>
      <c r="N35" s="1077"/>
      <c r="O35" s="1077"/>
      <c r="P35" s="1077"/>
      <c r="Q35" s="1077"/>
      <c r="R35" s="1077"/>
      <c r="S35" s="1077"/>
      <c r="T35" s="376"/>
      <c r="U35" s="700"/>
      <c r="V35" s="1094" t="s">
        <v>258</v>
      </c>
      <c r="W35" s="1094"/>
      <c r="X35" s="1094"/>
      <c r="Y35" s="1094"/>
      <c r="Z35" s="1094"/>
      <c r="AA35" s="702">
        <f>C32+E32+G32+I32+K32+M32+O32+Q32+S32+U32+W32+Y32</f>
        <v>312.72023809523813</v>
      </c>
    </row>
    <row r="36" spans="1:27" x14ac:dyDescent="0.35">
      <c r="A36" s="1077"/>
      <c r="B36" s="1077"/>
      <c r="C36" s="1077"/>
      <c r="D36" s="1077"/>
      <c r="E36" s="1077"/>
      <c r="F36" s="1077"/>
      <c r="G36" s="1077"/>
      <c r="H36" s="1077"/>
      <c r="I36" s="1077"/>
      <c r="J36" s="1077"/>
      <c r="K36" s="1077"/>
      <c r="L36" s="1077"/>
      <c r="M36" s="1077"/>
      <c r="N36" s="1077"/>
      <c r="O36" s="1077"/>
      <c r="P36" s="1077"/>
      <c r="Q36" s="1077"/>
      <c r="R36" s="1077"/>
      <c r="S36" s="1077"/>
      <c r="T36" s="376"/>
      <c r="U36" s="700"/>
      <c r="V36" s="1095" t="s">
        <v>259</v>
      </c>
      <c r="W36" s="1095"/>
      <c r="X36" s="1095"/>
      <c r="Y36" s="1095"/>
      <c r="Z36" s="1095"/>
      <c r="AA36" s="703">
        <f>ROUND(AA34*AA35,0)</f>
        <v>281883</v>
      </c>
    </row>
    <row r="37" spans="1:27" x14ac:dyDescent="0.35">
      <c r="A37" s="1077"/>
      <c r="B37" s="1077"/>
      <c r="C37" s="1077"/>
      <c r="D37" s="1077"/>
      <c r="E37" s="1077"/>
      <c r="F37" s="1077"/>
      <c r="G37" s="1077"/>
      <c r="H37" s="1077"/>
      <c r="I37" s="1077"/>
      <c r="J37" s="1077"/>
      <c r="K37" s="1077"/>
      <c r="L37" s="1077"/>
      <c r="M37" s="1077"/>
      <c r="N37" s="1077"/>
      <c r="O37" s="1077"/>
      <c r="P37" s="1077"/>
      <c r="Q37" s="1077"/>
      <c r="R37" s="1077"/>
      <c r="S37" s="1077"/>
      <c r="T37" s="376"/>
      <c r="U37" s="700"/>
      <c r="V37" s="700"/>
      <c r="W37" s="700"/>
      <c r="X37" s="700"/>
      <c r="Y37" s="700"/>
      <c r="Z37" s="700"/>
      <c r="AA37" s="700"/>
    </row>
    <row r="38" spans="1:27" ht="76.5" customHeight="1" x14ac:dyDescent="0.35">
      <c r="A38" s="1077"/>
      <c r="B38" s="1077"/>
      <c r="C38" s="1077"/>
      <c r="D38" s="1077"/>
      <c r="E38" s="1077"/>
      <c r="F38" s="1077"/>
      <c r="G38" s="1077"/>
      <c r="H38" s="1077"/>
      <c r="I38" s="1077"/>
      <c r="J38" s="1077"/>
      <c r="K38" s="1077"/>
      <c r="L38" s="1077"/>
      <c r="M38" s="1077"/>
      <c r="N38" s="1077"/>
      <c r="O38" s="1077"/>
      <c r="P38" s="1077"/>
      <c r="Q38" s="1077"/>
      <c r="R38" s="1077"/>
      <c r="S38" s="1077"/>
      <c r="T38" s="376"/>
      <c r="U38" s="1093" t="s">
        <v>364</v>
      </c>
      <c r="V38" s="1093"/>
      <c r="W38" s="1093"/>
      <c r="X38" s="1093"/>
      <c r="Y38" s="1093"/>
      <c r="Z38" s="1093"/>
      <c r="AA38" s="1093"/>
    </row>
    <row r="39" spans="1:27" ht="45.65" customHeight="1" x14ac:dyDescent="0.35">
      <c r="A39" s="394"/>
      <c r="B39" s="394"/>
      <c r="C39" s="394"/>
      <c r="D39" s="394"/>
      <c r="E39" s="394"/>
      <c r="F39" s="394"/>
      <c r="G39" s="394"/>
      <c r="H39" s="394"/>
      <c r="I39" s="394"/>
      <c r="J39" s="394"/>
      <c r="K39" s="394"/>
      <c r="L39" s="394"/>
      <c r="M39" s="394"/>
      <c r="N39" s="394"/>
      <c r="O39" s="394"/>
      <c r="P39" s="394"/>
      <c r="Q39" s="394"/>
      <c r="R39" s="394"/>
      <c r="S39" s="394"/>
      <c r="T39" s="376"/>
      <c r="U39" s="1093" t="s">
        <v>365</v>
      </c>
      <c r="V39" s="1093"/>
      <c r="W39" s="1093"/>
      <c r="X39" s="1093"/>
      <c r="Y39" s="1093"/>
      <c r="Z39" s="1093"/>
      <c r="AA39" s="1093"/>
    </row>
    <row r="40" spans="1:27" ht="68.5" customHeight="1" x14ac:dyDescent="0.35">
      <c r="A40" s="394"/>
      <c r="B40" s="394"/>
      <c r="C40" s="394"/>
      <c r="D40" s="394"/>
      <c r="E40" s="394"/>
      <c r="F40" s="394"/>
      <c r="G40" s="394"/>
      <c r="H40" s="394"/>
      <c r="I40" s="394"/>
      <c r="J40" s="394"/>
      <c r="K40" s="394"/>
      <c r="L40" s="394"/>
      <c r="M40" s="394"/>
      <c r="N40" s="394"/>
      <c r="O40" s="394"/>
      <c r="P40" s="394"/>
      <c r="Q40" s="394"/>
      <c r="R40" s="394"/>
      <c r="S40" s="394"/>
      <c r="T40" s="376"/>
      <c r="U40" s="1093" t="s">
        <v>366</v>
      </c>
      <c r="V40" s="1093"/>
      <c r="W40" s="1093"/>
      <c r="X40" s="1093"/>
      <c r="Y40" s="1093"/>
      <c r="Z40" s="1093"/>
      <c r="AA40" s="1093"/>
    </row>
  </sheetData>
  <mergeCells count="94">
    <mergeCell ref="U39:AA39"/>
    <mergeCell ref="U40:AA40"/>
    <mergeCell ref="A26:B26"/>
    <mergeCell ref="A32:B32"/>
    <mergeCell ref="A34:S38"/>
    <mergeCell ref="V34:Z34"/>
    <mergeCell ref="V35:Z35"/>
    <mergeCell ref="V36:Z36"/>
    <mergeCell ref="U38:AA38"/>
    <mergeCell ref="U24:V24"/>
    <mergeCell ref="W24:X24"/>
    <mergeCell ref="Y24:Z24"/>
    <mergeCell ref="A25:B25"/>
    <mergeCell ref="C25:D25"/>
    <mergeCell ref="E25:F25"/>
    <mergeCell ref="G25:H25"/>
    <mergeCell ref="I25:J25"/>
    <mergeCell ref="K25:L25"/>
    <mergeCell ref="M25:N25"/>
    <mergeCell ref="O25:P25"/>
    <mergeCell ref="Q25:R25"/>
    <mergeCell ref="S25:T25"/>
    <mergeCell ref="U25:V25"/>
    <mergeCell ref="W25:X25"/>
    <mergeCell ref="Y25:Z25"/>
    <mergeCell ref="K24:L24"/>
    <mergeCell ref="M24:N24"/>
    <mergeCell ref="O24:P24"/>
    <mergeCell ref="Q24:R24"/>
    <mergeCell ref="S24:T24"/>
    <mergeCell ref="A24:B24"/>
    <mergeCell ref="C24:D24"/>
    <mergeCell ref="E24:F24"/>
    <mergeCell ref="G24:H24"/>
    <mergeCell ref="I24:J24"/>
    <mergeCell ref="A16:B16"/>
    <mergeCell ref="A22:B22"/>
    <mergeCell ref="U14:V14"/>
    <mergeCell ref="W14:X14"/>
    <mergeCell ref="Y14:Z14"/>
    <mergeCell ref="A15:B15"/>
    <mergeCell ref="C15:D15"/>
    <mergeCell ref="E15:F15"/>
    <mergeCell ref="G15:H15"/>
    <mergeCell ref="I15:J15"/>
    <mergeCell ref="K15:L15"/>
    <mergeCell ref="M15:N15"/>
    <mergeCell ref="O15:P15"/>
    <mergeCell ref="Q15:R15"/>
    <mergeCell ref="S15:T15"/>
    <mergeCell ref="U15:V15"/>
    <mergeCell ref="W15:X15"/>
    <mergeCell ref="Y15:Z15"/>
    <mergeCell ref="A1:AA1"/>
    <mergeCell ref="A2:AA2"/>
    <mergeCell ref="A3:AA3"/>
    <mergeCell ref="Q5:R5"/>
    <mergeCell ref="S5:T5"/>
    <mergeCell ref="U5:V5"/>
    <mergeCell ref="W5:X5"/>
    <mergeCell ref="Y5:Z5"/>
    <mergeCell ref="U4:V4"/>
    <mergeCell ref="A4:B4"/>
    <mergeCell ref="C4:D4"/>
    <mergeCell ref="E4:F4"/>
    <mergeCell ref="W4:X4"/>
    <mergeCell ref="Y4:Z4"/>
    <mergeCell ref="A5:B5"/>
    <mergeCell ref="C5:D5"/>
    <mergeCell ref="E5:F5"/>
    <mergeCell ref="G5:H5"/>
    <mergeCell ref="I5:J5"/>
    <mergeCell ref="K5:L5"/>
    <mergeCell ref="M5:N5"/>
    <mergeCell ref="O5:P5"/>
    <mergeCell ref="K4:L4"/>
    <mergeCell ref="M4:N4"/>
    <mergeCell ref="O4:P4"/>
    <mergeCell ref="Q14:R14"/>
    <mergeCell ref="S14:T14"/>
    <mergeCell ref="Q4:R4"/>
    <mergeCell ref="S4:T4"/>
    <mergeCell ref="A12:B12"/>
    <mergeCell ref="A14:B14"/>
    <mergeCell ref="C14:D14"/>
    <mergeCell ref="E14:F14"/>
    <mergeCell ref="G14:H14"/>
    <mergeCell ref="I14:J14"/>
    <mergeCell ref="K14:L14"/>
    <mergeCell ref="M14:N14"/>
    <mergeCell ref="O14:P14"/>
    <mergeCell ref="G4:H4"/>
    <mergeCell ref="I4:J4"/>
    <mergeCell ref="A6:B6"/>
  </mergeCells>
  <pageMargins left="0.70866141732283505" right="0.70866141732283505" top="0.74803149606299202" bottom="0.74803149606299202" header="0.31496062992126" footer="0.31496062992126"/>
  <pageSetup paperSize="9" scale="5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29B08-BA3F-4F19-B34D-7DE056D99B01}">
  <dimension ref="A1:AG143"/>
  <sheetViews>
    <sheetView zoomScale="60" zoomScaleNormal="60" workbookViewId="0">
      <pane ySplit="3" topLeftCell="A109" activePane="bottomLeft" state="frozen"/>
      <selection activeCell="T50" sqref="T50"/>
      <selection pane="bottomLeft" activeCell="A125" sqref="A125:A126"/>
    </sheetView>
  </sheetViews>
  <sheetFormatPr defaultColWidth="8.81640625" defaultRowHeight="14" x14ac:dyDescent="0.3"/>
  <cols>
    <col min="1" max="1" width="45.1796875" style="3" customWidth="1"/>
    <col min="2" max="2" width="20.1796875" style="3" customWidth="1"/>
    <col min="3" max="3" width="9" style="3" bestFit="1" customWidth="1"/>
    <col min="4" max="4" width="10.81640625" style="3" customWidth="1"/>
    <col min="5" max="5" width="9" style="3" bestFit="1" customWidth="1"/>
    <col min="6" max="6" width="10.81640625" style="3" customWidth="1"/>
    <col min="7" max="7" width="9" style="3" bestFit="1" customWidth="1"/>
    <col min="8" max="8" width="10.81640625" style="3" customWidth="1"/>
    <col min="9" max="9" width="9" style="3" bestFit="1" customWidth="1"/>
    <col min="10" max="10" width="10.81640625" style="3" customWidth="1"/>
    <col min="11" max="11" width="9" style="3" bestFit="1" customWidth="1"/>
    <col min="12" max="12" width="10.81640625" style="3" customWidth="1"/>
    <col min="13" max="13" width="9" style="3" bestFit="1" customWidth="1"/>
    <col min="14" max="14" width="10.81640625" style="3" customWidth="1"/>
    <col min="15" max="15" width="9" style="3" bestFit="1" customWidth="1"/>
    <col min="16" max="16" width="10.81640625" style="3" customWidth="1"/>
    <col min="17" max="17" width="9" style="3" bestFit="1" customWidth="1"/>
    <col min="18" max="18" width="10.81640625" style="3" customWidth="1"/>
    <col min="19" max="19" width="11.453125" style="3" customWidth="1"/>
    <col min="20" max="20" width="10.81640625" style="3" customWidth="1"/>
    <col min="21" max="21" width="11.453125" style="3" customWidth="1"/>
    <col min="22" max="22" width="10.81640625" style="3" customWidth="1"/>
    <col min="23" max="23" width="9" style="3" bestFit="1" customWidth="1"/>
    <col min="24" max="24" width="10.81640625" style="3" customWidth="1"/>
    <col min="25" max="25" width="9" style="3" bestFit="1" customWidth="1"/>
    <col min="26" max="26" width="11" style="3" customWidth="1"/>
    <col min="27" max="27" width="16.7265625" style="3" customWidth="1"/>
    <col min="28" max="28" width="12.1796875" style="3" customWidth="1"/>
    <col min="29" max="29" width="9.1796875" style="3" bestFit="1" customWidth="1"/>
    <col min="30" max="16384" width="8.81640625" style="3"/>
  </cols>
  <sheetData>
    <row r="1" spans="1:30" s="305" customFormat="1" ht="18" x14ac:dyDescent="0.35">
      <c r="A1" s="1096" t="s">
        <v>135</v>
      </c>
      <c r="B1" s="1096"/>
      <c r="C1" s="1096"/>
      <c r="D1" s="1096"/>
      <c r="E1" s="1096"/>
      <c r="F1" s="1096"/>
      <c r="G1" s="1096"/>
      <c r="H1" s="1096"/>
      <c r="I1" s="1096"/>
      <c r="J1" s="1096"/>
      <c r="K1" s="1096"/>
      <c r="L1" s="1096"/>
      <c r="M1" s="1096"/>
      <c r="N1" s="1096"/>
      <c r="O1" s="1096"/>
      <c r="P1" s="1096"/>
      <c r="Q1" s="1096"/>
      <c r="R1" s="1096"/>
      <c r="S1" s="1096"/>
      <c r="T1" s="1096"/>
      <c r="U1" s="1096"/>
      <c r="V1" s="1096"/>
      <c r="W1" s="1096"/>
      <c r="X1" s="1096"/>
      <c r="Y1" s="1096"/>
      <c r="Z1" s="1096"/>
      <c r="AA1" s="1096"/>
    </row>
    <row r="2" spans="1:30" s="305" customFormat="1" ht="18" x14ac:dyDescent="0.35">
      <c r="A2" s="1096" t="s">
        <v>243</v>
      </c>
      <c r="B2" s="1096"/>
      <c r="C2" s="1096"/>
      <c r="D2" s="1096"/>
      <c r="E2" s="1096"/>
      <c r="F2" s="1096"/>
      <c r="G2" s="1096"/>
      <c r="H2" s="1096"/>
      <c r="I2" s="1096"/>
      <c r="J2" s="1096"/>
      <c r="K2" s="1096"/>
      <c r="L2" s="1096"/>
      <c r="M2" s="1096"/>
      <c r="N2" s="1096"/>
      <c r="O2" s="1096"/>
      <c r="P2" s="1096"/>
      <c r="Q2" s="1096"/>
      <c r="R2" s="1096"/>
      <c r="S2" s="1096"/>
      <c r="T2" s="1096"/>
      <c r="U2" s="1096"/>
      <c r="V2" s="1096"/>
      <c r="W2" s="1096"/>
      <c r="X2" s="1096"/>
      <c r="Y2" s="1096"/>
      <c r="Z2" s="1096"/>
      <c r="AA2" s="1096"/>
    </row>
    <row r="3" spans="1:30" s="305" customFormat="1" ht="32.5" customHeight="1" x14ac:dyDescent="0.35">
      <c r="A3" s="1097" t="str">
        <f>Ietekme_LM_2026_!B65</f>
        <v>4.4. Atbalsta sniegšana Ukrainas civiliedzīvotājiem, kuriem Latvijā noteikta invaliditāte (pabalsti un pakalpojumi)</v>
      </c>
      <c r="B3" s="1097"/>
      <c r="C3" s="1097"/>
      <c r="D3" s="1097"/>
      <c r="E3" s="1097"/>
      <c r="F3" s="1097"/>
      <c r="G3" s="1097"/>
      <c r="H3" s="1097"/>
      <c r="I3" s="1097"/>
      <c r="J3" s="1097"/>
      <c r="K3" s="1097"/>
      <c r="L3" s="1097"/>
      <c r="M3" s="1097"/>
      <c r="N3" s="1097"/>
      <c r="O3" s="1097"/>
      <c r="P3" s="1097"/>
      <c r="Q3" s="1097"/>
      <c r="R3" s="1097"/>
      <c r="S3" s="1097"/>
      <c r="T3" s="1097"/>
      <c r="U3" s="1097"/>
      <c r="V3" s="1097"/>
      <c r="W3" s="1097"/>
      <c r="X3" s="1097"/>
      <c r="Y3" s="1097"/>
      <c r="Z3" s="1097"/>
      <c r="AA3" s="1097"/>
    </row>
    <row r="4" spans="1:30" s="33" customFormat="1" ht="15.65" customHeight="1" thickBot="1" x14ac:dyDescent="0.35">
      <c r="A4" s="29" t="s">
        <v>168</v>
      </c>
      <c r="S4" s="306"/>
      <c r="T4" s="306"/>
      <c r="U4" s="306"/>
    </row>
    <row r="5" spans="1:30" s="33" customFormat="1" x14ac:dyDescent="0.3">
      <c r="A5" s="1016" t="s">
        <v>12</v>
      </c>
      <c r="B5" s="1017"/>
      <c r="C5" s="1009" t="s">
        <v>82</v>
      </c>
      <c r="D5" s="1010"/>
      <c r="E5" s="1009" t="s">
        <v>82</v>
      </c>
      <c r="F5" s="1010"/>
      <c r="G5" s="1009" t="s">
        <v>82</v>
      </c>
      <c r="H5" s="1010"/>
      <c r="I5" s="1009" t="s">
        <v>82</v>
      </c>
      <c r="J5" s="1010"/>
      <c r="K5" s="1009" t="s">
        <v>82</v>
      </c>
      <c r="L5" s="1010"/>
      <c r="M5" s="1009" t="s">
        <v>82</v>
      </c>
      <c r="N5" s="1010"/>
      <c r="O5" s="1009" t="s">
        <v>82</v>
      </c>
      <c r="P5" s="1010"/>
      <c r="Q5" s="1009" t="s">
        <v>82</v>
      </c>
      <c r="R5" s="1010"/>
      <c r="S5" s="1009" t="s">
        <v>82</v>
      </c>
      <c r="T5" s="1010"/>
      <c r="U5" s="1009" t="s">
        <v>82</v>
      </c>
      <c r="V5" s="1010"/>
      <c r="W5" s="1009" t="s">
        <v>82</v>
      </c>
      <c r="X5" s="1010"/>
      <c r="Y5" s="1009" t="s">
        <v>82</v>
      </c>
      <c r="Z5" s="1082"/>
      <c r="AA5" s="130" t="s">
        <v>82</v>
      </c>
    </row>
    <row r="6" spans="1:30" s="33" customFormat="1" ht="14.5" customHeight="1" x14ac:dyDescent="0.3">
      <c r="A6" s="1014" t="s">
        <v>13</v>
      </c>
      <c r="B6" s="1015"/>
      <c r="C6" s="1003" t="s">
        <v>89</v>
      </c>
      <c r="D6" s="1004"/>
      <c r="E6" s="1003" t="s">
        <v>49</v>
      </c>
      <c r="F6" s="1004"/>
      <c r="G6" s="1003" t="s">
        <v>50</v>
      </c>
      <c r="H6" s="1004"/>
      <c r="I6" s="1005" t="s">
        <v>51</v>
      </c>
      <c r="J6" s="1006"/>
      <c r="K6" s="1003" t="s">
        <v>52</v>
      </c>
      <c r="L6" s="1004"/>
      <c r="M6" s="1003" t="s">
        <v>53</v>
      </c>
      <c r="N6" s="1004"/>
      <c r="O6" s="1003" t="s">
        <v>54</v>
      </c>
      <c r="P6" s="1004"/>
      <c r="Q6" s="1005" t="s">
        <v>81</v>
      </c>
      <c r="R6" s="1005"/>
      <c r="S6" s="1003" t="s">
        <v>90</v>
      </c>
      <c r="T6" s="1004"/>
      <c r="U6" s="1003" t="s">
        <v>91</v>
      </c>
      <c r="V6" s="1004"/>
      <c r="W6" s="1003" t="s">
        <v>92</v>
      </c>
      <c r="X6" s="1004"/>
      <c r="Y6" s="1003" t="s">
        <v>93</v>
      </c>
      <c r="Z6" s="1005"/>
      <c r="AA6" s="131" t="s">
        <v>36</v>
      </c>
    </row>
    <row r="7" spans="1:30" s="33" customFormat="1" x14ac:dyDescent="0.3">
      <c r="A7" s="1007" t="s">
        <v>32</v>
      </c>
      <c r="B7" s="1008"/>
      <c r="C7" s="36"/>
      <c r="D7" s="37" t="s">
        <v>24</v>
      </c>
      <c r="E7" s="36"/>
      <c r="F7" s="37" t="s">
        <v>24</v>
      </c>
      <c r="G7" s="36"/>
      <c r="H7" s="37" t="s">
        <v>24</v>
      </c>
      <c r="I7" s="38"/>
      <c r="J7" s="38" t="s">
        <v>24</v>
      </c>
      <c r="K7" s="36"/>
      <c r="L7" s="37" t="s">
        <v>24</v>
      </c>
      <c r="M7" s="36"/>
      <c r="N7" s="37" t="s">
        <v>24</v>
      </c>
      <c r="O7" s="39"/>
      <c r="P7" s="37" t="s">
        <v>24</v>
      </c>
      <c r="Q7" s="38"/>
      <c r="R7" s="38" t="s">
        <v>24</v>
      </c>
      <c r="S7" s="132"/>
      <c r="T7" s="133" t="s">
        <v>24</v>
      </c>
      <c r="U7" s="132"/>
      <c r="V7" s="133" t="s">
        <v>24</v>
      </c>
      <c r="W7" s="132"/>
      <c r="X7" s="133" t="s">
        <v>24</v>
      </c>
      <c r="Y7" s="132"/>
      <c r="Z7" s="134" t="s">
        <v>24</v>
      </c>
      <c r="AA7" s="135" t="s">
        <v>24</v>
      </c>
    </row>
    <row r="8" spans="1:30" s="33" customFormat="1" ht="65.150000000000006" customHeight="1" x14ac:dyDescent="0.3">
      <c r="A8" s="44" t="s">
        <v>25</v>
      </c>
      <c r="B8" s="44" t="s">
        <v>55</v>
      </c>
      <c r="C8" s="45" t="s">
        <v>56</v>
      </c>
      <c r="D8" s="46" t="s">
        <v>27</v>
      </c>
      <c r="E8" s="45" t="s">
        <v>56</v>
      </c>
      <c r="F8" s="46" t="s">
        <v>27</v>
      </c>
      <c r="G8" s="45" t="s">
        <v>56</v>
      </c>
      <c r="H8" s="46" t="s">
        <v>27</v>
      </c>
      <c r="I8" s="45" t="s">
        <v>56</v>
      </c>
      <c r="J8" s="46" t="s">
        <v>27</v>
      </c>
      <c r="K8" s="45" t="s">
        <v>56</v>
      </c>
      <c r="L8" s="46" t="s">
        <v>27</v>
      </c>
      <c r="M8" s="45" t="s">
        <v>56</v>
      </c>
      <c r="N8" s="46" t="s">
        <v>27</v>
      </c>
      <c r="O8" s="45" t="s">
        <v>56</v>
      </c>
      <c r="P8" s="46" t="s">
        <v>27</v>
      </c>
      <c r="Q8" s="47" t="s">
        <v>56</v>
      </c>
      <c r="R8" s="48" t="s">
        <v>27</v>
      </c>
      <c r="S8" s="136" t="s">
        <v>56</v>
      </c>
      <c r="T8" s="48" t="s">
        <v>27</v>
      </c>
      <c r="U8" s="136" t="s">
        <v>56</v>
      </c>
      <c r="V8" s="48" t="s">
        <v>27</v>
      </c>
      <c r="W8" s="136" t="s">
        <v>56</v>
      </c>
      <c r="X8" s="48" t="s">
        <v>27</v>
      </c>
      <c r="Y8" s="136" t="s">
        <v>56</v>
      </c>
      <c r="Z8" s="48" t="s">
        <v>27</v>
      </c>
      <c r="AA8" s="76" t="s">
        <v>27</v>
      </c>
    </row>
    <row r="9" spans="1:30" s="33" customFormat="1" x14ac:dyDescent="0.3">
      <c r="A9" s="51" t="s">
        <v>29</v>
      </c>
      <c r="B9" s="51" t="s">
        <v>57</v>
      </c>
      <c r="C9" s="52">
        <v>1</v>
      </c>
      <c r="D9" s="53">
        <v>2</v>
      </c>
      <c r="E9" s="52">
        <v>3</v>
      </c>
      <c r="F9" s="53">
        <v>4</v>
      </c>
      <c r="G9" s="54">
        <v>5</v>
      </c>
      <c r="H9" s="55">
        <v>6</v>
      </c>
      <c r="I9" s="52">
        <v>7</v>
      </c>
      <c r="J9" s="53">
        <v>8</v>
      </c>
      <c r="K9" s="52">
        <v>9</v>
      </c>
      <c r="L9" s="53">
        <v>10</v>
      </c>
      <c r="M9" s="52">
        <v>11</v>
      </c>
      <c r="N9" s="53">
        <v>12</v>
      </c>
      <c r="O9" s="54">
        <v>13</v>
      </c>
      <c r="P9" s="56">
        <v>14</v>
      </c>
      <c r="Q9" s="52">
        <v>15</v>
      </c>
      <c r="R9" s="53">
        <v>16</v>
      </c>
      <c r="S9" s="137">
        <v>17</v>
      </c>
      <c r="T9" s="138">
        <v>18</v>
      </c>
      <c r="U9" s="137">
        <v>19</v>
      </c>
      <c r="V9" s="138">
        <v>20</v>
      </c>
      <c r="W9" s="137">
        <v>21</v>
      </c>
      <c r="X9" s="138">
        <v>22</v>
      </c>
      <c r="Y9" s="137">
        <v>23</v>
      </c>
      <c r="Z9" s="139">
        <v>24</v>
      </c>
      <c r="AA9" s="140">
        <v>25</v>
      </c>
    </row>
    <row r="10" spans="1:30" s="33" customFormat="1" ht="31.4" customHeight="1" x14ac:dyDescent="0.3">
      <c r="A10" s="72" t="s">
        <v>219</v>
      </c>
      <c r="B10" s="73" t="s">
        <v>70</v>
      </c>
      <c r="C10" s="74">
        <v>124</v>
      </c>
      <c r="D10" s="75">
        <v>23982.17</v>
      </c>
      <c r="E10" s="74">
        <v>137</v>
      </c>
      <c r="F10" s="75">
        <v>20912.86</v>
      </c>
      <c r="G10" s="74">
        <v>155</v>
      </c>
      <c r="H10" s="75">
        <v>24257.54</v>
      </c>
      <c r="I10" s="74">
        <v>177</v>
      </c>
      <c r="J10" s="75">
        <v>28705.090000000004</v>
      </c>
      <c r="K10" s="74">
        <v>185</v>
      </c>
      <c r="L10" s="75">
        <v>26953.659999999996</v>
      </c>
      <c r="M10" s="74">
        <v>198</v>
      </c>
      <c r="N10" s="75">
        <v>30843.3</v>
      </c>
      <c r="O10" s="74">
        <v>208</v>
      </c>
      <c r="P10" s="97">
        <v>28586.949999999997</v>
      </c>
      <c r="Q10" s="141">
        <v>233</v>
      </c>
      <c r="R10" s="96">
        <v>39405.35</v>
      </c>
      <c r="S10" s="74">
        <v>241</v>
      </c>
      <c r="T10" s="97">
        <v>36675.599999999999</v>
      </c>
      <c r="U10" s="74">
        <v>242</v>
      </c>
      <c r="V10" s="97">
        <v>35660.25</v>
      </c>
      <c r="W10" s="74">
        <v>247</v>
      </c>
      <c r="X10" s="97">
        <v>37177.129999999997</v>
      </c>
      <c r="Y10" s="74">
        <v>263</v>
      </c>
      <c r="Z10" s="96">
        <v>39522.15</v>
      </c>
      <c r="AA10" s="142">
        <f>F10+H10+J10+L10+N10+P10+R10+T10+V10+X10+Z10+D10</f>
        <v>372682.05</v>
      </c>
      <c r="AC10" s="98"/>
      <c r="AD10" s="98"/>
    </row>
    <row r="11" spans="1:30" s="33" customFormat="1" ht="34.4" customHeight="1" x14ac:dyDescent="0.3">
      <c r="A11" s="72" t="s">
        <v>220</v>
      </c>
      <c r="B11" s="73" t="s">
        <v>80</v>
      </c>
      <c r="C11" s="74">
        <v>84</v>
      </c>
      <c r="D11" s="75">
        <v>10665.23</v>
      </c>
      <c r="E11" s="74">
        <v>90</v>
      </c>
      <c r="F11" s="75">
        <v>10597.75</v>
      </c>
      <c r="G11" s="74">
        <v>99</v>
      </c>
      <c r="H11" s="75">
        <v>12654.91</v>
      </c>
      <c r="I11" s="74">
        <v>98</v>
      </c>
      <c r="J11" s="75">
        <v>12573.33</v>
      </c>
      <c r="K11" s="74">
        <v>97</v>
      </c>
      <c r="L11" s="75">
        <v>11090.509999999998</v>
      </c>
      <c r="M11" s="74">
        <v>109</v>
      </c>
      <c r="N11" s="75">
        <v>13121.84</v>
      </c>
      <c r="O11" s="74">
        <v>114</v>
      </c>
      <c r="P11" s="97">
        <v>12768.65</v>
      </c>
      <c r="Q11" s="141">
        <v>114</v>
      </c>
      <c r="R11" s="96">
        <v>12683.609999999999</v>
      </c>
      <c r="S11" s="74">
        <v>115</v>
      </c>
      <c r="T11" s="97">
        <v>12854.81</v>
      </c>
      <c r="U11" s="74">
        <v>116</v>
      </c>
      <c r="V11" s="97">
        <v>13365.23</v>
      </c>
      <c r="W11" s="74">
        <v>120</v>
      </c>
      <c r="X11" s="97">
        <v>13433.64</v>
      </c>
      <c r="Y11" s="74">
        <v>123</v>
      </c>
      <c r="Z11" s="96">
        <v>14692.57</v>
      </c>
      <c r="AA11" s="142">
        <f t="shared" ref="AA11:AA13" si="0">F11+H11+J11+L11+N11+P11+R11+T11+V11+X11+Z11+D11</f>
        <v>150502.07999999999</v>
      </c>
      <c r="AC11" s="127"/>
      <c r="AD11" s="98"/>
    </row>
    <row r="12" spans="1:30" s="33" customFormat="1" ht="30" customHeight="1" x14ac:dyDescent="0.3">
      <c r="A12" s="72" t="s">
        <v>221</v>
      </c>
      <c r="B12" s="73" t="s">
        <v>80</v>
      </c>
      <c r="C12" s="74">
        <v>58</v>
      </c>
      <c r="D12" s="75">
        <v>23165.199999999997</v>
      </c>
      <c r="E12" s="74">
        <v>61</v>
      </c>
      <c r="F12" s="75">
        <v>20908.43</v>
      </c>
      <c r="G12" s="74">
        <v>67</v>
      </c>
      <c r="H12" s="75">
        <v>24614.52</v>
      </c>
      <c r="I12" s="74">
        <v>65</v>
      </c>
      <c r="J12" s="75">
        <v>19929.169999999998</v>
      </c>
      <c r="K12" s="74">
        <v>64</v>
      </c>
      <c r="L12" s="75">
        <v>21127.87</v>
      </c>
      <c r="M12" s="74">
        <v>69</v>
      </c>
      <c r="N12" s="75">
        <v>23577.699999999997</v>
      </c>
      <c r="O12" s="74">
        <v>68</v>
      </c>
      <c r="P12" s="97">
        <v>21126.2</v>
      </c>
      <c r="Q12" s="141">
        <v>70</v>
      </c>
      <c r="R12" s="96">
        <v>22358</v>
      </c>
      <c r="S12" s="74">
        <v>68</v>
      </c>
      <c r="T12" s="97">
        <v>21611.17</v>
      </c>
      <c r="U12" s="74">
        <v>68</v>
      </c>
      <c r="V12" s="97">
        <v>22597.29</v>
      </c>
      <c r="W12" s="74">
        <v>70</v>
      </c>
      <c r="X12" s="97">
        <v>22883.769999999997</v>
      </c>
      <c r="Y12" s="74">
        <v>72</v>
      </c>
      <c r="Z12" s="96">
        <v>23476.92</v>
      </c>
      <c r="AA12" s="142">
        <f t="shared" si="0"/>
        <v>267376.24</v>
      </c>
      <c r="AC12" s="127"/>
      <c r="AD12" s="98"/>
    </row>
    <row r="13" spans="1:30" s="33" customFormat="1" ht="40.4" customHeight="1" thickBot="1" x14ac:dyDescent="0.35">
      <c r="A13" s="72" t="s">
        <v>222</v>
      </c>
      <c r="B13" s="73" t="s">
        <v>70</v>
      </c>
      <c r="C13" s="74">
        <v>24</v>
      </c>
      <c r="D13" s="75">
        <v>8295.42</v>
      </c>
      <c r="E13" s="74">
        <v>26</v>
      </c>
      <c r="F13" s="75">
        <v>6599.89</v>
      </c>
      <c r="G13" s="74">
        <v>29</v>
      </c>
      <c r="H13" s="75">
        <v>11284.55</v>
      </c>
      <c r="I13" s="74">
        <v>24</v>
      </c>
      <c r="J13" s="75">
        <v>5034.76</v>
      </c>
      <c r="K13" s="74">
        <v>21</v>
      </c>
      <c r="L13" s="75">
        <v>5765.06</v>
      </c>
      <c r="M13" s="74">
        <v>26</v>
      </c>
      <c r="N13" s="75">
        <v>11107.150000000011</v>
      </c>
      <c r="O13" s="74">
        <v>26</v>
      </c>
      <c r="P13" s="97">
        <v>6620.42</v>
      </c>
      <c r="Q13" s="141">
        <v>28</v>
      </c>
      <c r="R13" s="96">
        <v>9165.18</v>
      </c>
      <c r="S13" s="74">
        <v>30</v>
      </c>
      <c r="T13" s="97">
        <v>13096.85</v>
      </c>
      <c r="U13" s="74">
        <v>30</v>
      </c>
      <c r="V13" s="97">
        <v>7915.99</v>
      </c>
      <c r="W13" s="74">
        <v>34</v>
      </c>
      <c r="X13" s="97">
        <v>11076.2</v>
      </c>
      <c r="Y13" s="74">
        <v>35</v>
      </c>
      <c r="Z13" s="96">
        <v>8793.64</v>
      </c>
      <c r="AA13" s="143">
        <f t="shared" si="0"/>
        <v>104755.11000000002</v>
      </c>
      <c r="AC13" s="127"/>
      <c r="AD13" s="98"/>
    </row>
    <row r="14" spans="1:30" s="33" customFormat="1" x14ac:dyDescent="0.3">
      <c r="A14" s="144"/>
      <c r="B14" s="145"/>
      <c r="C14" s="146"/>
      <c r="D14" s="147"/>
      <c r="E14" s="146"/>
      <c r="F14" s="147"/>
      <c r="G14" s="146"/>
      <c r="H14" s="147"/>
      <c r="I14" s="146"/>
      <c r="J14" s="147"/>
      <c r="K14" s="146"/>
      <c r="L14" s="147"/>
      <c r="M14" s="146"/>
      <c r="N14" s="147"/>
      <c r="O14" s="146"/>
      <c r="P14" s="148"/>
      <c r="Q14" s="146"/>
      <c r="R14" s="148"/>
      <c r="S14" s="146"/>
      <c r="T14" s="148"/>
      <c r="U14" s="146"/>
      <c r="V14" s="148"/>
      <c r="W14" s="146"/>
      <c r="X14" s="148"/>
      <c r="Y14" s="146"/>
      <c r="Z14" s="148"/>
      <c r="AA14" s="149">
        <f>ROUND(SUM(AA10:AA13),0)</f>
        <v>895315</v>
      </c>
      <c r="AC14" s="127"/>
      <c r="AD14" s="127"/>
    </row>
    <row r="15" spans="1:30" s="33" customFormat="1" x14ac:dyDescent="0.3">
      <c r="A15" s="1099" t="s">
        <v>166</v>
      </c>
      <c r="B15" s="1099"/>
      <c r="C15" s="1099"/>
      <c r="D15" s="1099"/>
      <c r="E15" s="1099"/>
      <c r="F15" s="1099"/>
      <c r="G15" s="1099"/>
      <c r="I15" s="147"/>
      <c r="J15" s="146"/>
      <c r="K15" s="147"/>
      <c r="L15" s="146"/>
      <c r="M15" s="147"/>
      <c r="N15" s="146"/>
      <c r="O15" s="150"/>
      <c r="P15" s="150"/>
      <c r="Q15" s="150"/>
      <c r="R15" s="146"/>
      <c r="S15" s="151"/>
      <c r="T15" s="98"/>
      <c r="AB15" s="149"/>
    </row>
    <row r="16" spans="1:30" s="33" customFormat="1" ht="28" x14ac:dyDescent="0.3">
      <c r="F16" s="307" t="s">
        <v>164</v>
      </c>
      <c r="G16" s="307" t="s">
        <v>165</v>
      </c>
      <c r="H16" s="308" t="s">
        <v>167</v>
      </c>
      <c r="AA16" s="127"/>
    </row>
    <row r="17" spans="1:27" s="33" customFormat="1" x14ac:dyDescent="0.3">
      <c r="A17" s="1098" t="s">
        <v>154</v>
      </c>
      <c r="B17" s="1098"/>
      <c r="C17" s="1098"/>
      <c r="D17" s="1098"/>
      <c r="E17" s="1098"/>
      <c r="F17" s="99">
        <v>175</v>
      </c>
      <c r="G17" s="99">
        <v>191.8</v>
      </c>
      <c r="H17" s="309">
        <f>G17*100/F17-100</f>
        <v>9.5999999999999943</v>
      </c>
    </row>
    <row r="18" spans="1:27" s="33" customFormat="1" x14ac:dyDescent="0.3">
      <c r="A18" s="1098" t="s">
        <v>155</v>
      </c>
      <c r="B18" s="1098"/>
      <c r="C18" s="1098"/>
      <c r="D18" s="1098"/>
      <c r="E18" s="1098"/>
      <c r="F18" s="99">
        <v>227.5</v>
      </c>
      <c r="G18" s="99">
        <v>249.34</v>
      </c>
      <c r="H18" s="309">
        <f t="shared" ref="H18:H27" si="1">G18*100/F18-100</f>
        <v>9.5999999999999943</v>
      </c>
    </row>
    <row r="19" spans="1:27" s="33" customFormat="1" x14ac:dyDescent="0.3">
      <c r="A19" s="1098" t="s">
        <v>156</v>
      </c>
      <c r="B19" s="1098"/>
      <c r="C19" s="1098"/>
      <c r="D19" s="1098"/>
      <c r="E19" s="1098"/>
      <c r="F19" s="99">
        <v>219.8</v>
      </c>
      <c r="G19" s="99">
        <v>239.4</v>
      </c>
      <c r="H19" s="309">
        <f t="shared" si="1"/>
        <v>8.9171974522292885</v>
      </c>
    </row>
    <row r="20" spans="1:27" s="33" customFormat="1" x14ac:dyDescent="0.3">
      <c r="A20" s="1098" t="s">
        <v>157</v>
      </c>
      <c r="B20" s="1098"/>
      <c r="C20" s="1098"/>
      <c r="D20" s="1098"/>
      <c r="E20" s="1098"/>
      <c r="F20" s="99">
        <v>285.74</v>
      </c>
      <c r="G20" s="99">
        <v>311.22000000000003</v>
      </c>
      <c r="H20" s="309">
        <f t="shared" si="1"/>
        <v>8.9171974522293027</v>
      </c>
    </row>
    <row r="21" spans="1:27" s="33" customFormat="1" x14ac:dyDescent="0.3">
      <c r="A21" s="1098" t="s">
        <v>158</v>
      </c>
      <c r="B21" s="1098"/>
      <c r="C21" s="1098"/>
      <c r="D21" s="1098"/>
      <c r="E21" s="1098"/>
      <c r="F21" s="99">
        <v>150</v>
      </c>
      <c r="G21" s="99">
        <v>164.4</v>
      </c>
      <c r="H21" s="309">
        <f t="shared" si="1"/>
        <v>9.5999999999999943</v>
      </c>
    </row>
    <row r="22" spans="1:27" s="33" customFormat="1" x14ac:dyDescent="0.3">
      <c r="A22" s="1098" t="s">
        <v>159</v>
      </c>
      <c r="B22" s="1098"/>
      <c r="C22" s="1098"/>
      <c r="D22" s="1098"/>
      <c r="E22" s="1098"/>
      <c r="F22" s="99">
        <v>180</v>
      </c>
      <c r="G22" s="99">
        <v>197.28</v>
      </c>
      <c r="H22" s="309">
        <f t="shared" si="1"/>
        <v>9.5999999999999943</v>
      </c>
    </row>
    <row r="23" spans="1:27" s="33" customFormat="1" x14ac:dyDescent="0.3">
      <c r="A23" s="1098" t="s">
        <v>160</v>
      </c>
      <c r="B23" s="1098"/>
      <c r="C23" s="1098"/>
      <c r="D23" s="1098"/>
      <c r="E23" s="1098"/>
      <c r="F23" s="99">
        <v>188.4</v>
      </c>
      <c r="G23" s="99">
        <v>205.2</v>
      </c>
      <c r="H23" s="309">
        <f t="shared" si="1"/>
        <v>8.9171974522293027</v>
      </c>
    </row>
    <row r="24" spans="1:27" s="33" customFormat="1" x14ac:dyDescent="0.3">
      <c r="A24" s="1098" t="s">
        <v>161</v>
      </c>
      <c r="B24" s="1098"/>
      <c r="C24" s="1098"/>
      <c r="D24" s="1098"/>
      <c r="E24" s="1098"/>
      <c r="F24" s="99">
        <v>226.08</v>
      </c>
      <c r="G24" s="99">
        <v>246.24</v>
      </c>
      <c r="H24" s="309">
        <f t="shared" si="1"/>
        <v>8.9171974522292885</v>
      </c>
    </row>
    <row r="25" spans="1:27" s="33" customFormat="1" x14ac:dyDescent="0.3">
      <c r="A25" s="1098" t="s">
        <v>162</v>
      </c>
      <c r="B25" s="1098"/>
      <c r="C25" s="1098"/>
      <c r="D25" s="1098"/>
      <c r="E25" s="1098"/>
      <c r="F25" s="99">
        <v>125</v>
      </c>
      <c r="G25" s="99">
        <v>137</v>
      </c>
      <c r="H25" s="309">
        <f t="shared" si="1"/>
        <v>9.5999999999999943</v>
      </c>
    </row>
    <row r="26" spans="1:27" s="33" customFormat="1" x14ac:dyDescent="0.3">
      <c r="A26" s="1098" t="s">
        <v>163</v>
      </c>
      <c r="B26" s="1098"/>
      <c r="C26" s="1098"/>
      <c r="D26" s="1098"/>
      <c r="E26" s="1098"/>
      <c r="F26" s="99">
        <v>157</v>
      </c>
      <c r="G26" s="99">
        <v>171</v>
      </c>
      <c r="H26" s="309">
        <f t="shared" si="1"/>
        <v>8.9171974522293027</v>
      </c>
    </row>
    <row r="27" spans="1:27" s="33" customFormat="1" ht="15.65" customHeight="1" x14ac:dyDescent="0.3">
      <c r="F27" s="99">
        <f>AVERAGE(F17:F26)</f>
        <v>193.452</v>
      </c>
      <c r="G27" s="99">
        <f>AVERAGE(G17:G26)</f>
        <v>211.28800000000001</v>
      </c>
      <c r="H27" s="310">
        <f t="shared" si="1"/>
        <v>9.2198581560283799</v>
      </c>
      <c r="I27" s="99"/>
    </row>
    <row r="28" spans="1:27" s="33" customFormat="1" ht="15.65" customHeight="1" thickBot="1" x14ac:dyDescent="0.35">
      <c r="F28" s="99"/>
      <c r="G28" s="99"/>
      <c r="H28" s="310"/>
    </row>
    <row r="29" spans="1:27" s="33" customFormat="1" x14ac:dyDescent="0.3">
      <c r="A29" s="1016" t="s">
        <v>12</v>
      </c>
      <c r="B29" s="1017"/>
      <c r="C29" s="1009" t="s">
        <v>140</v>
      </c>
      <c r="D29" s="1010"/>
      <c r="E29" s="1009" t="s">
        <v>140</v>
      </c>
      <c r="F29" s="1010"/>
      <c r="G29" s="1009" t="s">
        <v>140</v>
      </c>
      <c r="H29" s="1010"/>
      <c r="I29" s="1009" t="s">
        <v>140</v>
      </c>
      <c r="J29" s="1010"/>
      <c r="K29" s="1009" t="s">
        <v>140</v>
      </c>
      <c r="L29" s="1010"/>
      <c r="M29" s="1009" t="s">
        <v>140</v>
      </c>
      <c r="N29" s="1010"/>
      <c r="O29" s="1009" t="s">
        <v>140</v>
      </c>
      <c r="P29" s="1010"/>
      <c r="Q29" s="1009" t="s">
        <v>140</v>
      </c>
      <c r="R29" s="1010"/>
      <c r="S29" s="1009" t="s">
        <v>140</v>
      </c>
      <c r="T29" s="1010"/>
      <c r="U29" s="1009" t="s">
        <v>140</v>
      </c>
      <c r="V29" s="1010"/>
      <c r="W29" s="1009" t="s">
        <v>140</v>
      </c>
      <c r="X29" s="1010"/>
      <c r="Y29" s="1009" t="s">
        <v>140</v>
      </c>
      <c r="Z29" s="1010"/>
      <c r="AA29" s="130" t="s">
        <v>140</v>
      </c>
    </row>
    <row r="30" spans="1:27" s="33" customFormat="1" ht="14.5" customHeight="1" x14ac:dyDescent="0.3">
      <c r="A30" s="1014" t="s">
        <v>13</v>
      </c>
      <c r="B30" s="1015"/>
      <c r="C30" s="1003" t="s">
        <v>89</v>
      </c>
      <c r="D30" s="1004"/>
      <c r="E30" s="1003" t="s">
        <v>49</v>
      </c>
      <c r="F30" s="1004"/>
      <c r="G30" s="1003" t="s">
        <v>50</v>
      </c>
      <c r="H30" s="1004"/>
      <c r="I30" s="1005" t="s">
        <v>51</v>
      </c>
      <c r="J30" s="1006"/>
      <c r="K30" s="1003" t="s">
        <v>52</v>
      </c>
      <c r="L30" s="1004"/>
      <c r="M30" s="1003" t="s">
        <v>53</v>
      </c>
      <c r="N30" s="1004"/>
      <c r="O30" s="1003" t="s">
        <v>54</v>
      </c>
      <c r="P30" s="1004"/>
      <c r="Q30" s="1005" t="s">
        <v>81</v>
      </c>
      <c r="R30" s="1005"/>
      <c r="S30" s="1003" t="s">
        <v>90</v>
      </c>
      <c r="T30" s="1004"/>
      <c r="U30" s="1003" t="s">
        <v>91</v>
      </c>
      <c r="V30" s="1004"/>
      <c r="W30" s="1003" t="s">
        <v>92</v>
      </c>
      <c r="X30" s="1004"/>
      <c r="Y30" s="1003" t="s">
        <v>93</v>
      </c>
      <c r="Z30" s="1005"/>
      <c r="AA30" s="131" t="s">
        <v>36</v>
      </c>
    </row>
    <row r="31" spans="1:27" s="33" customFormat="1" x14ac:dyDescent="0.3">
      <c r="A31" s="1100" t="s">
        <v>32</v>
      </c>
      <c r="B31" s="1101"/>
      <c r="C31" s="152"/>
      <c r="D31" s="133" t="s">
        <v>24</v>
      </c>
      <c r="E31" s="152"/>
      <c r="F31" s="133" t="s">
        <v>24</v>
      </c>
      <c r="G31" s="152"/>
      <c r="H31" s="133" t="s">
        <v>24</v>
      </c>
      <c r="I31" s="134"/>
      <c r="J31" s="134" t="s">
        <v>24</v>
      </c>
      <c r="K31" s="152"/>
      <c r="L31" s="133" t="s">
        <v>24</v>
      </c>
      <c r="M31" s="152"/>
      <c r="N31" s="133" t="s">
        <v>24</v>
      </c>
      <c r="O31" s="132"/>
      <c r="P31" s="133" t="s">
        <v>24</v>
      </c>
      <c r="Q31" s="134"/>
      <c r="R31" s="134" t="s">
        <v>24</v>
      </c>
      <c r="S31" s="132"/>
      <c r="T31" s="133" t="s">
        <v>24</v>
      </c>
      <c r="U31" s="132"/>
      <c r="V31" s="133" t="s">
        <v>24</v>
      </c>
      <c r="W31" s="132"/>
      <c r="X31" s="133" t="s">
        <v>24</v>
      </c>
      <c r="Y31" s="132"/>
      <c r="Z31" s="134" t="s">
        <v>24</v>
      </c>
      <c r="AA31" s="135" t="s">
        <v>24</v>
      </c>
    </row>
    <row r="32" spans="1:27" s="33" customFormat="1" ht="65.150000000000006" customHeight="1" x14ac:dyDescent="0.3">
      <c r="A32" s="156" t="s">
        <v>25</v>
      </c>
      <c r="B32" s="156" t="s">
        <v>55</v>
      </c>
      <c r="C32" s="136" t="s">
        <v>56</v>
      </c>
      <c r="D32" s="46" t="s">
        <v>27</v>
      </c>
      <c r="E32" s="136" t="s">
        <v>56</v>
      </c>
      <c r="F32" s="46" t="s">
        <v>27</v>
      </c>
      <c r="G32" s="136" t="s">
        <v>56</v>
      </c>
      <c r="H32" s="46" t="s">
        <v>27</v>
      </c>
      <c r="I32" s="136" t="s">
        <v>56</v>
      </c>
      <c r="J32" s="46" t="s">
        <v>27</v>
      </c>
      <c r="K32" s="136" t="s">
        <v>56</v>
      </c>
      <c r="L32" s="46" t="s">
        <v>27</v>
      </c>
      <c r="M32" s="136" t="s">
        <v>56</v>
      </c>
      <c r="N32" s="46" t="s">
        <v>27</v>
      </c>
      <c r="O32" s="136" t="s">
        <v>56</v>
      </c>
      <c r="P32" s="46" t="s">
        <v>27</v>
      </c>
      <c r="Q32" s="157" t="s">
        <v>56</v>
      </c>
      <c r="R32" s="46" t="s">
        <v>27</v>
      </c>
      <c r="S32" s="136" t="s">
        <v>56</v>
      </c>
      <c r="T32" s="46" t="s">
        <v>27</v>
      </c>
      <c r="U32" s="136" t="s">
        <v>56</v>
      </c>
      <c r="V32" s="46" t="s">
        <v>27</v>
      </c>
      <c r="W32" s="136" t="s">
        <v>56</v>
      </c>
      <c r="X32" s="46" t="s">
        <v>27</v>
      </c>
      <c r="Y32" s="136" t="s">
        <v>56</v>
      </c>
      <c r="Z32" s="46" t="s">
        <v>27</v>
      </c>
      <c r="AA32" s="76" t="s">
        <v>27</v>
      </c>
    </row>
    <row r="33" spans="1:30" s="33" customFormat="1" x14ac:dyDescent="0.3">
      <c r="A33" s="158" t="s">
        <v>29</v>
      </c>
      <c r="B33" s="158" t="s">
        <v>57</v>
      </c>
      <c r="C33" s="137">
        <v>1</v>
      </c>
      <c r="D33" s="138">
        <v>2</v>
      </c>
      <c r="E33" s="137">
        <v>3</v>
      </c>
      <c r="F33" s="138">
        <v>4</v>
      </c>
      <c r="G33" s="153">
        <v>5</v>
      </c>
      <c r="H33" s="154">
        <v>6</v>
      </c>
      <c r="I33" s="137">
        <v>7</v>
      </c>
      <c r="J33" s="138">
        <v>8</v>
      </c>
      <c r="K33" s="137">
        <v>9</v>
      </c>
      <c r="L33" s="138">
        <v>10</v>
      </c>
      <c r="M33" s="137">
        <v>11</v>
      </c>
      <c r="N33" s="138">
        <v>12</v>
      </c>
      <c r="O33" s="153">
        <v>13</v>
      </c>
      <c r="P33" s="139">
        <v>14</v>
      </c>
      <c r="Q33" s="137">
        <v>15</v>
      </c>
      <c r="R33" s="138">
        <v>16</v>
      </c>
      <c r="S33" s="137">
        <v>17</v>
      </c>
      <c r="T33" s="138">
        <v>18</v>
      </c>
      <c r="U33" s="137">
        <v>19</v>
      </c>
      <c r="V33" s="138">
        <v>20</v>
      </c>
      <c r="W33" s="137">
        <v>21</v>
      </c>
      <c r="X33" s="138">
        <v>22</v>
      </c>
      <c r="Y33" s="137">
        <v>23</v>
      </c>
      <c r="Z33" s="139">
        <v>24</v>
      </c>
      <c r="AA33" s="140">
        <v>25</v>
      </c>
    </row>
    <row r="34" spans="1:30" s="33" customFormat="1" ht="31.4" customHeight="1" x14ac:dyDescent="0.3">
      <c r="A34" s="72" t="s">
        <v>251</v>
      </c>
      <c r="B34" s="73" t="s">
        <v>70</v>
      </c>
      <c r="C34" s="74">
        <v>281</v>
      </c>
      <c r="D34" s="75">
        <v>45307.960000000006</v>
      </c>
      <c r="E34" s="74">
        <v>287</v>
      </c>
      <c r="F34" s="75">
        <v>43992.6</v>
      </c>
      <c r="G34" s="74">
        <v>297</v>
      </c>
      <c r="H34" s="75">
        <v>51594.520000000011</v>
      </c>
      <c r="I34" s="74">
        <v>311</v>
      </c>
      <c r="J34" s="75">
        <v>46782.14</v>
      </c>
      <c r="K34" s="74">
        <v>292</v>
      </c>
      <c r="L34" s="75">
        <v>49844.759999999995</v>
      </c>
      <c r="M34" s="74">
        <v>315</v>
      </c>
      <c r="N34" s="75">
        <v>55320.95</v>
      </c>
      <c r="O34" s="74">
        <v>325</v>
      </c>
      <c r="P34" s="75">
        <v>51435.479999999996</v>
      </c>
      <c r="Q34" s="74">
        <v>337</v>
      </c>
      <c r="R34" s="75">
        <v>53784.61</v>
      </c>
      <c r="S34" s="74">
        <v>351</v>
      </c>
      <c r="T34" s="75">
        <v>56658.369999999995</v>
      </c>
      <c r="U34" s="74">
        <v>361</v>
      </c>
      <c r="V34" s="75">
        <v>57984.85</v>
      </c>
      <c r="W34" s="74">
        <v>374</v>
      </c>
      <c r="X34" s="75">
        <v>59199.73</v>
      </c>
      <c r="Y34" s="74">
        <v>384</v>
      </c>
      <c r="Z34" s="75">
        <v>61533.57</v>
      </c>
      <c r="AA34" s="424">
        <f>F34+H34+J34+L34+N34+P34+R34+T34+V34+X34+Z34+D34</f>
        <v>633439.53999999992</v>
      </c>
      <c r="AB34" s="127"/>
      <c r="AC34" s="127"/>
      <c r="AD34" s="98"/>
    </row>
    <row r="35" spans="1:30" s="33" customFormat="1" ht="34.4" customHeight="1" x14ac:dyDescent="0.3">
      <c r="A35" s="72" t="s">
        <v>252</v>
      </c>
      <c r="B35" s="73" t="s">
        <v>80</v>
      </c>
      <c r="C35" s="74">
        <v>124</v>
      </c>
      <c r="D35" s="75">
        <v>13388.21</v>
      </c>
      <c r="E35" s="74">
        <v>126</v>
      </c>
      <c r="F35" s="75">
        <v>14990.45</v>
      </c>
      <c r="G35" s="74">
        <v>135</v>
      </c>
      <c r="H35" s="75">
        <v>29407.969999999998</v>
      </c>
      <c r="I35" s="74">
        <v>113</v>
      </c>
      <c r="J35" s="75">
        <v>23723.06</v>
      </c>
      <c r="K35" s="74">
        <v>116</v>
      </c>
      <c r="L35" s="75">
        <v>19752.61</v>
      </c>
      <c r="M35" s="74">
        <v>128</v>
      </c>
      <c r="N35" s="75">
        <v>24994.42</v>
      </c>
      <c r="O35" s="74">
        <v>130</v>
      </c>
      <c r="P35" s="75">
        <v>21776.34</v>
      </c>
      <c r="Q35" s="74">
        <v>129</v>
      </c>
      <c r="R35" s="75">
        <v>20640</v>
      </c>
      <c r="S35" s="74">
        <v>133</v>
      </c>
      <c r="T35" s="75">
        <v>22465.82</v>
      </c>
      <c r="U35" s="74">
        <v>129</v>
      </c>
      <c r="V35" s="75">
        <v>20423.23</v>
      </c>
      <c r="W35" s="74">
        <v>127</v>
      </c>
      <c r="X35" s="75">
        <v>20320</v>
      </c>
      <c r="Y35" s="74">
        <v>143</v>
      </c>
      <c r="Z35" s="75">
        <v>23506.400000000001</v>
      </c>
      <c r="AA35" s="424">
        <f t="shared" ref="AA35:AA37" si="2">F35+H35+J35+L35+N35+P35+R35+T35+V35+X35+Z35+D35</f>
        <v>255388.51</v>
      </c>
      <c r="AB35" s="127"/>
      <c r="AD35" s="98"/>
    </row>
    <row r="36" spans="1:30" s="33" customFormat="1" ht="30" customHeight="1" x14ac:dyDescent="0.3">
      <c r="A36" s="72" t="s">
        <v>253</v>
      </c>
      <c r="B36" s="73" t="s">
        <v>80</v>
      </c>
      <c r="C36" s="74">
        <v>73</v>
      </c>
      <c r="D36" s="75">
        <v>23011.829999999998</v>
      </c>
      <c r="E36" s="74">
        <v>73</v>
      </c>
      <c r="F36" s="75">
        <v>25205.439999999999</v>
      </c>
      <c r="G36" s="74">
        <v>74</v>
      </c>
      <c r="H36" s="75">
        <v>17107.14</v>
      </c>
      <c r="I36" s="74">
        <v>72</v>
      </c>
      <c r="J36" s="75">
        <v>31236.359999999997</v>
      </c>
      <c r="K36" s="74">
        <v>73</v>
      </c>
      <c r="L36" s="75">
        <v>23518.059999999998</v>
      </c>
      <c r="M36" s="74">
        <v>78</v>
      </c>
      <c r="N36" s="75">
        <v>27804.6</v>
      </c>
      <c r="O36" s="74">
        <v>80</v>
      </c>
      <c r="P36" s="75">
        <v>26489.89</v>
      </c>
      <c r="Q36" s="74">
        <v>80</v>
      </c>
      <c r="R36" s="75">
        <v>26540.44</v>
      </c>
      <c r="S36" s="74">
        <v>84</v>
      </c>
      <c r="T36" s="75">
        <v>28742.89</v>
      </c>
      <c r="U36" s="74">
        <v>85</v>
      </c>
      <c r="V36" s="75">
        <v>28770.18</v>
      </c>
      <c r="W36" s="74">
        <v>86</v>
      </c>
      <c r="X36" s="75">
        <v>28286.550000000003</v>
      </c>
      <c r="Y36" s="74">
        <v>89</v>
      </c>
      <c r="Z36" s="75">
        <v>28532.579999999998</v>
      </c>
      <c r="AA36" s="424">
        <f t="shared" si="2"/>
        <v>315245.96000000002</v>
      </c>
      <c r="AB36" s="127"/>
      <c r="AD36" s="98"/>
    </row>
    <row r="37" spans="1:30" s="33" customFormat="1" ht="40.4" customHeight="1" x14ac:dyDescent="0.3">
      <c r="A37" s="72" t="s">
        <v>254</v>
      </c>
      <c r="B37" s="73" t="s">
        <v>70</v>
      </c>
      <c r="C37" s="74">
        <v>35</v>
      </c>
      <c r="D37" s="75">
        <v>9096.57</v>
      </c>
      <c r="E37" s="74">
        <v>36</v>
      </c>
      <c r="F37" s="75">
        <v>10452.89</v>
      </c>
      <c r="G37" s="74">
        <v>38</v>
      </c>
      <c r="H37" s="75">
        <v>9290.99</v>
      </c>
      <c r="I37" s="74">
        <v>25</v>
      </c>
      <c r="J37" s="75">
        <v>8582.61</v>
      </c>
      <c r="K37" s="74">
        <v>35</v>
      </c>
      <c r="L37" s="75">
        <v>13771.71000000001</v>
      </c>
      <c r="M37" s="74">
        <v>40</v>
      </c>
      <c r="N37" s="75">
        <v>13902.57</v>
      </c>
      <c r="O37" s="74">
        <v>43</v>
      </c>
      <c r="P37" s="75">
        <v>15654.12</v>
      </c>
      <c r="Q37" s="74">
        <v>48</v>
      </c>
      <c r="R37" s="75">
        <v>15720.30000000001</v>
      </c>
      <c r="S37" s="74">
        <v>50</v>
      </c>
      <c r="T37" s="75">
        <v>15228.95000000001</v>
      </c>
      <c r="U37" s="74">
        <v>54</v>
      </c>
      <c r="V37" s="75">
        <v>17744.98</v>
      </c>
      <c r="W37" s="74">
        <v>53</v>
      </c>
      <c r="X37" s="75">
        <v>14111.79000000001</v>
      </c>
      <c r="Y37" s="74">
        <v>55</v>
      </c>
      <c r="Z37" s="75">
        <v>15915.61</v>
      </c>
      <c r="AA37" s="424">
        <f t="shared" si="2"/>
        <v>159473.09000000008</v>
      </c>
      <c r="AB37" s="127"/>
      <c r="AD37" s="98"/>
    </row>
    <row r="38" spans="1:30" s="33" customFormat="1" ht="29.25" customHeight="1" x14ac:dyDescent="0.3">
      <c r="A38" s="1102"/>
      <c r="B38" s="1102"/>
      <c r="C38" s="1102"/>
      <c r="D38" s="1102"/>
      <c r="E38" s="1102"/>
      <c r="F38" s="1102"/>
      <c r="G38" s="1102"/>
      <c r="H38" s="1102"/>
      <c r="I38" s="1102"/>
      <c r="J38" s="1102"/>
      <c r="K38" s="1102"/>
      <c r="L38" s="1102"/>
      <c r="M38" s="1102"/>
      <c r="N38" s="1102"/>
      <c r="O38" s="1102"/>
      <c r="P38" s="1102"/>
      <c r="Q38" s="1102"/>
      <c r="R38" s="1102"/>
      <c r="S38" s="1102"/>
      <c r="T38" s="1102"/>
      <c r="U38" s="1102"/>
      <c r="V38" s="1102"/>
      <c r="W38" s="1102"/>
      <c r="X38" s="1102"/>
      <c r="Y38" s="155"/>
      <c r="AA38" s="149">
        <f>ROUND(SUM(AA34:AA37),0)</f>
        <v>1363547</v>
      </c>
    </row>
    <row r="39" spans="1:30" s="33" customFormat="1" x14ac:dyDescent="0.3">
      <c r="A39" s="1099" t="s">
        <v>166</v>
      </c>
      <c r="B39" s="1099"/>
      <c r="C39" s="1099"/>
      <c r="D39" s="1099"/>
      <c r="E39" s="1099"/>
      <c r="F39" s="1099"/>
      <c r="G39" s="1099"/>
      <c r="I39" s="147"/>
      <c r="J39" s="146"/>
      <c r="K39" s="147"/>
      <c r="L39" s="146"/>
      <c r="M39" s="147"/>
      <c r="N39" s="146"/>
      <c r="O39" s="150"/>
      <c r="P39" s="150"/>
      <c r="Q39" s="150"/>
      <c r="R39" s="146"/>
      <c r="S39" s="151"/>
      <c r="T39" s="98"/>
      <c r="AB39" s="149"/>
    </row>
    <row r="40" spans="1:30" s="33" customFormat="1" ht="28" x14ac:dyDescent="0.3">
      <c r="F40" s="307" t="s">
        <v>196</v>
      </c>
      <c r="G40" s="307" t="s">
        <v>197</v>
      </c>
      <c r="H40" s="308" t="s">
        <v>167</v>
      </c>
      <c r="AA40" s="127"/>
    </row>
    <row r="41" spans="1:30" s="33" customFormat="1" x14ac:dyDescent="0.3">
      <c r="A41" s="1098" t="s">
        <v>154</v>
      </c>
      <c r="B41" s="1098"/>
      <c r="C41" s="1098"/>
      <c r="D41" s="1098"/>
      <c r="E41" s="1098"/>
      <c r="F41" s="99">
        <v>191.8</v>
      </c>
      <c r="G41" s="99">
        <v>232.39999999999998</v>
      </c>
      <c r="H41" s="309">
        <f>G41*100/F41-100</f>
        <v>21.167883211678813</v>
      </c>
    </row>
    <row r="42" spans="1:30" s="33" customFormat="1" x14ac:dyDescent="0.3">
      <c r="A42" s="1098" t="s">
        <v>155</v>
      </c>
      <c r="B42" s="1098"/>
      <c r="C42" s="1098"/>
      <c r="D42" s="1098"/>
      <c r="E42" s="1098"/>
      <c r="F42" s="99">
        <v>249.34</v>
      </c>
      <c r="G42" s="99">
        <v>302.12</v>
      </c>
      <c r="H42" s="309">
        <f t="shared" ref="H42:H51" si="3">G42*100/F42-100</f>
        <v>21.167883211678827</v>
      </c>
    </row>
    <row r="43" spans="1:30" s="33" customFormat="1" x14ac:dyDescent="0.3">
      <c r="A43" s="1098" t="s">
        <v>156</v>
      </c>
      <c r="B43" s="1098"/>
      <c r="C43" s="1098"/>
      <c r="D43" s="1098"/>
      <c r="E43" s="1098"/>
      <c r="F43" s="99">
        <v>239.4</v>
      </c>
      <c r="G43" s="99">
        <v>264.59999999999997</v>
      </c>
      <c r="H43" s="309">
        <f t="shared" si="3"/>
        <v>10.526315789473671</v>
      </c>
    </row>
    <row r="44" spans="1:30" s="33" customFormat="1" x14ac:dyDescent="0.3">
      <c r="A44" s="1098" t="s">
        <v>157</v>
      </c>
      <c r="B44" s="1098"/>
      <c r="C44" s="1098"/>
      <c r="D44" s="1098"/>
      <c r="E44" s="1098"/>
      <c r="F44" s="99">
        <v>311.22000000000003</v>
      </c>
      <c r="G44" s="99">
        <v>343.97999999999996</v>
      </c>
      <c r="H44" s="309">
        <f t="shared" si="3"/>
        <v>10.526315789473657</v>
      </c>
    </row>
    <row r="45" spans="1:30" s="33" customFormat="1" x14ac:dyDescent="0.3">
      <c r="A45" s="1098" t="s">
        <v>158</v>
      </c>
      <c r="B45" s="1098"/>
      <c r="C45" s="1098"/>
      <c r="D45" s="1098"/>
      <c r="E45" s="1098"/>
      <c r="F45" s="99">
        <v>164.4</v>
      </c>
      <c r="G45" s="99">
        <v>199.2</v>
      </c>
      <c r="H45" s="309">
        <f t="shared" si="3"/>
        <v>21.167883211678827</v>
      </c>
    </row>
    <row r="46" spans="1:30" s="33" customFormat="1" x14ac:dyDescent="0.3">
      <c r="A46" s="1098" t="s">
        <v>159</v>
      </c>
      <c r="B46" s="1098"/>
      <c r="C46" s="1098"/>
      <c r="D46" s="1098"/>
      <c r="E46" s="1098"/>
      <c r="F46" s="99">
        <v>197.28</v>
      </c>
      <c r="G46" s="99">
        <v>239.03999999999996</v>
      </c>
      <c r="H46" s="309">
        <f t="shared" si="3"/>
        <v>21.167883211678813</v>
      </c>
    </row>
    <row r="47" spans="1:30" s="33" customFormat="1" x14ac:dyDescent="0.3">
      <c r="A47" s="1098" t="s">
        <v>160</v>
      </c>
      <c r="B47" s="1098"/>
      <c r="C47" s="1098"/>
      <c r="D47" s="1098"/>
      <c r="E47" s="1098"/>
      <c r="F47" s="99">
        <v>205.2</v>
      </c>
      <c r="G47" s="99">
        <v>226.79999999999998</v>
      </c>
      <c r="H47" s="309">
        <f t="shared" si="3"/>
        <v>10.526315789473685</v>
      </c>
    </row>
    <row r="48" spans="1:30" s="33" customFormat="1" x14ac:dyDescent="0.3">
      <c r="A48" s="1098" t="s">
        <v>161</v>
      </c>
      <c r="B48" s="1098"/>
      <c r="C48" s="1098"/>
      <c r="D48" s="1098"/>
      <c r="E48" s="1098"/>
      <c r="F48" s="99">
        <v>246.24</v>
      </c>
      <c r="G48" s="99">
        <v>272.15999999999997</v>
      </c>
      <c r="H48" s="309">
        <f t="shared" si="3"/>
        <v>10.526315789473671</v>
      </c>
    </row>
    <row r="49" spans="1:33" s="33" customFormat="1" x14ac:dyDescent="0.3">
      <c r="A49" s="1098" t="s">
        <v>162</v>
      </c>
      <c r="B49" s="1098"/>
      <c r="C49" s="1098"/>
      <c r="D49" s="1098"/>
      <c r="E49" s="1098"/>
      <c r="F49" s="99">
        <v>137</v>
      </c>
      <c r="G49" s="99">
        <v>166</v>
      </c>
      <c r="H49" s="309">
        <f t="shared" si="3"/>
        <v>21.167883211678827</v>
      </c>
    </row>
    <row r="50" spans="1:33" s="33" customFormat="1" x14ac:dyDescent="0.3">
      <c r="A50" s="1098" t="s">
        <v>163</v>
      </c>
      <c r="B50" s="1098"/>
      <c r="C50" s="1098"/>
      <c r="D50" s="1098"/>
      <c r="E50" s="1098"/>
      <c r="F50" s="99">
        <v>171</v>
      </c>
      <c r="G50" s="99">
        <v>189</v>
      </c>
      <c r="H50" s="309">
        <f t="shared" si="3"/>
        <v>10.526315789473685</v>
      </c>
    </row>
    <row r="51" spans="1:33" s="33" customFormat="1" ht="15.65" customHeight="1" x14ac:dyDescent="0.3">
      <c r="F51" s="99">
        <f>AVERAGE(F41:F50)</f>
        <v>211.28800000000001</v>
      </c>
      <c r="G51" s="99">
        <f>AVERAGE(G41:G50)</f>
        <v>243.52999999999997</v>
      </c>
      <c r="H51" s="642">
        <f t="shared" si="3"/>
        <v>15.259740259740241</v>
      </c>
      <c r="I51" s="99"/>
    </row>
    <row r="52" spans="1:33" s="33" customFormat="1" ht="30.65" customHeight="1" x14ac:dyDescent="0.3"/>
    <row r="53" spans="1:33" s="33" customFormat="1" x14ac:dyDescent="0.3"/>
    <row r="54" spans="1:33" s="33" customFormat="1" ht="15.65" customHeight="1" thickBot="1" x14ac:dyDescent="0.35">
      <c r="A54" s="475" t="s">
        <v>198</v>
      </c>
    </row>
    <row r="55" spans="1:33" s="33" customFormat="1" x14ac:dyDescent="0.3">
      <c r="A55" s="1016" t="s">
        <v>12</v>
      </c>
      <c r="B55" s="1017"/>
      <c r="C55" s="1009" t="s">
        <v>189</v>
      </c>
      <c r="D55" s="1010"/>
      <c r="E55" s="1009" t="s">
        <v>189</v>
      </c>
      <c r="F55" s="1010"/>
      <c r="G55" s="1009" t="s">
        <v>189</v>
      </c>
      <c r="H55" s="1010"/>
      <c r="I55" s="1009" t="s">
        <v>189</v>
      </c>
      <c r="J55" s="1010"/>
      <c r="K55" s="1009" t="s">
        <v>189</v>
      </c>
      <c r="L55" s="1010"/>
      <c r="M55" s="1104" t="s">
        <v>189</v>
      </c>
      <c r="N55" s="1105"/>
      <c r="O55" s="1104" t="s">
        <v>189</v>
      </c>
      <c r="P55" s="1105"/>
      <c r="Q55" s="1104" t="s">
        <v>189</v>
      </c>
      <c r="R55" s="1105"/>
      <c r="S55" s="1104" t="s">
        <v>189</v>
      </c>
      <c r="T55" s="1105"/>
      <c r="U55" s="1054" t="s">
        <v>189</v>
      </c>
      <c r="V55" s="1055"/>
      <c r="W55" s="1054" t="s">
        <v>189</v>
      </c>
      <c r="X55" s="1055"/>
      <c r="Y55" s="1054" t="s">
        <v>189</v>
      </c>
      <c r="Z55" s="1055"/>
      <c r="AA55" s="451" t="s">
        <v>189</v>
      </c>
    </row>
    <row r="56" spans="1:33" s="33" customFormat="1" ht="14.5" customHeight="1" x14ac:dyDescent="0.3">
      <c r="A56" s="1014" t="s">
        <v>13</v>
      </c>
      <c r="B56" s="1015"/>
      <c r="C56" s="1003" t="s">
        <v>89</v>
      </c>
      <c r="D56" s="1004"/>
      <c r="E56" s="1003" t="s">
        <v>49</v>
      </c>
      <c r="F56" s="1004"/>
      <c r="G56" s="1003" t="s">
        <v>50</v>
      </c>
      <c r="H56" s="1004"/>
      <c r="I56" s="1005" t="s">
        <v>51</v>
      </c>
      <c r="J56" s="1006"/>
      <c r="K56" s="1003" t="s">
        <v>52</v>
      </c>
      <c r="L56" s="1004"/>
      <c r="M56" s="1056" t="s">
        <v>53</v>
      </c>
      <c r="N56" s="1057"/>
      <c r="O56" s="1056" t="s">
        <v>54</v>
      </c>
      <c r="P56" s="1057"/>
      <c r="Q56" s="1058" t="s">
        <v>81</v>
      </c>
      <c r="R56" s="1058"/>
      <c r="S56" s="1056" t="s">
        <v>90</v>
      </c>
      <c r="T56" s="1057"/>
      <c r="U56" s="1062" t="s">
        <v>91</v>
      </c>
      <c r="V56" s="1063"/>
      <c r="W56" s="1062" t="s">
        <v>92</v>
      </c>
      <c r="X56" s="1063"/>
      <c r="Y56" s="1062" t="s">
        <v>93</v>
      </c>
      <c r="Z56" s="1060"/>
      <c r="AA56" s="452" t="s">
        <v>36</v>
      </c>
    </row>
    <row r="57" spans="1:33" s="33" customFormat="1" x14ac:dyDescent="0.3">
      <c r="A57" s="1100" t="s">
        <v>32</v>
      </c>
      <c r="B57" s="1101"/>
      <c r="C57" s="152"/>
      <c r="D57" s="133" t="s">
        <v>24</v>
      </c>
      <c r="E57" s="152"/>
      <c r="F57" s="133" t="s">
        <v>24</v>
      </c>
      <c r="G57" s="152"/>
      <c r="H57" s="133" t="s">
        <v>24</v>
      </c>
      <c r="I57" s="134"/>
      <c r="J57" s="134" t="s">
        <v>24</v>
      </c>
      <c r="K57" s="152"/>
      <c r="L57" s="133" t="s">
        <v>24</v>
      </c>
      <c r="M57" s="786"/>
      <c r="N57" s="787" t="s">
        <v>24</v>
      </c>
      <c r="O57" s="794"/>
      <c r="P57" s="787" t="s">
        <v>24</v>
      </c>
      <c r="Q57" s="797"/>
      <c r="R57" s="797" t="s">
        <v>24</v>
      </c>
      <c r="S57" s="794"/>
      <c r="T57" s="787" t="s">
        <v>24</v>
      </c>
      <c r="U57" s="455"/>
      <c r="V57" s="454" t="s">
        <v>24</v>
      </c>
      <c r="W57" s="455"/>
      <c r="X57" s="454" t="s">
        <v>24</v>
      </c>
      <c r="Y57" s="455"/>
      <c r="Z57" s="456" t="s">
        <v>24</v>
      </c>
      <c r="AA57" s="457" t="s">
        <v>24</v>
      </c>
    </row>
    <row r="58" spans="1:33" s="33" customFormat="1" ht="65.150000000000006" customHeight="1" x14ac:dyDescent="0.3">
      <c r="A58" s="156"/>
      <c r="B58" s="156" t="s">
        <v>55</v>
      </c>
      <c r="C58" s="136" t="s">
        <v>56</v>
      </c>
      <c r="D58" s="46" t="s">
        <v>27</v>
      </c>
      <c r="E58" s="136" t="s">
        <v>56</v>
      </c>
      <c r="F58" s="46" t="s">
        <v>27</v>
      </c>
      <c r="G58" s="136" t="s">
        <v>56</v>
      </c>
      <c r="H58" s="46" t="s">
        <v>27</v>
      </c>
      <c r="I58" s="136" t="s">
        <v>56</v>
      </c>
      <c r="J58" s="46" t="s">
        <v>27</v>
      </c>
      <c r="K58" s="136" t="s">
        <v>56</v>
      </c>
      <c r="L58" s="46" t="s">
        <v>27</v>
      </c>
      <c r="M58" s="788" t="s">
        <v>56</v>
      </c>
      <c r="N58" s="789" t="s">
        <v>28</v>
      </c>
      <c r="O58" s="788" t="s">
        <v>56</v>
      </c>
      <c r="P58" s="789" t="s">
        <v>28</v>
      </c>
      <c r="Q58" s="798" t="s">
        <v>56</v>
      </c>
      <c r="R58" s="789" t="s">
        <v>28</v>
      </c>
      <c r="S58" s="788" t="s">
        <v>56</v>
      </c>
      <c r="T58" s="789" t="s">
        <v>28</v>
      </c>
      <c r="U58" s="458" t="s">
        <v>56</v>
      </c>
      <c r="V58" s="459" t="s">
        <v>28</v>
      </c>
      <c r="W58" s="458" t="s">
        <v>56</v>
      </c>
      <c r="X58" s="459" t="s">
        <v>28</v>
      </c>
      <c r="Y58" s="458" t="s">
        <v>56</v>
      </c>
      <c r="Z58" s="459" t="s">
        <v>28</v>
      </c>
      <c r="AA58" s="459" t="s">
        <v>28</v>
      </c>
    </row>
    <row r="59" spans="1:33" s="33" customFormat="1" x14ac:dyDescent="0.3">
      <c r="A59" s="158" t="s">
        <v>29</v>
      </c>
      <c r="B59" s="158" t="s">
        <v>57</v>
      </c>
      <c r="C59" s="137">
        <v>1</v>
      </c>
      <c r="D59" s="138">
        <v>2</v>
      </c>
      <c r="E59" s="137">
        <v>3</v>
      </c>
      <c r="F59" s="138">
        <v>4</v>
      </c>
      <c r="G59" s="153">
        <v>5</v>
      </c>
      <c r="H59" s="154">
        <v>6</v>
      </c>
      <c r="I59" s="137">
        <v>7</v>
      </c>
      <c r="J59" s="138">
        <v>8</v>
      </c>
      <c r="K59" s="137">
        <v>9</v>
      </c>
      <c r="L59" s="138">
        <v>10</v>
      </c>
      <c r="M59" s="790">
        <v>11</v>
      </c>
      <c r="N59" s="791">
        <v>12</v>
      </c>
      <c r="O59" s="795">
        <v>13</v>
      </c>
      <c r="P59" s="796">
        <v>14</v>
      </c>
      <c r="Q59" s="790">
        <v>15</v>
      </c>
      <c r="R59" s="791">
        <v>16</v>
      </c>
      <c r="S59" s="790">
        <v>17</v>
      </c>
      <c r="T59" s="791">
        <v>18</v>
      </c>
      <c r="U59" s="462">
        <v>19</v>
      </c>
      <c r="V59" s="463">
        <v>20</v>
      </c>
      <c r="W59" s="462">
        <v>21</v>
      </c>
      <c r="X59" s="463">
        <v>22</v>
      </c>
      <c r="Y59" s="462">
        <v>23</v>
      </c>
      <c r="Z59" s="465">
        <v>24</v>
      </c>
      <c r="AA59" s="466">
        <v>25</v>
      </c>
    </row>
    <row r="60" spans="1:33" s="33" customFormat="1" ht="31.4" customHeight="1" x14ac:dyDescent="0.3">
      <c r="A60" s="72" t="s">
        <v>219</v>
      </c>
      <c r="B60" s="73" t="s">
        <v>70</v>
      </c>
      <c r="C60" s="74">
        <v>414</v>
      </c>
      <c r="D60" s="75">
        <v>69795.570000000007</v>
      </c>
      <c r="E60" s="74">
        <v>436</v>
      </c>
      <c r="F60" s="75">
        <v>82045.880000000034</v>
      </c>
      <c r="G60" s="74">
        <v>445</v>
      </c>
      <c r="H60" s="75">
        <v>80686.48000000004</v>
      </c>
      <c r="I60" s="74">
        <v>453</v>
      </c>
      <c r="J60" s="75">
        <v>85816.61</v>
      </c>
      <c r="K60" s="74">
        <v>457</v>
      </c>
      <c r="L60" s="75">
        <v>81950.320000000022</v>
      </c>
      <c r="M60" s="792">
        <v>460</v>
      </c>
      <c r="N60" s="793">
        <v>84382.22</v>
      </c>
      <c r="O60" s="792">
        <v>472</v>
      </c>
      <c r="P60" s="793">
        <v>89152.7</v>
      </c>
      <c r="Q60" s="792">
        <v>469</v>
      </c>
      <c r="R60" s="793">
        <v>84757.03</v>
      </c>
      <c r="S60" s="792">
        <v>491</v>
      </c>
      <c r="T60" s="793">
        <v>91579.600000000035</v>
      </c>
      <c r="U60" s="467">
        <f>S60+11</f>
        <v>502</v>
      </c>
      <c r="V60" s="468">
        <f>U60*184.73</f>
        <v>92734.459999999992</v>
      </c>
      <c r="W60" s="467">
        <f>U60+11</f>
        <v>513</v>
      </c>
      <c r="X60" s="468">
        <f>W60*184.73</f>
        <v>94766.489999999991</v>
      </c>
      <c r="Y60" s="467">
        <f>W60+11</f>
        <v>524</v>
      </c>
      <c r="Z60" s="468">
        <f>Y60*184.73</f>
        <v>96798.51999999999</v>
      </c>
      <c r="AA60" s="636">
        <f>F60+H60+J60+L60+N60+P60+R60+T60+V60+X60+Z60+D60</f>
        <v>1034465.8800000001</v>
      </c>
      <c r="AC60" s="127"/>
      <c r="AD60" s="98"/>
    </row>
    <row r="61" spans="1:33" s="33" customFormat="1" ht="34.4" customHeight="1" x14ac:dyDescent="0.3">
      <c r="A61" s="72" t="s">
        <v>223</v>
      </c>
      <c r="B61" s="73" t="s">
        <v>80</v>
      </c>
      <c r="C61" s="74">
        <v>144</v>
      </c>
      <c r="D61" s="75">
        <v>23130.5</v>
      </c>
      <c r="E61" s="74">
        <v>148</v>
      </c>
      <c r="F61" s="75">
        <v>24155.57</v>
      </c>
      <c r="G61" s="74">
        <v>146</v>
      </c>
      <c r="H61" s="75">
        <v>22592.66</v>
      </c>
      <c r="I61" s="74">
        <v>140</v>
      </c>
      <c r="J61" s="75">
        <v>23092.230000000003</v>
      </c>
      <c r="K61" s="74">
        <v>139</v>
      </c>
      <c r="L61" s="75">
        <v>23146.5</v>
      </c>
      <c r="M61" s="792">
        <v>143</v>
      </c>
      <c r="N61" s="793">
        <v>24503.02</v>
      </c>
      <c r="O61" s="792">
        <v>146</v>
      </c>
      <c r="P61" s="793">
        <v>24280.61</v>
      </c>
      <c r="Q61" s="792">
        <v>149</v>
      </c>
      <c r="R61" s="793">
        <v>24874.639999999999</v>
      </c>
      <c r="S61" s="792">
        <v>148</v>
      </c>
      <c r="T61" s="793">
        <v>24860.379999999997</v>
      </c>
      <c r="U61" s="467">
        <f>S61+1</f>
        <v>149</v>
      </c>
      <c r="V61" s="468">
        <f>U61*160</f>
        <v>23840</v>
      </c>
      <c r="W61" s="467">
        <f>U61+1</f>
        <v>150</v>
      </c>
      <c r="X61" s="468">
        <f>W61*160</f>
        <v>24000</v>
      </c>
      <c r="Y61" s="467">
        <f>W61+1</f>
        <v>151</v>
      </c>
      <c r="Z61" s="468">
        <f>Y61*160</f>
        <v>24160</v>
      </c>
      <c r="AA61" s="636">
        <f t="shared" ref="AA61:AA63" si="4">F61+H61+J61+L61+N61+P61+R61+T61+V61+X61+Z61+D61</f>
        <v>286636.11</v>
      </c>
      <c r="AC61" s="3"/>
      <c r="AD61" s="98"/>
    </row>
    <row r="62" spans="1:33" s="33" customFormat="1" ht="30" customHeight="1" x14ac:dyDescent="0.3">
      <c r="A62" s="72" t="s">
        <v>224</v>
      </c>
      <c r="B62" s="73" t="s">
        <v>80</v>
      </c>
      <c r="C62" s="74">
        <v>89</v>
      </c>
      <c r="D62" s="75">
        <v>37160.94</v>
      </c>
      <c r="E62" s="74">
        <v>92</v>
      </c>
      <c r="F62" s="75">
        <v>38533.770000000004</v>
      </c>
      <c r="G62" s="74">
        <v>93</v>
      </c>
      <c r="H62" s="75">
        <v>37724.54</v>
      </c>
      <c r="I62" s="74">
        <v>91</v>
      </c>
      <c r="J62" s="75">
        <v>37352.130000000005</v>
      </c>
      <c r="K62" s="74">
        <v>91</v>
      </c>
      <c r="L62" s="75">
        <v>39910.229999999996</v>
      </c>
      <c r="M62" s="792">
        <v>97</v>
      </c>
      <c r="N62" s="793">
        <v>46714.729999999996</v>
      </c>
      <c r="O62" s="792">
        <v>101</v>
      </c>
      <c r="P62" s="793">
        <v>44144.55</v>
      </c>
      <c r="Q62" s="792">
        <v>101</v>
      </c>
      <c r="R62" s="793">
        <v>41009.57</v>
      </c>
      <c r="S62" s="792">
        <v>99</v>
      </c>
      <c r="T62" s="793">
        <v>42704.22</v>
      </c>
      <c r="U62" s="467">
        <f>S62+1</f>
        <v>100</v>
      </c>
      <c r="V62" s="468">
        <f>U62*413.43</f>
        <v>41343</v>
      </c>
      <c r="W62" s="467">
        <f>U62+1</f>
        <v>101</v>
      </c>
      <c r="X62" s="468">
        <f>W62*413.43</f>
        <v>41756.43</v>
      </c>
      <c r="Y62" s="467">
        <f>W62+1</f>
        <v>102</v>
      </c>
      <c r="Z62" s="468">
        <f>Y62*413.43</f>
        <v>42169.86</v>
      </c>
      <c r="AA62" s="636">
        <f t="shared" si="4"/>
        <v>490523.97</v>
      </c>
      <c r="AD62" s="98"/>
    </row>
    <row r="63" spans="1:33" s="33" customFormat="1" ht="40.4" customHeight="1" x14ac:dyDescent="0.3">
      <c r="A63" s="72" t="s">
        <v>225</v>
      </c>
      <c r="B63" s="73" t="s">
        <v>70</v>
      </c>
      <c r="C63" s="74">
        <v>61</v>
      </c>
      <c r="D63" s="75">
        <v>18459.78</v>
      </c>
      <c r="E63" s="74">
        <v>63</v>
      </c>
      <c r="F63" s="75">
        <v>18124.25</v>
      </c>
      <c r="G63" s="74">
        <v>65</v>
      </c>
      <c r="H63" s="75">
        <v>16450.12</v>
      </c>
      <c r="I63" s="74">
        <v>64</v>
      </c>
      <c r="J63" s="75">
        <v>18195.509999999998</v>
      </c>
      <c r="K63" s="74">
        <v>65</v>
      </c>
      <c r="L63" s="75">
        <v>17444.940000000002</v>
      </c>
      <c r="M63" s="792">
        <v>63</v>
      </c>
      <c r="N63" s="793">
        <v>17827.86</v>
      </c>
      <c r="O63" s="792">
        <v>68</v>
      </c>
      <c r="P63" s="793">
        <v>22567.37000000001</v>
      </c>
      <c r="Q63" s="792">
        <v>68</v>
      </c>
      <c r="R63" s="793">
        <v>18444.39</v>
      </c>
      <c r="S63" s="792">
        <v>70</v>
      </c>
      <c r="T63" s="793">
        <v>19400.45</v>
      </c>
      <c r="U63" s="467">
        <f>S63+1</f>
        <v>71</v>
      </c>
      <c r="V63" s="468">
        <f>U63*284.37</f>
        <v>20190.27</v>
      </c>
      <c r="W63" s="467">
        <f>U63+1</f>
        <v>72</v>
      </c>
      <c r="X63" s="468">
        <f>W63*284.37</f>
        <v>20474.64</v>
      </c>
      <c r="Y63" s="467">
        <f>W63+1</f>
        <v>73</v>
      </c>
      <c r="Z63" s="468">
        <f>Y63*284.37</f>
        <v>20759.010000000002</v>
      </c>
      <c r="AA63" s="636">
        <f t="shared" si="4"/>
        <v>228338.59</v>
      </c>
      <c r="AD63" s="98"/>
    </row>
    <row r="64" spans="1:33" x14ac:dyDescent="0.3">
      <c r="A64" s="1103" t="s">
        <v>332</v>
      </c>
      <c r="B64" s="1103"/>
      <c r="C64" s="1103"/>
      <c r="D64" s="1103"/>
      <c r="E64" s="1103"/>
      <c r="F64" s="1103"/>
      <c r="G64" s="1103"/>
      <c r="H64" s="1103"/>
      <c r="I64" s="1103"/>
      <c r="J64" s="1103"/>
      <c r="K64" s="1103"/>
      <c r="L64" s="1103"/>
      <c r="M64" s="1103"/>
      <c r="N64" s="1103"/>
      <c r="O64" s="1103"/>
      <c r="P64" s="1103"/>
      <c r="Q64" s="1103"/>
      <c r="R64" s="1103"/>
      <c r="S64" s="1103"/>
      <c r="T64" s="1103"/>
      <c r="U64" s="1103"/>
      <c r="V64" s="1103"/>
      <c r="W64" s="1103"/>
      <c r="X64" s="1103"/>
      <c r="Y64" s="426"/>
      <c r="AA64" s="637">
        <f>ROUND(SUM(AA60:AA63),0)</f>
        <v>2039965</v>
      </c>
      <c r="AE64" s="33"/>
      <c r="AF64" s="33"/>
      <c r="AG64" s="33"/>
    </row>
    <row r="65" spans="1:33" ht="18" customHeight="1" x14ac:dyDescent="0.3">
      <c r="A65" s="1103" t="s">
        <v>304</v>
      </c>
      <c r="B65" s="1103"/>
      <c r="C65" s="1103"/>
      <c r="D65" s="1103"/>
      <c r="E65" s="1103"/>
      <c r="F65" s="1103"/>
      <c r="G65" s="1103"/>
      <c r="H65" s="1103"/>
      <c r="I65" s="1103"/>
      <c r="J65" s="1103"/>
      <c r="K65" s="1103"/>
      <c r="L65" s="1103"/>
      <c r="M65" s="1103"/>
      <c r="N65" s="1103"/>
      <c r="O65" s="1103"/>
      <c r="P65" s="1103"/>
      <c r="Q65" s="1103"/>
      <c r="R65" s="1103"/>
      <c r="S65" s="1103"/>
      <c r="T65" s="1103"/>
      <c r="U65" s="1103"/>
      <c r="V65" s="1103"/>
      <c r="W65" s="1103"/>
      <c r="X65" s="1103"/>
      <c r="AE65" s="33"/>
      <c r="AF65" s="33"/>
      <c r="AG65" s="33"/>
    </row>
    <row r="66" spans="1:33" ht="18" customHeight="1" x14ac:dyDescent="0.3">
      <c r="A66" s="1103" t="s">
        <v>305</v>
      </c>
      <c r="B66" s="1103"/>
      <c r="C66" s="1103"/>
      <c r="D66" s="1103"/>
      <c r="E66" s="1103"/>
      <c r="F66" s="1103"/>
      <c r="G66" s="1103"/>
      <c r="H66" s="1103"/>
      <c r="I66" s="1103"/>
      <c r="J66" s="1103"/>
      <c r="K66" s="1103"/>
      <c r="L66" s="1103"/>
      <c r="M66" s="1103"/>
      <c r="N66" s="1103"/>
      <c r="O66" s="1103"/>
      <c r="P66" s="1103"/>
      <c r="Q66" s="1103"/>
      <c r="R66" s="1103"/>
      <c r="S66" s="1103"/>
      <c r="T66" s="1103"/>
      <c r="U66" s="1103"/>
      <c r="V66" s="1103"/>
      <c r="W66" s="1103"/>
      <c r="X66" s="1103"/>
      <c r="AE66" s="33"/>
      <c r="AF66" s="33"/>
      <c r="AG66" s="33"/>
    </row>
    <row r="67" spans="1:33" ht="18" customHeight="1" x14ac:dyDescent="0.3">
      <c r="A67" s="1103" t="s">
        <v>334</v>
      </c>
      <c r="B67" s="1103"/>
      <c r="C67" s="1103"/>
      <c r="D67" s="1103"/>
      <c r="E67" s="1103"/>
      <c r="F67" s="1103"/>
      <c r="G67" s="1103"/>
      <c r="H67" s="1103"/>
      <c r="I67" s="1103"/>
      <c r="J67" s="1103"/>
      <c r="K67" s="1103"/>
      <c r="L67" s="1103"/>
      <c r="M67" s="1103"/>
      <c r="N67" s="1103"/>
      <c r="O67" s="1103"/>
      <c r="P67" s="1103"/>
      <c r="Q67" s="1103"/>
      <c r="R67" s="1103"/>
      <c r="S67" s="1103"/>
      <c r="T67" s="1103"/>
      <c r="U67" s="1103"/>
      <c r="V67" s="1103"/>
      <c r="W67" s="1103"/>
      <c r="X67" s="1103"/>
      <c r="AE67" s="33"/>
      <c r="AF67" s="33"/>
      <c r="AG67" s="33"/>
    </row>
    <row r="68" spans="1:33" s="33" customFormat="1" ht="18" customHeight="1" x14ac:dyDescent="0.3">
      <c r="A68" s="387"/>
      <c r="B68" s="387"/>
      <c r="C68" s="387"/>
      <c r="D68" s="387"/>
      <c r="E68" s="387"/>
      <c r="F68" s="387"/>
      <c r="G68" s="387"/>
      <c r="H68" s="387"/>
      <c r="I68" s="387"/>
      <c r="J68" s="387"/>
      <c r="K68" s="387"/>
      <c r="L68" s="387"/>
      <c r="M68" s="387"/>
      <c r="N68" s="387"/>
      <c r="O68" s="387"/>
      <c r="P68" s="387"/>
      <c r="Q68" s="387"/>
      <c r="R68" s="387"/>
      <c r="S68" s="387"/>
      <c r="T68" s="387"/>
      <c r="U68" s="387"/>
      <c r="V68" s="387"/>
      <c r="W68" s="387"/>
      <c r="X68" s="387"/>
    </row>
    <row r="69" spans="1:33" s="33" customFormat="1" x14ac:dyDescent="0.3">
      <c r="A69" s="1114" t="s">
        <v>166</v>
      </c>
      <c r="B69" s="1114"/>
      <c r="C69" s="1114"/>
      <c r="D69" s="1114"/>
      <c r="E69" s="1114"/>
      <c r="F69" s="1114"/>
      <c r="G69" s="1114"/>
      <c r="H69" s="647"/>
      <c r="I69" s="388"/>
      <c r="J69" s="389"/>
      <c r="K69" s="147"/>
      <c r="L69" s="146"/>
      <c r="M69" s="147"/>
      <c r="N69" s="146"/>
      <c r="O69" s="150"/>
      <c r="P69" s="150"/>
      <c r="Q69" s="150"/>
      <c r="R69" s="146"/>
      <c r="S69" s="151"/>
      <c r="T69" s="98"/>
      <c r="AB69" s="149"/>
    </row>
    <row r="70" spans="1:33" s="33" customFormat="1" ht="28" x14ac:dyDescent="0.3">
      <c r="A70" s="647"/>
      <c r="B70" s="647"/>
      <c r="C70" s="647"/>
      <c r="D70" s="647"/>
      <c r="E70" s="647"/>
      <c r="F70" s="645" t="s">
        <v>255</v>
      </c>
      <c r="G70" s="638" t="s">
        <v>256</v>
      </c>
      <c r="H70" s="639" t="s">
        <v>167</v>
      </c>
      <c r="I70" s="364"/>
      <c r="J70" s="364"/>
      <c r="AA70" s="127"/>
    </row>
    <row r="71" spans="1:33" s="33" customFormat="1" x14ac:dyDescent="0.3">
      <c r="A71" s="1115" t="s">
        <v>154</v>
      </c>
      <c r="B71" s="1115"/>
      <c r="C71" s="1115"/>
      <c r="D71" s="1115"/>
      <c r="E71" s="1115"/>
      <c r="F71" s="646">
        <v>232.39999999999998</v>
      </c>
      <c r="G71" s="640">
        <v>261.8</v>
      </c>
      <c r="H71" s="641">
        <f>G71*100/F71-100</f>
        <v>12.650602409638566</v>
      </c>
      <c r="I71" s="364"/>
      <c r="J71" s="383"/>
    </row>
    <row r="72" spans="1:33" s="33" customFormat="1" x14ac:dyDescent="0.3">
      <c r="A72" s="1115" t="s">
        <v>155</v>
      </c>
      <c r="B72" s="1115"/>
      <c r="C72" s="1115"/>
      <c r="D72" s="1115"/>
      <c r="E72" s="1115"/>
      <c r="F72" s="646">
        <v>302.12</v>
      </c>
      <c r="G72" s="640">
        <v>340.34</v>
      </c>
      <c r="H72" s="641">
        <f t="shared" ref="H72:H81" si="5">G72*100/F72-100</f>
        <v>12.650602409638552</v>
      </c>
      <c r="I72" s="364"/>
      <c r="J72" s="383"/>
    </row>
    <row r="73" spans="1:33" s="33" customFormat="1" x14ac:dyDescent="0.3">
      <c r="A73" s="1115" t="s">
        <v>156</v>
      </c>
      <c r="B73" s="1115"/>
      <c r="C73" s="1115"/>
      <c r="D73" s="1115"/>
      <c r="E73" s="1115"/>
      <c r="F73" s="646">
        <v>264.59999999999997</v>
      </c>
      <c r="G73" s="640">
        <v>298.2</v>
      </c>
      <c r="H73" s="641">
        <f t="shared" si="5"/>
        <v>12.69841269841271</v>
      </c>
      <c r="I73" s="364"/>
      <c r="J73" s="383"/>
    </row>
    <row r="74" spans="1:33" s="33" customFormat="1" x14ac:dyDescent="0.3">
      <c r="A74" s="1115" t="s">
        <v>157</v>
      </c>
      <c r="B74" s="1115"/>
      <c r="C74" s="1115"/>
      <c r="D74" s="1115"/>
      <c r="E74" s="1115"/>
      <c r="F74" s="646">
        <v>343.97999999999996</v>
      </c>
      <c r="G74" s="640">
        <v>387.66</v>
      </c>
      <c r="H74" s="641">
        <f t="shared" si="5"/>
        <v>12.69841269841271</v>
      </c>
      <c r="I74" s="364"/>
      <c r="J74" s="383"/>
    </row>
    <row r="75" spans="1:33" s="33" customFormat="1" x14ac:dyDescent="0.3">
      <c r="A75" s="1115" t="s">
        <v>158</v>
      </c>
      <c r="B75" s="1115"/>
      <c r="C75" s="1115"/>
      <c r="D75" s="1115"/>
      <c r="E75" s="1115"/>
      <c r="F75" s="646">
        <v>199.2</v>
      </c>
      <c r="G75" s="640">
        <v>224.4</v>
      </c>
      <c r="H75" s="641">
        <f t="shared" si="5"/>
        <v>12.650602409638566</v>
      </c>
      <c r="I75" s="364"/>
      <c r="J75" s="383"/>
    </row>
    <row r="76" spans="1:33" s="33" customFormat="1" x14ac:dyDescent="0.3">
      <c r="A76" s="1115" t="s">
        <v>159</v>
      </c>
      <c r="B76" s="1115"/>
      <c r="C76" s="1115"/>
      <c r="D76" s="1115"/>
      <c r="E76" s="1115"/>
      <c r="F76" s="646">
        <v>239.03999999999996</v>
      </c>
      <c r="G76" s="640">
        <v>269.27999999999997</v>
      </c>
      <c r="H76" s="641">
        <f t="shared" si="5"/>
        <v>12.650602409638552</v>
      </c>
      <c r="I76" s="364"/>
      <c r="J76" s="383"/>
    </row>
    <row r="77" spans="1:33" s="33" customFormat="1" x14ac:dyDescent="0.3">
      <c r="A77" s="1115" t="s">
        <v>160</v>
      </c>
      <c r="B77" s="1115"/>
      <c r="C77" s="1115"/>
      <c r="D77" s="1115"/>
      <c r="E77" s="1115"/>
      <c r="F77" s="646">
        <v>226.79999999999998</v>
      </c>
      <c r="G77" s="640">
        <v>255.6</v>
      </c>
      <c r="H77" s="641">
        <f t="shared" si="5"/>
        <v>12.69841269841271</v>
      </c>
      <c r="I77" s="364"/>
      <c r="J77" s="383"/>
    </row>
    <row r="78" spans="1:33" s="33" customFormat="1" x14ac:dyDescent="0.3">
      <c r="A78" s="1115" t="s">
        <v>161</v>
      </c>
      <c r="B78" s="1115"/>
      <c r="C78" s="1115"/>
      <c r="D78" s="1115"/>
      <c r="E78" s="1115"/>
      <c r="F78" s="646">
        <v>272.15999999999997</v>
      </c>
      <c r="G78" s="640">
        <v>306.72000000000003</v>
      </c>
      <c r="H78" s="641">
        <f t="shared" si="5"/>
        <v>12.698412698412724</v>
      </c>
      <c r="I78" s="364"/>
      <c r="J78" s="383"/>
    </row>
    <row r="79" spans="1:33" s="33" customFormat="1" x14ac:dyDescent="0.3">
      <c r="A79" s="1115" t="s">
        <v>162</v>
      </c>
      <c r="B79" s="1115"/>
      <c r="C79" s="1115"/>
      <c r="D79" s="1115"/>
      <c r="E79" s="1115"/>
      <c r="F79" s="646">
        <v>166</v>
      </c>
      <c r="G79" s="640">
        <v>187</v>
      </c>
      <c r="H79" s="641">
        <f t="shared" si="5"/>
        <v>12.650602409638552</v>
      </c>
      <c r="I79" s="364"/>
      <c r="J79" s="383"/>
    </row>
    <row r="80" spans="1:33" s="33" customFormat="1" x14ac:dyDescent="0.3">
      <c r="A80" s="1115" t="s">
        <v>163</v>
      </c>
      <c r="B80" s="1115"/>
      <c r="C80" s="1115"/>
      <c r="D80" s="1115"/>
      <c r="E80" s="1115"/>
      <c r="F80" s="646">
        <v>189</v>
      </c>
      <c r="G80" s="640">
        <v>213</v>
      </c>
      <c r="H80" s="641">
        <f t="shared" si="5"/>
        <v>12.698412698412696</v>
      </c>
      <c r="I80" s="364"/>
      <c r="J80" s="383"/>
    </row>
    <row r="81" spans="1:32" s="33" customFormat="1" ht="15.65" customHeight="1" x14ac:dyDescent="0.3">
      <c r="A81" s="647"/>
      <c r="B81" s="647"/>
      <c r="C81" s="647"/>
      <c r="D81" s="647"/>
      <c r="E81" s="647"/>
      <c r="F81" s="646">
        <f>AVERAGE(F71:F80)</f>
        <v>243.52999999999997</v>
      </c>
      <c r="G81" s="640">
        <f>AVERAGE(G71:G80)</f>
        <v>274.39999999999998</v>
      </c>
      <c r="H81" s="643">
        <f t="shared" si="5"/>
        <v>12.676056338028161</v>
      </c>
      <c r="I81" s="383"/>
      <c r="J81" s="364"/>
    </row>
    <row r="82" spans="1:32" s="33" customFormat="1" ht="13" customHeight="1" x14ac:dyDescent="0.3"/>
    <row r="83" spans="1:32" s="33" customFormat="1" x14ac:dyDescent="0.3"/>
    <row r="84" spans="1:32" s="33" customFormat="1" ht="15.65" customHeight="1" thickBot="1" x14ac:dyDescent="0.35">
      <c r="A84" s="475" t="s">
        <v>257</v>
      </c>
      <c r="B84" s="364"/>
      <c r="C84" s="364"/>
      <c r="D84" s="364"/>
      <c r="E84" s="364"/>
      <c r="F84" s="364"/>
      <c r="G84" s="364"/>
      <c r="H84" s="364"/>
      <c r="I84" s="364"/>
      <c r="J84" s="364"/>
      <c r="K84" s="364"/>
      <c r="L84" s="364"/>
      <c r="M84" s="364"/>
      <c r="N84" s="364"/>
      <c r="O84" s="364"/>
      <c r="P84" s="364"/>
      <c r="Q84" s="364"/>
      <c r="R84" s="364"/>
      <c r="S84" s="364"/>
      <c r="T84" s="364"/>
      <c r="U84" s="364"/>
      <c r="V84" s="364"/>
      <c r="W84" s="364"/>
      <c r="X84" s="364"/>
      <c r="Y84" s="364"/>
      <c r="Z84" s="364"/>
      <c r="AA84" s="364"/>
    </row>
    <row r="85" spans="1:32" x14ac:dyDescent="0.3">
      <c r="A85" s="1116" t="s">
        <v>12</v>
      </c>
      <c r="B85" s="1117"/>
      <c r="C85" s="1054" t="s">
        <v>244</v>
      </c>
      <c r="D85" s="1055"/>
      <c r="E85" s="1054" t="s">
        <v>244</v>
      </c>
      <c r="F85" s="1055"/>
      <c r="G85" s="1054" t="s">
        <v>244</v>
      </c>
      <c r="H85" s="1055"/>
      <c r="I85" s="1054" t="s">
        <v>244</v>
      </c>
      <c r="J85" s="1055"/>
      <c r="K85" s="1054" t="s">
        <v>244</v>
      </c>
      <c r="L85" s="1055"/>
      <c r="M85" s="1054" t="s">
        <v>244</v>
      </c>
      <c r="N85" s="1055"/>
      <c r="O85" s="1054" t="s">
        <v>244</v>
      </c>
      <c r="P85" s="1055"/>
      <c r="Q85" s="1054" t="s">
        <v>244</v>
      </c>
      <c r="R85" s="1055"/>
      <c r="S85" s="1054" t="s">
        <v>244</v>
      </c>
      <c r="T85" s="1055"/>
      <c r="U85" s="1054" t="s">
        <v>244</v>
      </c>
      <c r="V85" s="1055"/>
      <c r="W85" s="1054" t="s">
        <v>244</v>
      </c>
      <c r="X85" s="1055"/>
      <c r="Y85" s="1054" t="s">
        <v>244</v>
      </c>
      <c r="Z85" s="1055"/>
      <c r="AA85" s="451" t="s">
        <v>244</v>
      </c>
    </row>
    <row r="86" spans="1:32" ht="14.5" customHeight="1" x14ac:dyDescent="0.3">
      <c r="A86" s="1118" t="s">
        <v>13</v>
      </c>
      <c r="B86" s="1119"/>
      <c r="C86" s="1062" t="s">
        <v>89</v>
      </c>
      <c r="D86" s="1063"/>
      <c r="E86" s="1062" t="s">
        <v>49</v>
      </c>
      <c r="F86" s="1063"/>
      <c r="G86" s="1062" t="s">
        <v>50</v>
      </c>
      <c r="H86" s="1063"/>
      <c r="I86" s="1060" t="s">
        <v>51</v>
      </c>
      <c r="J86" s="1061"/>
      <c r="K86" s="1062" t="s">
        <v>52</v>
      </c>
      <c r="L86" s="1063"/>
      <c r="M86" s="1062" t="s">
        <v>53</v>
      </c>
      <c r="N86" s="1063"/>
      <c r="O86" s="1062" t="s">
        <v>54</v>
      </c>
      <c r="P86" s="1063"/>
      <c r="Q86" s="1060" t="s">
        <v>81</v>
      </c>
      <c r="R86" s="1060"/>
      <c r="S86" s="1062" t="s">
        <v>90</v>
      </c>
      <c r="T86" s="1063"/>
      <c r="U86" s="1062" t="s">
        <v>91</v>
      </c>
      <c r="V86" s="1063"/>
      <c r="W86" s="1062" t="s">
        <v>92</v>
      </c>
      <c r="X86" s="1063"/>
      <c r="Y86" s="1062" t="s">
        <v>93</v>
      </c>
      <c r="Z86" s="1060"/>
      <c r="AA86" s="452" t="s">
        <v>36</v>
      </c>
    </row>
    <row r="87" spans="1:32" x14ac:dyDescent="0.3">
      <c r="A87" s="1120" t="s">
        <v>32</v>
      </c>
      <c r="B87" s="1121"/>
      <c r="C87" s="453"/>
      <c r="D87" s="454" t="s">
        <v>24</v>
      </c>
      <c r="E87" s="453"/>
      <c r="F87" s="454" t="s">
        <v>24</v>
      </c>
      <c r="G87" s="453"/>
      <c r="H87" s="454" t="s">
        <v>24</v>
      </c>
      <c r="I87" s="456"/>
      <c r="J87" s="456" t="s">
        <v>24</v>
      </c>
      <c r="K87" s="453"/>
      <c r="L87" s="454" t="s">
        <v>24</v>
      </c>
      <c r="M87" s="453"/>
      <c r="N87" s="454" t="s">
        <v>24</v>
      </c>
      <c r="O87" s="455"/>
      <c r="P87" s="454" t="s">
        <v>24</v>
      </c>
      <c r="Q87" s="456"/>
      <c r="R87" s="456" t="s">
        <v>24</v>
      </c>
      <c r="S87" s="455"/>
      <c r="T87" s="454" t="s">
        <v>24</v>
      </c>
      <c r="U87" s="455"/>
      <c r="V87" s="454" t="s">
        <v>24</v>
      </c>
      <c r="W87" s="455"/>
      <c r="X87" s="454" t="s">
        <v>24</v>
      </c>
      <c r="Y87" s="455"/>
      <c r="Z87" s="456" t="s">
        <v>24</v>
      </c>
      <c r="AA87" s="457" t="s">
        <v>24</v>
      </c>
    </row>
    <row r="88" spans="1:32" ht="65.150000000000006" customHeight="1" x14ac:dyDescent="0.3">
      <c r="A88" s="470" t="s">
        <v>25</v>
      </c>
      <c r="B88" s="470" t="s">
        <v>55</v>
      </c>
      <c r="C88" s="458" t="s">
        <v>56</v>
      </c>
      <c r="D88" s="459" t="s">
        <v>28</v>
      </c>
      <c r="E88" s="458" t="s">
        <v>56</v>
      </c>
      <c r="F88" s="459" t="s">
        <v>28</v>
      </c>
      <c r="G88" s="460" t="s">
        <v>56</v>
      </c>
      <c r="H88" s="459" t="s">
        <v>28</v>
      </c>
      <c r="I88" s="458" t="s">
        <v>56</v>
      </c>
      <c r="J88" s="459" t="s">
        <v>28</v>
      </c>
      <c r="K88" s="458" t="s">
        <v>56</v>
      </c>
      <c r="L88" s="459" t="s">
        <v>28</v>
      </c>
      <c r="M88" s="458" t="s">
        <v>56</v>
      </c>
      <c r="N88" s="459" t="s">
        <v>28</v>
      </c>
      <c r="O88" s="458" t="s">
        <v>56</v>
      </c>
      <c r="P88" s="459" t="s">
        <v>28</v>
      </c>
      <c r="Q88" s="460" t="s">
        <v>56</v>
      </c>
      <c r="R88" s="459" t="s">
        <v>28</v>
      </c>
      <c r="S88" s="458" t="s">
        <v>56</v>
      </c>
      <c r="T88" s="459" t="s">
        <v>28</v>
      </c>
      <c r="U88" s="458" t="s">
        <v>56</v>
      </c>
      <c r="V88" s="459" t="s">
        <v>28</v>
      </c>
      <c r="W88" s="458" t="s">
        <v>56</v>
      </c>
      <c r="X88" s="459" t="s">
        <v>28</v>
      </c>
      <c r="Y88" s="458" t="s">
        <v>56</v>
      </c>
      <c r="Z88" s="459" t="s">
        <v>28</v>
      </c>
      <c r="AA88" s="459" t="s">
        <v>28</v>
      </c>
    </row>
    <row r="89" spans="1:32" x14ac:dyDescent="0.3">
      <c r="A89" s="471" t="s">
        <v>29</v>
      </c>
      <c r="B89" s="471" t="s">
        <v>57</v>
      </c>
      <c r="C89" s="462">
        <v>1</v>
      </c>
      <c r="D89" s="463">
        <v>2</v>
      </c>
      <c r="E89" s="462">
        <v>3</v>
      </c>
      <c r="F89" s="463">
        <v>4</v>
      </c>
      <c r="G89" s="464">
        <v>5</v>
      </c>
      <c r="H89" s="472">
        <v>6</v>
      </c>
      <c r="I89" s="462">
        <v>7</v>
      </c>
      <c r="J89" s="463">
        <v>8</v>
      </c>
      <c r="K89" s="462">
        <v>9</v>
      </c>
      <c r="L89" s="463">
        <v>10</v>
      </c>
      <c r="M89" s="462">
        <v>11</v>
      </c>
      <c r="N89" s="463">
        <v>12</v>
      </c>
      <c r="O89" s="464">
        <v>13</v>
      </c>
      <c r="P89" s="465">
        <v>14</v>
      </c>
      <c r="Q89" s="462">
        <v>15</v>
      </c>
      <c r="R89" s="463">
        <v>16</v>
      </c>
      <c r="S89" s="462">
        <v>17</v>
      </c>
      <c r="T89" s="463">
        <v>18</v>
      </c>
      <c r="U89" s="462">
        <v>19</v>
      </c>
      <c r="V89" s="463">
        <v>20</v>
      </c>
      <c r="W89" s="462">
        <v>21</v>
      </c>
      <c r="X89" s="463">
        <v>22</v>
      </c>
      <c r="Y89" s="462">
        <v>23</v>
      </c>
      <c r="Z89" s="465">
        <v>24</v>
      </c>
      <c r="AA89" s="466">
        <v>25</v>
      </c>
    </row>
    <row r="90" spans="1:32" ht="31.4" customHeight="1" x14ac:dyDescent="0.3">
      <c r="A90" s="473" t="s">
        <v>219</v>
      </c>
      <c r="B90" s="474" t="s">
        <v>70</v>
      </c>
      <c r="C90" s="467">
        <f>Y60+11</f>
        <v>535</v>
      </c>
      <c r="D90" s="468">
        <f>C90*184.73</f>
        <v>98830.549999999988</v>
      </c>
      <c r="E90" s="467">
        <f>C90+11</f>
        <v>546</v>
      </c>
      <c r="F90" s="468">
        <f>E90*(184.73*1.1268)</f>
        <v>113651.95514399999</v>
      </c>
      <c r="G90" s="467">
        <f>E90+11</f>
        <v>557</v>
      </c>
      <c r="H90" s="468">
        <f>G90*(184.73*1.1268)</f>
        <v>115941.646548</v>
      </c>
      <c r="I90" s="467">
        <f>G90+11</f>
        <v>568</v>
      </c>
      <c r="J90" s="468">
        <f>I90*(184.73*1.1268)</f>
        <v>118231.337952</v>
      </c>
      <c r="K90" s="467">
        <f>I90+11</f>
        <v>579</v>
      </c>
      <c r="L90" s="468">
        <f>K90*(184.73*1.1268)</f>
        <v>120521.029356</v>
      </c>
      <c r="M90" s="467">
        <f>K90+11</f>
        <v>590</v>
      </c>
      <c r="N90" s="468">
        <f>M90*(184.73*1.1268)</f>
        <v>122810.72076</v>
      </c>
      <c r="O90" s="467">
        <f>M90+11</f>
        <v>601</v>
      </c>
      <c r="P90" s="468">
        <f>O90*(184.73*1.1268)</f>
        <v>125100.41216399999</v>
      </c>
      <c r="Q90" s="467">
        <f>O90+11</f>
        <v>612</v>
      </c>
      <c r="R90" s="468">
        <f>Q90*(184.73*1.1268)</f>
        <v>127390.10356799999</v>
      </c>
      <c r="S90" s="467">
        <f>Q90+11</f>
        <v>623</v>
      </c>
      <c r="T90" s="468">
        <f>S90*(184.73*1.1268)</f>
        <v>129679.794972</v>
      </c>
      <c r="U90" s="467">
        <f>S90+11</f>
        <v>634</v>
      </c>
      <c r="V90" s="468">
        <f>U90*(184.73*1.1268)</f>
        <v>131969.48637599999</v>
      </c>
      <c r="W90" s="467">
        <f>U90+11</f>
        <v>645</v>
      </c>
      <c r="X90" s="468">
        <f>W90*(184.73*1.1268)</f>
        <v>134259.17778</v>
      </c>
      <c r="Y90" s="467">
        <f>W90+11</f>
        <v>656</v>
      </c>
      <c r="Z90" s="468">
        <f>Y90*(184.73*1.1268)</f>
        <v>136548.86918400001</v>
      </c>
      <c r="AA90" s="636">
        <f>F90+H90+J90+L90+N90+P90+R90+T90+V90+X90+Z90+D90</f>
        <v>1474935.0838039999</v>
      </c>
      <c r="AC90" s="427"/>
      <c r="AD90" s="98"/>
    </row>
    <row r="91" spans="1:32" s="364" customFormat="1" ht="34.4" customHeight="1" x14ac:dyDescent="0.3">
      <c r="A91" s="473" t="s">
        <v>223</v>
      </c>
      <c r="B91" s="474" t="s">
        <v>80</v>
      </c>
      <c r="C91" s="467">
        <f>Y61+1</f>
        <v>152</v>
      </c>
      <c r="D91" s="468">
        <f>C91*160</f>
        <v>24320</v>
      </c>
      <c r="E91" s="467">
        <f>C91+1</f>
        <v>153</v>
      </c>
      <c r="F91" s="468">
        <f>E91*160</f>
        <v>24480</v>
      </c>
      <c r="G91" s="467">
        <f>E91+1</f>
        <v>154</v>
      </c>
      <c r="H91" s="468">
        <f>G91*160</f>
        <v>24640</v>
      </c>
      <c r="I91" s="467">
        <f>G91+1</f>
        <v>155</v>
      </c>
      <c r="J91" s="468">
        <f>I91*160</f>
        <v>24800</v>
      </c>
      <c r="K91" s="467">
        <f>I91+1</f>
        <v>156</v>
      </c>
      <c r="L91" s="468">
        <f>K91*160</f>
        <v>24960</v>
      </c>
      <c r="M91" s="467">
        <f>K91+1</f>
        <v>157</v>
      </c>
      <c r="N91" s="468">
        <f>M91*160</f>
        <v>25120</v>
      </c>
      <c r="O91" s="467">
        <f>M91+1</f>
        <v>158</v>
      </c>
      <c r="P91" s="468">
        <f>O91*160</f>
        <v>25280</v>
      </c>
      <c r="Q91" s="467">
        <f>O91+1</f>
        <v>159</v>
      </c>
      <c r="R91" s="468">
        <f>Q91*160</f>
        <v>25440</v>
      </c>
      <c r="S91" s="467">
        <f>Q91+1</f>
        <v>160</v>
      </c>
      <c r="T91" s="468">
        <f>S91*160</f>
        <v>25600</v>
      </c>
      <c r="U91" s="467">
        <f>S91+1</f>
        <v>161</v>
      </c>
      <c r="V91" s="468">
        <f>U91*160</f>
        <v>25760</v>
      </c>
      <c r="W91" s="467">
        <f>U91+1</f>
        <v>162</v>
      </c>
      <c r="X91" s="468">
        <f>W91*160</f>
        <v>25920</v>
      </c>
      <c r="Y91" s="467">
        <f>W91+1</f>
        <v>163</v>
      </c>
      <c r="Z91" s="468">
        <f>Y91*160</f>
        <v>26080</v>
      </c>
      <c r="AA91" s="636">
        <f t="shared" ref="AA91:AA93" si="6">F91+H91+J91+L91+N91+P91+R91+T91+V91+X91+Z91+D91</f>
        <v>302400</v>
      </c>
      <c r="AD91" s="98"/>
      <c r="AE91" s="3"/>
      <c r="AF91" s="3"/>
    </row>
    <row r="92" spans="1:32" s="364" customFormat="1" ht="30" customHeight="1" x14ac:dyDescent="0.3">
      <c r="A92" s="473" t="s">
        <v>224</v>
      </c>
      <c r="B92" s="474" t="s">
        <v>80</v>
      </c>
      <c r="C92" s="467">
        <f>Y62+1</f>
        <v>103</v>
      </c>
      <c r="D92" s="468">
        <f>C92*413.43</f>
        <v>42583.29</v>
      </c>
      <c r="E92" s="467">
        <f>C92+1</f>
        <v>104</v>
      </c>
      <c r="F92" s="468">
        <f>E92*413.43</f>
        <v>42996.72</v>
      </c>
      <c r="G92" s="467">
        <f>E92+1</f>
        <v>105</v>
      </c>
      <c r="H92" s="468">
        <f>G92*413.43</f>
        <v>43410.15</v>
      </c>
      <c r="I92" s="467">
        <f>G92+1</f>
        <v>106</v>
      </c>
      <c r="J92" s="468">
        <f>I92*413.43</f>
        <v>43823.58</v>
      </c>
      <c r="K92" s="467">
        <f>I92+1</f>
        <v>107</v>
      </c>
      <c r="L92" s="468">
        <f>K92*413.43</f>
        <v>44237.01</v>
      </c>
      <c r="M92" s="467">
        <f>K92+1</f>
        <v>108</v>
      </c>
      <c r="N92" s="468">
        <f>M92*413.43</f>
        <v>44650.44</v>
      </c>
      <c r="O92" s="467">
        <f>M92+1</f>
        <v>109</v>
      </c>
      <c r="P92" s="468">
        <f>O92*413.43</f>
        <v>45063.87</v>
      </c>
      <c r="Q92" s="467">
        <f>O92+1</f>
        <v>110</v>
      </c>
      <c r="R92" s="468">
        <f>Q92*413.43</f>
        <v>45477.3</v>
      </c>
      <c r="S92" s="467">
        <f>Q92+1</f>
        <v>111</v>
      </c>
      <c r="T92" s="468">
        <f>S92*413.43</f>
        <v>45890.73</v>
      </c>
      <c r="U92" s="467">
        <f>S92+1</f>
        <v>112</v>
      </c>
      <c r="V92" s="468">
        <f>U92*413.43</f>
        <v>46304.160000000003</v>
      </c>
      <c r="W92" s="467">
        <f>U92+1</f>
        <v>113</v>
      </c>
      <c r="X92" s="468">
        <f>W92*413.43</f>
        <v>46717.590000000004</v>
      </c>
      <c r="Y92" s="467">
        <f>W92+1</f>
        <v>114</v>
      </c>
      <c r="Z92" s="468">
        <f>Y92*413.43</f>
        <v>47131.020000000004</v>
      </c>
      <c r="AA92" s="636">
        <f t="shared" si="6"/>
        <v>538285.86</v>
      </c>
      <c r="AD92" s="98"/>
      <c r="AE92" s="3"/>
      <c r="AF92" s="3"/>
    </row>
    <row r="93" spans="1:32" s="364" customFormat="1" ht="40.4" customHeight="1" x14ac:dyDescent="0.3">
      <c r="A93" s="473" t="s">
        <v>225</v>
      </c>
      <c r="B93" s="474" t="s">
        <v>70</v>
      </c>
      <c r="C93" s="467">
        <f>Y63+1</f>
        <v>74</v>
      </c>
      <c r="D93" s="468">
        <f>C93*284.37</f>
        <v>21043.38</v>
      </c>
      <c r="E93" s="467">
        <f>C93+1</f>
        <v>75</v>
      </c>
      <c r="F93" s="468">
        <f>E93*284.37</f>
        <v>21327.75</v>
      </c>
      <c r="G93" s="467">
        <f>E93+1</f>
        <v>76</v>
      </c>
      <c r="H93" s="468">
        <f>G93*284.37</f>
        <v>21612.12</v>
      </c>
      <c r="I93" s="467">
        <f>G93+1</f>
        <v>77</v>
      </c>
      <c r="J93" s="468">
        <f>I93*284.37</f>
        <v>21896.49</v>
      </c>
      <c r="K93" s="467">
        <f>I93+1</f>
        <v>78</v>
      </c>
      <c r="L93" s="468">
        <f>K93*284.37</f>
        <v>22180.86</v>
      </c>
      <c r="M93" s="467">
        <f>K93+1</f>
        <v>79</v>
      </c>
      <c r="N93" s="468">
        <f>M93*284.37</f>
        <v>22465.23</v>
      </c>
      <c r="O93" s="467">
        <f>M93+1</f>
        <v>80</v>
      </c>
      <c r="P93" s="468">
        <f>O93*284.37</f>
        <v>22749.599999999999</v>
      </c>
      <c r="Q93" s="467">
        <f>O93+1</f>
        <v>81</v>
      </c>
      <c r="R93" s="468">
        <f>Q93*284.37</f>
        <v>23033.97</v>
      </c>
      <c r="S93" s="467">
        <f>Q93+1</f>
        <v>82</v>
      </c>
      <c r="T93" s="468">
        <f>S93*284.37</f>
        <v>23318.34</v>
      </c>
      <c r="U93" s="467">
        <f>S93+1</f>
        <v>83</v>
      </c>
      <c r="V93" s="468">
        <f>U93*284.37</f>
        <v>23602.71</v>
      </c>
      <c r="W93" s="467">
        <f>U93+1</f>
        <v>84</v>
      </c>
      <c r="X93" s="468">
        <f>W93*284.37</f>
        <v>23887.08</v>
      </c>
      <c r="Y93" s="467">
        <f>W93+1</f>
        <v>85</v>
      </c>
      <c r="Z93" s="468">
        <f>Y93*284.37</f>
        <v>24171.45</v>
      </c>
      <c r="AA93" s="636">
        <f t="shared" si="6"/>
        <v>271288.98</v>
      </c>
      <c r="AD93" s="98"/>
      <c r="AE93" s="3"/>
      <c r="AF93" s="3"/>
    </row>
    <row r="94" spans="1:32" ht="30.65" customHeight="1" x14ac:dyDescent="0.3">
      <c r="A94" s="1103" t="s">
        <v>333</v>
      </c>
      <c r="B94" s="1103"/>
      <c r="C94" s="1103"/>
      <c r="D94" s="1103"/>
      <c r="E94" s="1103"/>
      <c r="F94" s="1103"/>
      <c r="G94" s="1103"/>
      <c r="H94" s="1103"/>
      <c r="I94" s="1103"/>
      <c r="J94" s="1103"/>
      <c r="K94" s="1103"/>
      <c r="L94" s="1103"/>
      <c r="M94" s="1103"/>
      <c r="N94" s="1103"/>
      <c r="O94" s="1103"/>
      <c r="P94" s="1103"/>
      <c r="Q94" s="1103"/>
      <c r="R94" s="1103"/>
      <c r="S94" s="1103"/>
      <c r="T94" s="1103"/>
      <c r="U94" s="1103"/>
      <c r="V94" s="1103"/>
      <c r="W94" s="1103"/>
      <c r="X94" s="1103"/>
      <c r="Y94" s="644"/>
      <c r="Z94" s="490"/>
      <c r="AA94" s="637">
        <f>ROUND(SUM(AA90:AA93),0)</f>
        <v>2586910</v>
      </c>
    </row>
    <row r="95" spans="1:32" ht="18" customHeight="1" x14ac:dyDescent="0.3">
      <c r="A95" s="1103" t="s">
        <v>306</v>
      </c>
      <c r="B95" s="1103"/>
      <c r="C95" s="1103"/>
      <c r="D95" s="1103"/>
      <c r="E95" s="1103"/>
      <c r="F95" s="1103"/>
      <c r="G95" s="1103"/>
      <c r="H95" s="1103"/>
      <c r="I95" s="1103"/>
      <c r="J95" s="1103"/>
      <c r="K95" s="1103"/>
      <c r="L95" s="1103"/>
      <c r="M95" s="1103"/>
      <c r="N95" s="1103"/>
      <c r="O95" s="1103"/>
      <c r="P95" s="1103"/>
      <c r="Q95" s="1103"/>
      <c r="R95" s="1103"/>
      <c r="S95" s="1103"/>
      <c r="T95" s="1103"/>
      <c r="U95" s="1103"/>
      <c r="V95" s="1103"/>
      <c r="W95" s="1103"/>
      <c r="X95" s="1103"/>
      <c r="AA95" s="6"/>
      <c r="AB95" s="6"/>
    </row>
    <row r="96" spans="1:32" ht="18" customHeight="1" x14ac:dyDescent="0.3">
      <c r="A96" s="1103" t="s">
        <v>305</v>
      </c>
      <c r="B96" s="1103"/>
      <c r="C96" s="1103"/>
      <c r="D96" s="1103"/>
      <c r="E96" s="1103"/>
      <c r="F96" s="1103"/>
      <c r="G96" s="1103"/>
      <c r="H96" s="1103"/>
      <c r="I96" s="1103"/>
      <c r="J96" s="1103"/>
      <c r="K96" s="1103"/>
      <c r="L96" s="1103"/>
      <c r="M96" s="1103"/>
      <c r="N96" s="1103"/>
      <c r="O96" s="1103"/>
      <c r="P96" s="1103"/>
      <c r="Q96" s="1103"/>
      <c r="R96" s="1103"/>
      <c r="S96" s="1103"/>
      <c r="T96" s="1103"/>
      <c r="U96" s="1103"/>
      <c r="V96" s="1103"/>
      <c r="W96" s="1103"/>
      <c r="X96" s="1103"/>
    </row>
    <row r="97" spans="1:30" ht="18" customHeight="1" x14ac:dyDescent="0.3">
      <c r="A97" s="1103" t="s">
        <v>334</v>
      </c>
      <c r="B97" s="1103"/>
      <c r="C97" s="1103"/>
      <c r="D97" s="1103"/>
      <c r="E97" s="1103"/>
      <c r="F97" s="1103"/>
      <c r="G97" s="1103"/>
      <c r="H97" s="1103"/>
      <c r="I97" s="1103"/>
      <c r="J97" s="1103"/>
      <c r="K97" s="1103"/>
      <c r="L97" s="1103"/>
      <c r="M97" s="1103"/>
      <c r="N97" s="1103"/>
      <c r="O97" s="1103"/>
      <c r="P97" s="1103"/>
      <c r="Q97" s="1103"/>
      <c r="R97" s="1103"/>
      <c r="S97" s="1103"/>
      <c r="T97" s="1103"/>
      <c r="U97" s="1103"/>
      <c r="V97" s="1103"/>
      <c r="W97" s="1103"/>
      <c r="X97" s="1103"/>
    </row>
    <row r="100" spans="1:30" x14ac:dyDescent="0.3">
      <c r="A100" s="70" t="s">
        <v>174</v>
      </c>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row>
    <row r="101" spans="1:30" x14ac:dyDescent="0.3">
      <c r="A101" s="1107" t="s">
        <v>38</v>
      </c>
      <c r="B101" s="1107"/>
      <c r="C101" s="1106" t="s">
        <v>82</v>
      </c>
      <c r="D101" s="1106"/>
      <c r="E101" s="1106" t="s">
        <v>82</v>
      </c>
      <c r="F101" s="1106"/>
      <c r="G101" s="1106" t="s">
        <v>82</v>
      </c>
      <c r="H101" s="1106"/>
      <c r="I101" s="1106" t="s">
        <v>82</v>
      </c>
      <c r="J101" s="1106"/>
      <c r="K101" s="1106" t="s">
        <v>82</v>
      </c>
      <c r="L101" s="1106"/>
      <c r="M101" s="1106" t="s">
        <v>82</v>
      </c>
      <c r="N101" s="1106"/>
      <c r="O101" s="1106" t="s">
        <v>82</v>
      </c>
      <c r="P101" s="1106"/>
      <c r="Q101" s="1106" t="s">
        <v>82</v>
      </c>
      <c r="R101" s="1106"/>
      <c r="S101" s="1106" t="s">
        <v>82</v>
      </c>
      <c r="T101" s="1106"/>
      <c r="U101" s="1106" t="s">
        <v>82</v>
      </c>
      <c r="V101" s="1106"/>
      <c r="W101" s="1106" t="s">
        <v>82</v>
      </c>
      <c r="X101" s="1106"/>
      <c r="Y101" s="1106" t="s">
        <v>82</v>
      </c>
      <c r="Z101" s="1106"/>
      <c r="AA101" s="266" t="s">
        <v>82</v>
      </c>
      <c r="AB101" s="267"/>
      <c r="AC101" s="33"/>
      <c r="AD101" s="33"/>
    </row>
    <row r="102" spans="1:30" x14ac:dyDescent="0.3">
      <c r="A102" s="1107"/>
      <c r="B102" s="1107"/>
      <c r="C102" s="1108" t="s">
        <v>87</v>
      </c>
      <c r="D102" s="1108"/>
      <c r="E102" s="1108" t="s">
        <v>88</v>
      </c>
      <c r="F102" s="1108"/>
      <c r="G102" s="1108" t="s">
        <v>14</v>
      </c>
      <c r="H102" s="1108"/>
      <c r="I102" s="1108" t="s">
        <v>15</v>
      </c>
      <c r="J102" s="1108"/>
      <c r="K102" s="1108" t="s">
        <v>16</v>
      </c>
      <c r="L102" s="1108"/>
      <c r="M102" s="1108" t="s">
        <v>17</v>
      </c>
      <c r="N102" s="1108"/>
      <c r="O102" s="1108" t="s">
        <v>18</v>
      </c>
      <c r="P102" s="1108"/>
      <c r="Q102" s="1108" t="s">
        <v>19</v>
      </c>
      <c r="R102" s="1108"/>
      <c r="S102" s="1106" t="s">
        <v>20</v>
      </c>
      <c r="T102" s="1106"/>
      <c r="U102" s="1106" t="s">
        <v>21</v>
      </c>
      <c r="V102" s="1106"/>
      <c r="W102" s="1106" t="s">
        <v>22</v>
      </c>
      <c r="X102" s="1106"/>
      <c r="Y102" s="1106" t="s">
        <v>23</v>
      </c>
      <c r="Z102" s="1106"/>
      <c r="AA102" s="268" t="s">
        <v>36</v>
      </c>
      <c r="AB102" s="267"/>
      <c r="AC102" s="33"/>
      <c r="AD102" s="33"/>
    </row>
    <row r="103" spans="1:30" x14ac:dyDescent="0.3">
      <c r="A103" s="1107"/>
      <c r="B103" s="1107"/>
      <c r="C103" s="264"/>
      <c r="D103" s="164" t="s">
        <v>24</v>
      </c>
      <c r="E103" s="264"/>
      <c r="F103" s="164" t="s">
        <v>24</v>
      </c>
      <c r="G103" s="264"/>
      <c r="H103" s="164" t="s">
        <v>24</v>
      </c>
      <c r="I103" s="264"/>
      <c r="J103" s="164" t="s">
        <v>24</v>
      </c>
      <c r="K103" s="264"/>
      <c r="L103" s="164" t="s">
        <v>24</v>
      </c>
      <c r="M103" s="264"/>
      <c r="N103" s="164" t="s">
        <v>24</v>
      </c>
      <c r="O103" s="264"/>
      <c r="P103" s="164" t="s">
        <v>24</v>
      </c>
      <c r="Q103" s="264"/>
      <c r="R103" s="164" t="s">
        <v>24</v>
      </c>
      <c r="S103" s="269"/>
      <c r="T103" s="270" t="s">
        <v>24</v>
      </c>
      <c r="U103" s="269"/>
      <c r="V103" s="270" t="s">
        <v>24</v>
      </c>
      <c r="W103" s="269"/>
      <c r="X103" s="270" t="s">
        <v>24</v>
      </c>
      <c r="Y103" s="269"/>
      <c r="Z103" s="270" t="s">
        <v>24</v>
      </c>
      <c r="AA103" s="271" t="s">
        <v>24</v>
      </c>
      <c r="AB103" s="267"/>
      <c r="AC103" s="33"/>
      <c r="AD103" s="33"/>
    </row>
    <row r="104" spans="1:30" ht="52" x14ac:dyDescent="0.3">
      <c r="A104" s="1107"/>
      <c r="B104" s="1107"/>
      <c r="C104" s="247" t="s">
        <v>199</v>
      </c>
      <c r="D104" s="272" t="s">
        <v>27</v>
      </c>
      <c r="E104" s="247" t="s">
        <v>199</v>
      </c>
      <c r="F104" s="272" t="s">
        <v>27</v>
      </c>
      <c r="G104" s="247" t="s">
        <v>199</v>
      </c>
      <c r="H104" s="272" t="s">
        <v>27</v>
      </c>
      <c r="I104" s="247" t="s">
        <v>199</v>
      </c>
      <c r="J104" s="272" t="s">
        <v>27</v>
      </c>
      <c r="K104" s="247" t="s">
        <v>199</v>
      </c>
      <c r="L104" s="272" t="s">
        <v>27</v>
      </c>
      <c r="M104" s="247" t="s">
        <v>199</v>
      </c>
      <c r="N104" s="272" t="s">
        <v>27</v>
      </c>
      <c r="O104" s="247" t="s">
        <v>199</v>
      </c>
      <c r="P104" s="272" t="s">
        <v>27</v>
      </c>
      <c r="Q104" s="247" t="s">
        <v>199</v>
      </c>
      <c r="R104" s="272" t="s">
        <v>27</v>
      </c>
      <c r="S104" s="273" t="s">
        <v>199</v>
      </c>
      <c r="T104" s="272" t="s">
        <v>27</v>
      </c>
      <c r="U104" s="273" t="s">
        <v>199</v>
      </c>
      <c r="V104" s="272" t="s">
        <v>27</v>
      </c>
      <c r="W104" s="273" t="s">
        <v>199</v>
      </c>
      <c r="X104" s="272" t="s">
        <v>27</v>
      </c>
      <c r="Y104" s="273" t="s">
        <v>199</v>
      </c>
      <c r="Z104" s="272" t="s">
        <v>27</v>
      </c>
      <c r="AA104" s="268" t="s">
        <v>27</v>
      </c>
      <c r="AB104" s="267"/>
      <c r="AC104" s="33"/>
      <c r="AD104" s="33"/>
    </row>
    <row r="105" spans="1:30" ht="14.5" thickBot="1" x14ac:dyDescent="0.35">
      <c r="A105" s="1110" t="s">
        <v>39</v>
      </c>
      <c r="B105" s="1110"/>
      <c r="C105" s="274">
        <v>1</v>
      </c>
      <c r="D105" s="275">
        <v>2</v>
      </c>
      <c r="E105" s="274">
        <v>3</v>
      </c>
      <c r="F105" s="275">
        <v>4</v>
      </c>
      <c r="G105" s="274">
        <v>5</v>
      </c>
      <c r="H105" s="275">
        <v>6</v>
      </c>
      <c r="I105" s="274">
        <v>7</v>
      </c>
      <c r="J105" s="275">
        <v>8</v>
      </c>
      <c r="K105" s="274">
        <v>9</v>
      </c>
      <c r="L105" s="275">
        <v>10</v>
      </c>
      <c r="M105" s="274">
        <v>11</v>
      </c>
      <c r="N105" s="275">
        <v>12</v>
      </c>
      <c r="O105" s="274">
        <v>13</v>
      </c>
      <c r="P105" s="275">
        <v>14</v>
      </c>
      <c r="Q105" s="274">
        <v>15</v>
      </c>
      <c r="R105" s="275">
        <v>16</v>
      </c>
      <c r="S105" s="276">
        <v>17</v>
      </c>
      <c r="T105" s="275">
        <v>18</v>
      </c>
      <c r="U105" s="276">
        <v>19</v>
      </c>
      <c r="V105" s="275">
        <v>20</v>
      </c>
      <c r="W105" s="276">
        <v>21</v>
      </c>
      <c r="X105" s="275">
        <v>22</v>
      </c>
      <c r="Y105" s="276">
        <v>23</v>
      </c>
      <c r="Z105" s="275">
        <v>24</v>
      </c>
      <c r="AA105" s="277">
        <v>25</v>
      </c>
      <c r="AB105" s="267"/>
      <c r="AC105" s="33"/>
      <c r="AD105" s="33"/>
    </row>
    <row r="106" spans="1:30" ht="14.5" customHeight="1" x14ac:dyDescent="0.3">
      <c r="A106" s="1111" t="s">
        <v>83</v>
      </c>
      <c r="B106" s="278" t="s">
        <v>64</v>
      </c>
      <c r="C106" s="279">
        <v>94.5</v>
      </c>
      <c r="D106" s="280">
        <v>1432.62</v>
      </c>
      <c r="E106" s="279">
        <v>35.92</v>
      </c>
      <c r="F106" s="280">
        <v>544.54999999999995</v>
      </c>
      <c r="G106" s="279">
        <v>62.67</v>
      </c>
      <c r="H106" s="280">
        <v>950.08</v>
      </c>
      <c r="I106" s="279">
        <v>57.67</v>
      </c>
      <c r="J106" s="280">
        <v>874.28</v>
      </c>
      <c r="K106" s="279">
        <v>31.25</v>
      </c>
      <c r="L106" s="280">
        <v>473.75</v>
      </c>
      <c r="M106" s="279">
        <v>27.5</v>
      </c>
      <c r="N106" s="280">
        <v>416.9</v>
      </c>
      <c r="O106" s="279">
        <v>33.25</v>
      </c>
      <c r="P106" s="280">
        <v>504.07</v>
      </c>
      <c r="Q106" s="279">
        <v>32.08</v>
      </c>
      <c r="R106" s="280">
        <v>486.33</v>
      </c>
      <c r="S106" s="279">
        <v>61.58</v>
      </c>
      <c r="T106" s="280">
        <v>933.55</v>
      </c>
      <c r="U106" s="279">
        <v>38.83</v>
      </c>
      <c r="V106" s="280">
        <v>588.66</v>
      </c>
      <c r="W106" s="279">
        <v>55.83</v>
      </c>
      <c r="X106" s="280">
        <v>846.38</v>
      </c>
      <c r="Y106" s="279">
        <v>39.17</v>
      </c>
      <c r="Z106" s="280">
        <v>593.82000000000005</v>
      </c>
      <c r="AA106" s="281">
        <f t="shared" ref="AA106:AA112" si="7">D106+F106+H106+J106+L106+N106+P106+R106+T106+V106+X106+Z106</f>
        <v>8644.99</v>
      </c>
      <c r="AB106" s="282" t="s">
        <v>200</v>
      </c>
      <c r="AC106" s="283"/>
      <c r="AD106" s="283"/>
    </row>
    <row r="107" spans="1:30" ht="35.15" customHeight="1" x14ac:dyDescent="0.3">
      <c r="A107" s="1112"/>
      <c r="B107" s="284" t="s">
        <v>169</v>
      </c>
      <c r="C107" s="285"/>
      <c r="D107" s="286">
        <v>0.82</v>
      </c>
      <c r="E107" s="285"/>
      <c r="F107" s="286"/>
      <c r="G107" s="285"/>
      <c r="H107" s="286"/>
      <c r="I107" s="285"/>
      <c r="J107" s="286">
        <v>2.54</v>
      </c>
      <c r="K107" s="285"/>
      <c r="L107" s="286"/>
      <c r="M107" s="285"/>
      <c r="N107" s="286"/>
      <c r="O107" s="285"/>
      <c r="P107" s="286"/>
      <c r="Q107" s="285"/>
      <c r="R107" s="286"/>
      <c r="S107" s="287"/>
      <c r="T107" s="286">
        <v>3.07</v>
      </c>
      <c r="U107" s="287"/>
      <c r="V107" s="286"/>
      <c r="W107" s="287"/>
      <c r="X107" s="286">
        <v>4.21</v>
      </c>
      <c r="Y107" s="287"/>
      <c r="Z107" s="286"/>
      <c r="AA107" s="288">
        <f t="shared" si="7"/>
        <v>10.64</v>
      </c>
      <c r="AB107" s="282" t="s">
        <v>200</v>
      </c>
      <c r="AC107" s="283"/>
      <c r="AD107" s="283"/>
    </row>
    <row r="108" spans="1:30" ht="24.65" customHeight="1" x14ac:dyDescent="0.3">
      <c r="A108" s="289" t="s">
        <v>170</v>
      </c>
      <c r="B108" s="284" t="s">
        <v>64</v>
      </c>
      <c r="C108" s="285">
        <v>19</v>
      </c>
      <c r="D108" s="286">
        <v>348.84</v>
      </c>
      <c r="E108" s="285"/>
      <c r="F108" s="286"/>
      <c r="G108" s="285"/>
      <c r="H108" s="286"/>
      <c r="I108" s="285"/>
      <c r="J108" s="286"/>
      <c r="K108" s="285"/>
      <c r="L108" s="286"/>
      <c r="M108" s="285"/>
      <c r="N108" s="286"/>
      <c r="O108" s="285">
        <v>2</v>
      </c>
      <c r="P108" s="286">
        <v>36.72</v>
      </c>
      <c r="Q108" s="285"/>
      <c r="R108" s="286"/>
      <c r="S108" s="285"/>
      <c r="T108" s="286"/>
      <c r="U108" s="287">
        <v>11</v>
      </c>
      <c r="V108" s="286">
        <v>201.96</v>
      </c>
      <c r="W108" s="287"/>
      <c r="X108" s="286"/>
      <c r="Y108" s="287"/>
      <c r="Z108" s="286"/>
      <c r="AA108" s="288">
        <f t="shared" si="7"/>
        <v>587.52</v>
      </c>
      <c r="AB108" s="282" t="s">
        <v>200</v>
      </c>
      <c r="AC108" s="283"/>
      <c r="AD108" s="283"/>
    </row>
    <row r="109" spans="1:30" ht="24.65" customHeight="1" x14ac:dyDescent="0.3">
      <c r="A109" s="289" t="s">
        <v>171</v>
      </c>
      <c r="B109" s="284" t="s">
        <v>64</v>
      </c>
      <c r="C109" s="287"/>
      <c r="D109" s="290"/>
      <c r="E109" s="287">
        <v>1</v>
      </c>
      <c r="F109" s="290">
        <v>23.65</v>
      </c>
      <c r="G109" s="287"/>
      <c r="H109" s="290"/>
      <c r="I109" s="287">
        <v>1</v>
      </c>
      <c r="J109" s="290">
        <v>23.65</v>
      </c>
      <c r="K109" s="287">
        <v>1</v>
      </c>
      <c r="L109" s="290">
        <v>23.65</v>
      </c>
      <c r="M109" s="287">
        <v>1</v>
      </c>
      <c r="N109" s="290">
        <v>23.65</v>
      </c>
      <c r="O109" s="287"/>
      <c r="P109" s="290"/>
      <c r="Q109" s="287"/>
      <c r="R109" s="290"/>
      <c r="S109" s="287"/>
      <c r="T109" s="290"/>
      <c r="U109" s="287">
        <v>1</v>
      </c>
      <c r="V109" s="290">
        <v>23.65</v>
      </c>
      <c r="W109" s="287"/>
      <c r="X109" s="290"/>
      <c r="Y109" s="287"/>
      <c r="Z109" s="290"/>
      <c r="AA109" s="288">
        <f t="shared" si="7"/>
        <v>118.25</v>
      </c>
      <c r="AB109" s="282" t="s">
        <v>200</v>
      </c>
      <c r="AC109" s="283"/>
      <c r="AD109" s="283"/>
    </row>
    <row r="110" spans="1:30" ht="15" customHeight="1" x14ac:dyDescent="0.3">
      <c r="A110" s="1112" t="s">
        <v>172</v>
      </c>
      <c r="B110" s="284" t="s">
        <v>79</v>
      </c>
      <c r="C110" s="287"/>
      <c r="D110" s="290"/>
      <c r="E110" s="287"/>
      <c r="F110" s="290"/>
      <c r="G110" s="287"/>
      <c r="H110" s="290"/>
      <c r="I110" s="287"/>
      <c r="J110" s="290"/>
      <c r="K110" s="285"/>
      <c r="L110" s="290"/>
      <c r="M110" s="285">
        <v>12</v>
      </c>
      <c r="N110" s="290">
        <v>542.04</v>
      </c>
      <c r="O110" s="285"/>
      <c r="P110" s="290"/>
      <c r="Q110" s="285"/>
      <c r="R110" s="290"/>
      <c r="S110" s="287"/>
      <c r="T110" s="290"/>
      <c r="U110" s="287"/>
      <c r="V110" s="290"/>
      <c r="W110" s="287"/>
      <c r="X110" s="290"/>
      <c r="Y110" s="287"/>
      <c r="Z110" s="290"/>
      <c r="AA110" s="288">
        <f t="shared" si="7"/>
        <v>542.04</v>
      </c>
      <c r="AB110" s="282" t="s">
        <v>200</v>
      </c>
      <c r="AC110" s="283"/>
      <c r="AD110" s="283"/>
    </row>
    <row r="111" spans="1:30" ht="32.15" customHeight="1" thickBot="1" x14ac:dyDescent="0.35">
      <c r="A111" s="1113"/>
      <c r="B111" s="291" t="s">
        <v>173</v>
      </c>
      <c r="C111" s="292"/>
      <c r="D111" s="293"/>
      <c r="E111" s="292"/>
      <c r="F111" s="293"/>
      <c r="G111" s="292"/>
      <c r="H111" s="293"/>
      <c r="I111" s="292"/>
      <c r="J111" s="293"/>
      <c r="K111" s="292"/>
      <c r="L111" s="293"/>
      <c r="M111" s="292">
        <v>2</v>
      </c>
      <c r="N111" s="293">
        <v>56.64</v>
      </c>
      <c r="O111" s="292"/>
      <c r="P111" s="293"/>
      <c r="Q111" s="292"/>
      <c r="R111" s="293"/>
      <c r="S111" s="292"/>
      <c r="T111" s="293"/>
      <c r="U111" s="292"/>
      <c r="V111" s="293"/>
      <c r="W111" s="292"/>
      <c r="X111" s="293"/>
      <c r="Y111" s="292"/>
      <c r="Z111" s="293"/>
      <c r="AA111" s="294">
        <f t="shared" si="7"/>
        <v>56.64</v>
      </c>
      <c r="AB111" s="282" t="s">
        <v>200</v>
      </c>
      <c r="AC111" s="283"/>
      <c r="AD111" s="283"/>
    </row>
    <row r="112" spans="1:30" ht="24.65" customHeight="1" thickBot="1" x14ac:dyDescent="0.35">
      <c r="A112" s="295" t="s">
        <v>180</v>
      </c>
      <c r="B112" s="296" t="s">
        <v>70</v>
      </c>
      <c r="C112" s="235">
        <v>33</v>
      </c>
      <c r="D112" s="236">
        <v>11084.2</v>
      </c>
      <c r="E112" s="237">
        <v>36</v>
      </c>
      <c r="F112" s="236">
        <v>13378.26</v>
      </c>
      <c r="G112" s="237">
        <v>38</v>
      </c>
      <c r="H112" s="236">
        <v>14922.86</v>
      </c>
      <c r="I112" s="237">
        <v>41</v>
      </c>
      <c r="J112" s="236">
        <v>15359.09</v>
      </c>
      <c r="K112" s="237">
        <v>46</v>
      </c>
      <c r="L112" s="236">
        <v>16443.34</v>
      </c>
      <c r="M112" s="237">
        <v>44</v>
      </c>
      <c r="N112" s="236">
        <v>16585.189999999999</v>
      </c>
      <c r="O112" s="237">
        <v>48</v>
      </c>
      <c r="P112" s="236">
        <v>18761.48</v>
      </c>
      <c r="Q112" s="237">
        <v>50</v>
      </c>
      <c r="R112" s="236">
        <v>19920.96</v>
      </c>
      <c r="S112" s="237">
        <v>56</v>
      </c>
      <c r="T112" s="236">
        <v>21712.560000000001</v>
      </c>
      <c r="U112" s="237">
        <v>56</v>
      </c>
      <c r="V112" s="236">
        <v>22409.94</v>
      </c>
      <c r="W112" s="237">
        <v>58</v>
      </c>
      <c r="X112" s="236">
        <v>22923.54</v>
      </c>
      <c r="Y112" s="237">
        <v>60</v>
      </c>
      <c r="Z112" s="236">
        <v>22946.02</v>
      </c>
      <c r="AA112" s="297">
        <f t="shared" si="7"/>
        <v>216447.44</v>
      </c>
      <c r="AB112" s="282" t="s">
        <v>202</v>
      </c>
      <c r="AC112" s="283"/>
      <c r="AD112" s="283"/>
    </row>
    <row r="113" spans="1:31" ht="21.65" customHeight="1" x14ac:dyDescent="0.3">
      <c r="A113" s="1109"/>
      <c r="B113" s="1109"/>
      <c r="C113" s="260"/>
      <c r="E113" s="260"/>
      <c r="G113" s="260"/>
      <c r="I113" s="260"/>
      <c r="K113" s="260"/>
      <c r="M113" s="260"/>
      <c r="O113" s="260"/>
      <c r="Q113" s="260"/>
      <c r="S113" s="260"/>
      <c r="U113" s="260"/>
      <c r="W113" s="260"/>
      <c r="Y113" s="260"/>
      <c r="AA113" s="6"/>
      <c r="AB113" s="19"/>
    </row>
    <row r="114" spans="1:31" x14ac:dyDescent="0.3">
      <c r="A114" s="1107" t="s">
        <v>38</v>
      </c>
      <c r="B114" s="1107"/>
      <c r="C114" s="1106" t="s">
        <v>140</v>
      </c>
      <c r="D114" s="1106"/>
      <c r="E114" s="1106" t="s">
        <v>140</v>
      </c>
      <c r="F114" s="1106"/>
      <c r="G114" s="1106" t="s">
        <v>140</v>
      </c>
      <c r="H114" s="1106"/>
      <c r="I114" s="1106" t="s">
        <v>140</v>
      </c>
      <c r="J114" s="1106"/>
      <c r="K114" s="1106" t="s">
        <v>140</v>
      </c>
      <c r="L114" s="1106"/>
      <c r="M114" s="1106" t="s">
        <v>140</v>
      </c>
      <c r="N114" s="1106"/>
      <c r="O114" s="1106" t="s">
        <v>140</v>
      </c>
      <c r="P114" s="1106"/>
      <c r="Q114" s="1106" t="s">
        <v>140</v>
      </c>
      <c r="R114" s="1106"/>
      <c r="S114" s="1106" t="s">
        <v>140</v>
      </c>
      <c r="T114" s="1106"/>
      <c r="U114" s="1106" t="s">
        <v>140</v>
      </c>
      <c r="V114" s="1106"/>
      <c r="W114" s="1106" t="s">
        <v>140</v>
      </c>
      <c r="X114" s="1106"/>
      <c r="Y114" s="1106" t="s">
        <v>140</v>
      </c>
      <c r="Z114" s="1106"/>
      <c r="AA114" s="266" t="s">
        <v>140</v>
      </c>
      <c r="AB114" s="19"/>
    </row>
    <row r="115" spans="1:31" x14ac:dyDescent="0.3">
      <c r="A115" s="1107"/>
      <c r="B115" s="1107"/>
      <c r="C115" s="1108" t="s">
        <v>87</v>
      </c>
      <c r="D115" s="1108"/>
      <c r="E115" s="1108" t="s">
        <v>88</v>
      </c>
      <c r="F115" s="1108"/>
      <c r="G115" s="1108" t="s">
        <v>14</v>
      </c>
      <c r="H115" s="1108"/>
      <c r="I115" s="1108" t="s">
        <v>15</v>
      </c>
      <c r="J115" s="1108"/>
      <c r="K115" s="1108" t="s">
        <v>16</v>
      </c>
      <c r="L115" s="1108"/>
      <c r="M115" s="1108" t="s">
        <v>17</v>
      </c>
      <c r="N115" s="1108"/>
      <c r="O115" s="1108" t="s">
        <v>18</v>
      </c>
      <c r="P115" s="1108"/>
      <c r="Q115" s="1108" t="s">
        <v>19</v>
      </c>
      <c r="R115" s="1108"/>
      <c r="S115" s="1106" t="s">
        <v>20</v>
      </c>
      <c r="T115" s="1106"/>
      <c r="U115" s="1106" t="s">
        <v>21</v>
      </c>
      <c r="V115" s="1106"/>
      <c r="W115" s="1106" t="s">
        <v>22</v>
      </c>
      <c r="X115" s="1106"/>
      <c r="Y115" s="1106" t="s">
        <v>23</v>
      </c>
      <c r="Z115" s="1106"/>
      <c r="AA115" s="268" t="s">
        <v>36</v>
      </c>
      <c r="AB115" s="19"/>
    </row>
    <row r="116" spans="1:31" x14ac:dyDescent="0.3">
      <c r="A116" s="1107"/>
      <c r="B116" s="1107"/>
      <c r="C116" s="264"/>
      <c r="D116" s="164" t="s">
        <v>24</v>
      </c>
      <c r="E116" s="264"/>
      <c r="F116" s="164" t="s">
        <v>24</v>
      </c>
      <c r="G116" s="264"/>
      <c r="H116" s="164" t="s">
        <v>24</v>
      </c>
      <c r="I116" s="264"/>
      <c r="J116" s="164" t="s">
        <v>24</v>
      </c>
      <c r="K116" s="264"/>
      <c r="L116" s="164" t="s">
        <v>24</v>
      </c>
      <c r="M116" s="264"/>
      <c r="N116" s="164" t="s">
        <v>24</v>
      </c>
      <c r="O116" s="264"/>
      <c r="P116" s="164" t="s">
        <v>24</v>
      </c>
      <c r="Q116" s="264"/>
      <c r="R116" s="164" t="s">
        <v>24</v>
      </c>
      <c r="S116" s="269"/>
      <c r="T116" s="270" t="s">
        <v>24</v>
      </c>
      <c r="U116" s="269"/>
      <c r="V116" s="270" t="s">
        <v>24</v>
      </c>
      <c r="W116" s="269"/>
      <c r="X116" s="270" t="s">
        <v>24</v>
      </c>
      <c r="Y116" s="269"/>
      <c r="Z116" s="270" t="s">
        <v>24</v>
      </c>
      <c r="AA116" s="271" t="s">
        <v>24</v>
      </c>
      <c r="AB116" s="19"/>
    </row>
    <row r="117" spans="1:31" ht="52" x14ac:dyDescent="0.3">
      <c r="A117" s="1107"/>
      <c r="B117" s="1107"/>
      <c r="C117" s="247" t="s">
        <v>201</v>
      </c>
      <c r="D117" s="272" t="s">
        <v>27</v>
      </c>
      <c r="E117" s="247" t="s">
        <v>201</v>
      </c>
      <c r="F117" s="272" t="s">
        <v>27</v>
      </c>
      <c r="G117" s="247" t="s">
        <v>201</v>
      </c>
      <c r="H117" s="272" t="s">
        <v>27</v>
      </c>
      <c r="I117" s="247" t="s">
        <v>201</v>
      </c>
      <c r="J117" s="272" t="s">
        <v>27</v>
      </c>
      <c r="K117" s="247" t="s">
        <v>201</v>
      </c>
      <c r="L117" s="272" t="s">
        <v>27</v>
      </c>
      <c r="M117" s="247" t="s">
        <v>201</v>
      </c>
      <c r="N117" s="272" t="s">
        <v>27</v>
      </c>
      <c r="O117" s="247" t="s">
        <v>201</v>
      </c>
      <c r="P117" s="272" t="s">
        <v>27</v>
      </c>
      <c r="Q117" s="247" t="s">
        <v>201</v>
      </c>
      <c r="R117" s="272" t="s">
        <v>27</v>
      </c>
      <c r="S117" s="273" t="s">
        <v>201</v>
      </c>
      <c r="T117" s="272" t="s">
        <v>27</v>
      </c>
      <c r="U117" s="247" t="s">
        <v>201</v>
      </c>
      <c r="V117" s="272" t="s">
        <v>27</v>
      </c>
      <c r="W117" s="247" t="s">
        <v>201</v>
      </c>
      <c r="X117" s="272" t="s">
        <v>27</v>
      </c>
      <c r="Y117" s="273" t="s">
        <v>201</v>
      </c>
      <c r="Z117" s="272" t="s">
        <v>27</v>
      </c>
      <c r="AA117" s="268" t="s">
        <v>27</v>
      </c>
      <c r="AB117" s="19"/>
    </row>
    <row r="118" spans="1:31" ht="14.5" thickBot="1" x14ac:dyDescent="0.35">
      <c r="A118" s="1110" t="s">
        <v>39</v>
      </c>
      <c r="B118" s="1110"/>
      <c r="C118" s="274">
        <v>1</v>
      </c>
      <c r="D118" s="275">
        <v>2</v>
      </c>
      <c r="E118" s="274">
        <v>3</v>
      </c>
      <c r="F118" s="275">
        <v>4</v>
      </c>
      <c r="G118" s="274">
        <v>5</v>
      </c>
      <c r="H118" s="275">
        <v>6</v>
      </c>
      <c r="I118" s="274">
        <v>7</v>
      </c>
      <c r="J118" s="275">
        <v>8</v>
      </c>
      <c r="K118" s="274">
        <v>9</v>
      </c>
      <c r="L118" s="275">
        <v>10</v>
      </c>
      <c r="M118" s="274">
        <v>11</v>
      </c>
      <c r="N118" s="275">
        <v>12</v>
      </c>
      <c r="O118" s="274">
        <v>13</v>
      </c>
      <c r="P118" s="275">
        <v>14</v>
      </c>
      <c r="Q118" s="274">
        <v>15</v>
      </c>
      <c r="R118" s="275">
        <v>16</v>
      </c>
      <c r="S118" s="276">
        <v>17</v>
      </c>
      <c r="T118" s="275">
        <v>18</v>
      </c>
      <c r="U118" s="276">
        <v>19</v>
      </c>
      <c r="V118" s="275">
        <v>20</v>
      </c>
      <c r="W118" s="276">
        <v>21</v>
      </c>
      <c r="X118" s="275">
        <v>22</v>
      </c>
      <c r="Y118" s="276">
        <v>23</v>
      </c>
      <c r="Z118" s="275">
        <v>24</v>
      </c>
      <c r="AA118" s="277">
        <v>25</v>
      </c>
      <c r="AB118" s="19"/>
    </row>
    <row r="119" spans="1:31" ht="18.649999999999999" customHeight="1" x14ac:dyDescent="0.3">
      <c r="A119" s="1111" t="s">
        <v>83</v>
      </c>
      <c r="B119" s="278" t="s">
        <v>64</v>
      </c>
      <c r="C119" s="279">
        <v>34.67</v>
      </c>
      <c r="D119" s="280">
        <v>525.6</v>
      </c>
      <c r="E119" s="279">
        <v>16.829999999999998</v>
      </c>
      <c r="F119" s="280">
        <v>255.14</v>
      </c>
      <c r="G119" s="279">
        <v>47.5</v>
      </c>
      <c r="H119" s="280">
        <v>720.1</v>
      </c>
      <c r="I119" s="279">
        <v>39.42</v>
      </c>
      <c r="J119" s="280">
        <v>597.61</v>
      </c>
      <c r="K119" s="279">
        <v>50.92</v>
      </c>
      <c r="L119" s="280">
        <v>771.95</v>
      </c>
      <c r="M119" s="279">
        <v>28.83</v>
      </c>
      <c r="N119" s="280">
        <v>437.06</v>
      </c>
      <c r="O119" s="279">
        <v>22.34</v>
      </c>
      <c r="P119" s="280">
        <v>338.67</v>
      </c>
      <c r="Q119" s="279">
        <v>36</v>
      </c>
      <c r="R119" s="280">
        <v>545.76</v>
      </c>
      <c r="S119" s="279">
        <v>14.92</v>
      </c>
      <c r="T119" s="280">
        <v>226.19</v>
      </c>
      <c r="U119" s="408">
        <v>12.33</v>
      </c>
      <c r="V119" s="409">
        <v>186.92</v>
      </c>
      <c r="W119" s="408">
        <v>22.67</v>
      </c>
      <c r="X119" s="409">
        <v>343.68</v>
      </c>
      <c r="Y119" s="408">
        <v>19.420000000000002</v>
      </c>
      <c r="Z119" s="409">
        <v>294.41000000000003</v>
      </c>
      <c r="AA119" s="281">
        <f t="shared" ref="AA119:AA127" si="8">D119+F119+H119+J119+L119+N119+P119+R119+T119+V119+X119+Z119</f>
        <v>5243.09</v>
      </c>
      <c r="AB119" s="282" t="s">
        <v>200</v>
      </c>
      <c r="AD119" s="283"/>
      <c r="AE119" s="33"/>
    </row>
    <row r="120" spans="1:31" ht="18.649999999999999" customHeight="1" x14ac:dyDescent="0.3">
      <c r="A120" s="1124"/>
      <c r="B120" s="399" t="s">
        <v>169</v>
      </c>
      <c r="C120" s="298"/>
      <c r="D120" s="286"/>
      <c r="E120" s="298"/>
      <c r="F120" s="286"/>
      <c r="G120" s="298"/>
      <c r="H120" s="286"/>
      <c r="I120" s="298"/>
      <c r="J120" s="286"/>
      <c r="K120" s="298"/>
      <c r="L120" s="286"/>
      <c r="M120" s="298"/>
      <c r="N120" s="286"/>
      <c r="O120" s="298"/>
      <c r="P120" s="286"/>
      <c r="Q120" s="298"/>
      <c r="R120" s="286"/>
      <c r="S120" s="298"/>
      <c r="T120" s="286"/>
      <c r="U120" s="401"/>
      <c r="V120" s="402"/>
      <c r="W120" s="401"/>
      <c r="X120" s="402"/>
      <c r="Y120" s="401"/>
      <c r="Z120" s="402"/>
      <c r="AA120" s="403">
        <f t="shared" si="8"/>
        <v>0</v>
      </c>
      <c r="AB120" s="282" t="s">
        <v>200</v>
      </c>
      <c r="AD120" s="283"/>
      <c r="AE120" s="33"/>
    </row>
    <row r="121" spans="1:31" ht="18.649999999999999" customHeight="1" x14ac:dyDescent="0.3">
      <c r="A121" s="1112" t="s">
        <v>260</v>
      </c>
      <c r="B121" s="284" t="s">
        <v>64</v>
      </c>
      <c r="C121" s="287"/>
      <c r="D121" s="290"/>
      <c r="E121" s="287"/>
      <c r="F121" s="290"/>
      <c r="G121" s="287"/>
      <c r="H121" s="290"/>
      <c r="I121" s="287"/>
      <c r="J121" s="290"/>
      <c r="K121" s="287"/>
      <c r="L121" s="290"/>
      <c r="M121" s="287"/>
      <c r="N121" s="290"/>
      <c r="O121" s="287"/>
      <c r="P121" s="290"/>
      <c r="Q121" s="287"/>
      <c r="R121" s="290"/>
      <c r="S121" s="287"/>
      <c r="T121" s="290"/>
      <c r="U121" s="407">
        <v>41.83</v>
      </c>
      <c r="V121" s="216">
        <v>634.14</v>
      </c>
      <c r="W121" s="407">
        <v>84.08</v>
      </c>
      <c r="X121" s="216">
        <v>1274.6500000000001</v>
      </c>
      <c r="Y121" s="407"/>
      <c r="Z121" s="216"/>
      <c r="AA121" s="288">
        <f t="shared" ref="AA121:AA122" si="9">D121+F121+H121+J121+L121+N121+P121+R121+T121+V121+X121+Z121</f>
        <v>1908.79</v>
      </c>
      <c r="AB121" s="282" t="s">
        <v>200</v>
      </c>
      <c r="AD121" s="283"/>
      <c r="AE121" s="33"/>
    </row>
    <row r="122" spans="1:31" ht="18.649999999999999" customHeight="1" x14ac:dyDescent="0.3">
      <c r="A122" s="1112"/>
      <c r="B122" s="284" t="s">
        <v>169</v>
      </c>
      <c r="C122" s="299"/>
      <c r="D122" s="290"/>
      <c r="E122" s="299"/>
      <c r="F122" s="290"/>
      <c r="G122" s="299"/>
      <c r="H122" s="290"/>
      <c r="I122" s="299"/>
      <c r="J122" s="290"/>
      <c r="K122" s="299"/>
      <c r="L122" s="290"/>
      <c r="M122" s="299"/>
      <c r="N122" s="290"/>
      <c r="O122" s="299"/>
      <c r="P122" s="290"/>
      <c r="Q122" s="299"/>
      <c r="R122" s="290"/>
      <c r="S122" s="299"/>
      <c r="T122" s="290"/>
      <c r="U122" s="184"/>
      <c r="V122" s="187"/>
      <c r="W122" s="184"/>
      <c r="X122" s="187"/>
      <c r="Y122" s="184"/>
      <c r="Z122" s="187"/>
      <c r="AA122" s="288">
        <f t="shared" si="9"/>
        <v>0</v>
      </c>
      <c r="AB122" s="282" t="s">
        <v>200</v>
      </c>
      <c r="AD122" s="283"/>
      <c r="AE122" s="33"/>
    </row>
    <row r="123" spans="1:31" ht="27" customHeight="1" x14ac:dyDescent="0.3">
      <c r="A123" s="289" t="s">
        <v>170</v>
      </c>
      <c r="B123" s="284" t="s">
        <v>64</v>
      </c>
      <c r="C123" s="285">
        <v>10</v>
      </c>
      <c r="D123" s="286">
        <v>183.6</v>
      </c>
      <c r="E123" s="285">
        <v>22</v>
      </c>
      <c r="F123" s="286">
        <v>403.92</v>
      </c>
      <c r="G123" s="285">
        <v>17</v>
      </c>
      <c r="H123" s="286">
        <v>312.12</v>
      </c>
      <c r="I123" s="285">
        <v>26</v>
      </c>
      <c r="J123" s="286">
        <v>477.36</v>
      </c>
      <c r="K123" s="285">
        <v>22</v>
      </c>
      <c r="L123" s="286">
        <v>395.14</v>
      </c>
      <c r="M123" s="285">
        <v>40</v>
      </c>
      <c r="N123" s="286">
        <v>602.70000000000005</v>
      </c>
      <c r="O123" s="285">
        <v>52</v>
      </c>
      <c r="P123" s="286">
        <v>726.44</v>
      </c>
      <c r="Q123" s="285">
        <v>16</v>
      </c>
      <c r="R123" s="286">
        <v>223.52</v>
      </c>
      <c r="S123" s="285">
        <v>40</v>
      </c>
      <c r="T123" s="286">
        <v>558.79999999999995</v>
      </c>
      <c r="U123" s="184">
        <v>58</v>
      </c>
      <c r="V123" s="216">
        <v>810.26</v>
      </c>
      <c r="W123" s="184">
        <v>59</v>
      </c>
      <c r="X123" s="216">
        <v>841.79</v>
      </c>
      <c r="Y123" s="184">
        <v>47</v>
      </c>
      <c r="Z123" s="216">
        <v>656.59</v>
      </c>
      <c r="AA123" s="288">
        <f>D123+F123+H123+J123+L123+N123+P123+R123+T123+V123+X123+Z123</f>
        <v>6192.2400000000007</v>
      </c>
      <c r="AB123" s="282" t="s">
        <v>200</v>
      </c>
      <c r="AD123" s="283"/>
      <c r="AE123" s="33"/>
    </row>
    <row r="124" spans="1:31" ht="29.15" customHeight="1" x14ac:dyDescent="0.3">
      <c r="A124" s="289" t="s">
        <v>171</v>
      </c>
      <c r="B124" s="284" t="s">
        <v>64</v>
      </c>
      <c r="C124" s="287"/>
      <c r="D124" s="290"/>
      <c r="E124" s="287"/>
      <c r="F124" s="290"/>
      <c r="G124" s="287"/>
      <c r="H124" s="290"/>
      <c r="I124" s="287"/>
      <c r="J124" s="290"/>
      <c r="K124" s="287"/>
      <c r="L124" s="290"/>
      <c r="M124" s="287"/>
      <c r="N124" s="290"/>
      <c r="O124" s="287"/>
      <c r="P124" s="290"/>
      <c r="Q124" s="287"/>
      <c r="R124" s="290"/>
      <c r="S124" s="287">
        <v>4</v>
      </c>
      <c r="T124" s="290">
        <v>96.66</v>
      </c>
      <c r="U124" s="184">
        <v>1</v>
      </c>
      <c r="V124" s="216">
        <v>23.65</v>
      </c>
      <c r="W124" s="184">
        <v>5</v>
      </c>
      <c r="X124" s="216">
        <v>123.4</v>
      </c>
      <c r="Y124" s="184"/>
      <c r="Z124" s="187"/>
      <c r="AA124" s="288">
        <f t="shared" si="8"/>
        <v>243.71</v>
      </c>
      <c r="AB124" s="282" t="s">
        <v>200</v>
      </c>
      <c r="AD124" s="283"/>
      <c r="AE124" s="33"/>
    </row>
    <row r="125" spans="1:31" ht="18.649999999999999" customHeight="1" x14ac:dyDescent="0.3">
      <c r="A125" s="1112" t="s">
        <v>172</v>
      </c>
      <c r="B125" s="284" t="s">
        <v>79</v>
      </c>
      <c r="C125" s="299"/>
      <c r="D125" s="290"/>
      <c r="E125" s="299"/>
      <c r="F125" s="290"/>
      <c r="G125" s="299"/>
      <c r="H125" s="290"/>
      <c r="I125" s="299"/>
      <c r="J125" s="290"/>
      <c r="K125" s="299">
        <v>12</v>
      </c>
      <c r="L125" s="290">
        <v>542.04</v>
      </c>
      <c r="M125" s="299"/>
      <c r="N125" s="290"/>
      <c r="O125" s="299"/>
      <c r="P125" s="290"/>
      <c r="Q125" s="299"/>
      <c r="R125" s="290"/>
      <c r="S125" s="299"/>
      <c r="T125" s="290"/>
      <c r="U125" s="184"/>
      <c r="V125" s="187"/>
      <c r="W125" s="184"/>
      <c r="X125" s="187"/>
      <c r="Y125" s="184"/>
      <c r="Z125" s="187"/>
      <c r="AA125" s="288">
        <f t="shared" si="8"/>
        <v>542.04</v>
      </c>
      <c r="AB125" s="282" t="s">
        <v>200</v>
      </c>
      <c r="AD125" s="283"/>
      <c r="AE125" s="33"/>
    </row>
    <row r="126" spans="1:31" ht="28.5" customHeight="1" thickBot="1" x14ac:dyDescent="0.35">
      <c r="A126" s="1113"/>
      <c r="B126" s="291" t="s">
        <v>173</v>
      </c>
      <c r="C126" s="292"/>
      <c r="D126" s="293"/>
      <c r="E126" s="292"/>
      <c r="F126" s="293"/>
      <c r="G126" s="292"/>
      <c r="H126" s="293"/>
      <c r="I126" s="292"/>
      <c r="J126" s="293"/>
      <c r="K126" s="292">
        <v>8</v>
      </c>
      <c r="L126" s="293">
        <v>226.56</v>
      </c>
      <c r="M126" s="292"/>
      <c r="N126" s="293"/>
      <c r="O126" s="292"/>
      <c r="P126" s="293"/>
      <c r="Q126" s="292"/>
      <c r="R126" s="293"/>
      <c r="S126" s="292"/>
      <c r="T126" s="293"/>
      <c r="U126" s="219"/>
      <c r="V126" s="234"/>
      <c r="W126" s="219"/>
      <c r="X126" s="234"/>
      <c r="Y126" s="219"/>
      <c r="Z126" s="234"/>
      <c r="AA126" s="294">
        <f t="shared" si="8"/>
        <v>226.56</v>
      </c>
      <c r="AB126" s="282" t="s">
        <v>200</v>
      </c>
      <c r="AD126" s="283"/>
      <c r="AE126" s="33"/>
    </row>
    <row r="127" spans="1:31" ht="18.649999999999999" customHeight="1" thickBot="1" x14ac:dyDescent="0.35">
      <c r="A127" s="300" t="s">
        <v>230</v>
      </c>
      <c r="B127" s="301" t="s">
        <v>211</v>
      </c>
      <c r="C127" s="302">
        <v>74</v>
      </c>
      <c r="D127" s="303">
        <v>27775.14</v>
      </c>
      <c r="E127" s="304">
        <v>76</v>
      </c>
      <c r="F127" s="303">
        <v>29794.920000000002</v>
      </c>
      <c r="G127" s="304">
        <v>84</v>
      </c>
      <c r="H127" s="303">
        <v>32849.840000000004</v>
      </c>
      <c r="I127" s="304">
        <v>84</v>
      </c>
      <c r="J127" s="303">
        <v>29083.61</v>
      </c>
      <c r="K127" s="304">
        <v>83</v>
      </c>
      <c r="L127" s="303">
        <v>31469.399999999998</v>
      </c>
      <c r="M127" s="304">
        <v>86</v>
      </c>
      <c r="N127" s="303">
        <v>34362.300000000003</v>
      </c>
      <c r="O127" s="304">
        <v>100</v>
      </c>
      <c r="P127" s="303">
        <v>35753.210000000006</v>
      </c>
      <c r="Q127" s="304">
        <v>91</v>
      </c>
      <c r="R127" s="303">
        <v>34790.61</v>
      </c>
      <c r="S127" s="304">
        <v>92</v>
      </c>
      <c r="T127" s="303">
        <v>34153</v>
      </c>
      <c r="U127" s="404">
        <v>95</v>
      </c>
      <c r="V127" s="405">
        <v>35509.24</v>
      </c>
      <c r="W127" s="404">
        <v>96</v>
      </c>
      <c r="X127" s="405">
        <v>37314.019999999997</v>
      </c>
      <c r="Y127" s="404">
        <v>99</v>
      </c>
      <c r="Z127" s="405">
        <v>36714.99</v>
      </c>
      <c r="AA127" s="406">
        <f t="shared" si="8"/>
        <v>399570.28</v>
      </c>
      <c r="AB127" s="282" t="s">
        <v>202</v>
      </c>
      <c r="AD127" s="283"/>
      <c r="AE127" s="33"/>
    </row>
    <row r="128" spans="1:31" ht="36" customHeight="1" x14ac:dyDescent="0.3">
      <c r="A128" s="390"/>
      <c r="B128" s="390"/>
      <c r="C128" s="390"/>
      <c r="D128" s="390"/>
      <c r="E128" s="390"/>
      <c r="F128" s="390"/>
      <c r="G128" s="390"/>
      <c r="H128" s="390"/>
      <c r="I128" s="390"/>
      <c r="J128" s="390"/>
      <c r="K128" s="390"/>
      <c r="L128" s="390"/>
      <c r="M128" s="390"/>
      <c r="N128" s="390"/>
      <c r="O128" s="390"/>
      <c r="P128" s="390"/>
      <c r="Q128" s="390"/>
      <c r="R128" s="390"/>
      <c r="S128" s="390"/>
      <c r="T128" s="390"/>
      <c r="U128" s="390"/>
      <c r="V128" s="390"/>
      <c r="W128" s="390"/>
      <c r="X128" s="390"/>
      <c r="Y128" s="390"/>
      <c r="Z128" s="390"/>
      <c r="AA128" s="390"/>
      <c r="AB128" s="19"/>
      <c r="AE128" s="33"/>
    </row>
    <row r="129" spans="1:31" x14ac:dyDescent="0.3">
      <c r="A129" s="1107" t="s">
        <v>38</v>
      </c>
      <c r="B129" s="1107"/>
      <c r="C129" s="1106" t="s">
        <v>189</v>
      </c>
      <c r="D129" s="1106"/>
      <c r="E129" s="1106" t="s">
        <v>189</v>
      </c>
      <c r="F129" s="1106"/>
      <c r="G129" s="1106" t="s">
        <v>189</v>
      </c>
      <c r="H129" s="1106"/>
      <c r="I129" s="1106" t="s">
        <v>189</v>
      </c>
      <c r="J129" s="1106"/>
      <c r="K129" s="1106" t="s">
        <v>189</v>
      </c>
      <c r="L129" s="1106"/>
      <c r="M129" s="1122" t="s">
        <v>189</v>
      </c>
      <c r="N129" s="1122"/>
      <c r="O129" s="1122" t="s">
        <v>189</v>
      </c>
      <c r="P129" s="1122"/>
      <c r="Q129" s="1122" t="s">
        <v>189</v>
      </c>
      <c r="R129" s="1122"/>
      <c r="S129" s="1122" t="s">
        <v>189</v>
      </c>
      <c r="T129" s="1122"/>
      <c r="U129" s="1123" t="s">
        <v>189</v>
      </c>
      <c r="V129" s="1123"/>
      <c r="W129" s="1123" t="s">
        <v>189</v>
      </c>
      <c r="X129" s="1123"/>
      <c r="Y129" s="1123" t="s">
        <v>189</v>
      </c>
      <c r="Z129" s="1123"/>
      <c r="AA129" s="648">
        <v>2025</v>
      </c>
      <c r="AB129" s="648">
        <v>2026</v>
      </c>
      <c r="AE129" s="33"/>
    </row>
    <row r="130" spans="1:31" x14ac:dyDescent="0.3">
      <c r="A130" s="1107"/>
      <c r="B130" s="1107"/>
      <c r="C130" s="1108" t="s">
        <v>87</v>
      </c>
      <c r="D130" s="1108"/>
      <c r="E130" s="1108" t="s">
        <v>88</v>
      </c>
      <c r="F130" s="1108"/>
      <c r="G130" s="1108" t="s">
        <v>14</v>
      </c>
      <c r="H130" s="1108"/>
      <c r="I130" s="1108" t="s">
        <v>15</v>
      </c>
      <c r="J130" s="1108"/>
      <c r="K130" s="1108" t="s">
        <v>16</v>
      </c>
      <c r="L130" s="1108"/>
      <c r="M130" s="1108" t="s">
        <v>17</v>
      </c>
      <c r="N130" s="1108"/>
      <c r="O130" s="1108" t="s">
        <v>18</v>
      </c>
      <c r="P130" s="1108"/>
      <c r="Q130" s="1108" t="s">
        <v>19</v>
      </c>
      <c r="R130" s="1108"/>
      <c r="S130" s="1108" t="s">
        <v>20</v>
      </c>
      <c r="T130" s="1108"/>
      <c r="U130" s="1123" t="s">
        <v>21</v>
      </c>
      <c r="V130" s="1123"/>
      <c r="W130" s="1123" t="s">
        <v>22</v>
      </c>
      <c r="X130" s="1123"/>
      <c r="Y130" s="1123" t="s">
        <v>23</v>
      </c>
      <c r="Z130" s="1123"/>
      <c r="AA130" s="648" t="s">
        <v>36</v>
      </c>
      <c r="AB130" s="648" t="s">
        <v>36</v>
      </c>
      <c r="AE130" s="33"/>
    </row>
    <row r="131" spans="1:31" x14ac:dyDescent="0.3">
      <c r="A131" s="1107"/>
      <c r="B131" s="1107"/>
      <c r="C131" s="375"/>
      <c r="D131" s="164" t="s">
        <v>24</v>
      </c>
      <c r="E131" s="375"/>
      <c r="F131" s="164" t="s">
        <v>24</v>
      </c>
      <c r="G131" s="375"/>
      <c r="H131" s="164" t="s">
        <v>24</v>
      </c>
      <c r="I131" s="375"/>
      <c r="J131" s="164" t="s">
        <v>24</v>
      </c>
      <c r="K131" s="375"/>
      <c r="L131" s="164" t="s">
        <v>24</v>
      </c>
      <c r="M131" s="822"/>
      <c r="N131" s="164" t="s">
        <v>24</v>
      </c>
      <c r="O131" s="822"/>
      <c r="P131" s="164" t="s">
        <v>24</v>
      </c>
      <c r="Q131" s="822"/>
      <c r="R131" s="164" t="s">
        <v>24</v>
      </c>
      <c r="S131" s="823"/>
      <c r="T131" s="164" t="s">
        <v>24</v>
      </c>
      <c r="U131" s="649"/>
      <c r="V131" s="510" t="s">
        <v>24</v>
      </c>
      <c r="W131" s="649"/>
      <c r="X131" s="510" t="s">
        <v>24</v>
      </c>
      <c r="Y131" s="649"/>
      <c r="Z131" s="510" t="s">
        <v>24</v>
      </c>
      <c r="AA131" s="650" t="s">
        <v>24</v>
      </c>
      <c r="AB131" s="650" t="s">
        <v>24</v>
      </c>
      <c r="AE131" s="33"/>
    </row>
    <row r="132" spans="1:31" ht="52" x14ac:dyDescent="0.3">
      <c r="A132" s="1107"/>
      <c r="B132" s="1107"/>
      <c r="C132" s="247" t="s">
        <v>201</v>
      </c>
      <c r="D132" s="272" t="s">
        <v>27</v>
      </c>
      <c r="E132" s="247" t="s">
        <v>201</v>
      </c>
      <c r="F132" s="272" t="s">
        <v>27</v>
      </c>
      <c r="G132" s="247" t="s">
        <v>201</v>
      </c>
      <c r="H132" s="272" t="s">
        <v>27</v>
      </c>
      <c r="I132" s="247" t="s">
        <v>201</v>
      </c>
      <c r="J132" s="272" t="s">
        <v>27</v>
      </c>
      <c r="K132" s="247" t="s">
        <v>201</v>
      </c>
      <c r="L132" s="272" t="s">
        <v>27</v>
      </c>
      <c r="M132" s="171" t="s">
        <v>201</v>
      </c>
      <c r="N132" s="272" t="s">
        <v>27</v>
      </c>
      <c r="O132" s="171" t="s">
        <v>201</v>
      </c>
      <c r="P132" s="272" t="s">
        <v>27</v>
      </c>
      <c r="Q132" s="171" t="s">
        <v>201</v>
      </c>
      <c r="R132" s="272" t="s">
        <v>27</v>
      </c>
      <c r="S132" s="171" t="s">
        <v>201</v>
      </c>
      <c r="T132" s="272" t="s">
        <v>27</v>
      </c>
      <c r="U132" s="513" t="s">
        <v>201</v>
      </c>
      <c r="V132" s="506" t="s">
        <v>28</v>
      </c>
      <c r="W132" s="513" t="s">
        <v>201</v>
      </c>
      <c r="X132" s="506" t="s">
        <v>28</v>
      </c>
      <c r="Y132" s="513" t="s">
        <v>201</v>
      </c>
      <c r="Z132" s="506" t="s">
        <v>28</v>
      </c>
      <c r="AA132" s="648" t="s">
        <v>28</v>
      </c>
      <c r="AB132" s="648" t="s">
        <v>28</v>
      </c>
      <c r="AE132" s="33"/>
    </row>
    <row r="133" spans="1:31" ht="14.5" thickBot="1" x14ac:dyDescent="0.35">
      <c r="A133" s="1110" t="s">
        <v>39</v>
      </c>
      <c r="B133" s="1110"/>
      <c r="C133" s="274">
        <v>1</v>
      </c>
      <c r="D133" s="275">
        <v>2</v>
      </c>
      <c r="E133" s="274">
        <v>3</v>
      </c>
      <c r="F133" s="275">
        <v>4</v>
      </c>
      <c r="G133" s="274">
        <v>5</v>
      </c>
      <c r="H133" s="275">
        <v>6</v>
      </c>
      <c r="I133" s="274">
        <v>7</v>
      </c>
      <c r="J133" s="275">
        <v>8</v>
      </c>
      <c r="K133" s="274">
        <v>9</v>
      </c>
      <c r="L133" s="275">
        <v>10</v>
      </c>
      <c r="M133" s="824">
        <v>11</v>
      </c>
      <c r="N133" s="275">
        <v>12</v>
      </c>
      <c r="O133" s="824">
        <v>13</v>
      </c>
      <c r="P133" s="275">
        <v>14</v>
      </c>
      <c r="Q133" s="824">
        <v>15</v>
      </c>
      <c r="R133" s="275">
        <v>16</v>
      </c>
      <c r="S133" s="824">
        <v>17</v>
      </c>
      <c r="T133" s="275">
        <v>18</v>
      </c>
      <c r="U133" s="651">
        <v>19</v>
      </c>
      <c r="V133" s="651">
        <v>20</v>
      </c>
      <c r="W133" s="651">
        <v>21</v>
      </c>
      <c r="X133" s="651">
        <v>22</v>
      </c>
      <c r="Y133" s="651">
        <v>23</v>
      </c>
      <c r="Z133" s="651">
        <v>24</v>
      </c>
      <c r="AA133" s="652">
        <v>25</v>
      </c>
      <c r="AB133" s="652">
        <v>25</v>
      </c>
      <c r="AE133" s="33"/>
    </row>
    <row r="134" spans="1:31" ht="18.649999999999999" customHeight="1" x14ac:dyDescent="0.3">
      <c r="A134" s="1111" t="s">
        <v>83</v>
      </c>
      <c r="B134" s="278" t="s">
        <v>64</v>
      </c>
      <c r="C134" s="279">
        <v>26.67</v>
      </c>
      <c r="D134" s="280">
        <v>452.59</v>
      </c>
      <c r="E134" s="279">
        <v>56.5</v>
      </c>
      <c r="F134" s="280">
        <v>958.81</v>
      </c>
      <c r="G134" s="279">
        <v>26.75</v>
      </c>
      <c r="H134" s="280">
        <v>453.95</v>
      </c>
      <c r="I134" s="279">
        <v>13.67</v>
      </c>
      <c r="J134" s="280">
        <v>231.98</v>
      </c>
      <c r="K134" s="279">
        <v>8.33</v>
      </c>
      <c r="L134" s="280">
        <v>141.36000000000001</v>
      </c>
      <c r="M134" s="825">
        <v>20.83</v>
      </c>
      <c r="N134" s="280">
        <v>353.49</v>
      </c>
      <c r="O134" s="825">
        <v>17.420000000000002</v>
      </c>
      <c r="P134" s="280">
        <v>295.62</v>
      </c>
      <c r="Q134" s="825">
        <v>8.08</v>
      </c>
      <c r="R134" s="280">
        <v>137.12</v>
      </c>
      <c r="S134" s="825">
        <v>4.5</v>
      </c>
      <c r="T134" s="280">
        <v>76.37</v>
      </c>
      <c r="U134" s="653" t="s">
        <v>32</v>
      </c>
      <c r="V134" s="654">
        <f>AVERAGE(L134,N134,P134,R134,T134,J134,H134,F134,D134)</f>
        <v>344.58777777777777</v>
      </c>
      <c r="W134" s="653" t="s">
        <v>32</v>
      </c>
      <c r="X134" s="654">
        <f t="shared" ref="Q134:Z142" si="10">V134</f>
        <v>344.58777777777777</v>
      </c>
      <c r="Y134" s="653" t="str">
        <f t="shared" si="10"/>
        <v>x</v>
      </c>
      <c r="Z134" s="654">
        <f t="shared" si="10"/>
        <v>344.58777777777777</v>
      </c>
      <c r="AA134" s="655">
        <f t="shared" ref="AA134:AA135" si="11">D134+F134+H134+J134+L134+N134+P134+R134+T134+V134+X134+Z134</f>
        <v>4135.0533333333333</v>
      </c>
      <c r="AB134" s="655">
        <f>ROUND(AA134,0)</f>
        <v>4135</v>
      </c>
      <c r="AC134" s="282" t="s">
        <v>200</v>
      </c>
      <c r="AD134" s="283"/>
      <c r="AE134" s="33"/>
    </row>
    <row r="135" spans="1:31" ht="18.649999999999999" customHeight="1" x14ac:dyDescent="0.3">
      <c r="A135" s="1124"/>
      <c r="B135" s="399" t="s">
        <v>169</v>
      </c>
      <c r="C135" s="298"/>
      <c r="D135" s="286"/>
      <c r="E135" s="298"/>
      <c r="F135" s="286"/>
      <c r="G135" s="298"/>
      <c r="H135" s="286"/>
      <c r="I135" s="298"/>
      <c r="J135" s="286"/>
      <c r="K135" s="298"/>
      <c r="L135" s="286"/>
      <c r="M135" s="826"/>
      <c r="N135" s="286"/>
      <c r="O135" s="826"/>
      <c r="P135" s="286"/>
      <c r="Q135" s="826"/>
      <c r="R135" s="286"/>
      <c r="S135" s="826"/>
      <c r="T135" s="286"/>
      <c r="U135" s="656" t="s">
        <v>32</v>
      </c>
      <c r="V135" s="657">
        <v>0</v>
      </c>
      <c r="W135" s="656" t="s">
        <v>32</v>
      </c>
      <c r="X135" s="657">
        <f t="shared" si="10"/>
        <v>0</v>
      </c>
      <c r="Y135" s="656" t="str">
        <f t="shared" si="10"/>
        <v>x</v>
      </c>
      <c r="Z135" s="657">
        <f t="shared" si="10"/>
        <v>0</v>
      </c>
      <c r="AA135" s="658">
        <f t="shared" si="11"/>
        <v>0</v>
      </c>
      <c r="AB135" s="658">
        <f t="shared" ref="AB135:AB139" si="12">ROUND(AA135,0)</f>
        <v>0</v>
      </c>
      <c r="AC135" s="282" t="s">
        <v>200</v>
      </c>
      <c r="AD135" s="283"/>
      <c r="AE135" s="33"/>
    </row>
    <row r="136" spans="1:31" ht="18.649999999999999" customHeight="1" x14ac:dyDescent="0.3">
      <c r="A136" s="1112" t="s">
        <v>260</v>
      </c>
      <c r="B136" s="284" t="s">
        <v>64</v>
      </c>
      <c r="C136" s="287">
        <v>89.58</v>
      </c>
      <c r="D136" s="290">
        <v>1520.17</v>
      </c>
      <c r="E136" s="287">
        <v>49</v>
      </c>
      <c r="F136" s="290">
        <v>831.53</v>
      </c>
      <c r="G136" s="287">
        <v>41.42</v>
      </c>
      <c r="H136" s="290">
        <v>702.9</v>
      </c>
      <c r="I136" s="287"/>
      <c r="J136" s="290"/>
      <c r="K136" s="287"/>
      <c r="L136" s="290"/>
      <c r="M136" s="827"/>
      <c r="N136" s="290"/>
      <c r="O136" s="827"/>
      <c r="P136" s="290"/>
      <c r="Q136" s="827"/>
      <c r="R136" s="290"/>
      <c r="S136" s="827"/>
      <c r="T136" s="290"/>
      <c r="U136" s="659" t="s">
        <v>32</v>
      </c>
      <c r="V136" s="660">
        <f t="shared" ref="V136:V142" si="13">AVERAGE(L136,N136,P136,R136,T136,J136,H136,F136,D136)</f>
        <v>1018.1999999999999</v>
      </c>
      <c r="W136" s="659" t="s">
        <v>32</v>
      </c>
      <c r="X136" s="660">
        <f t="shared" si="10"/>
        <v>1018.1999999999999</v>
      </c>
      <c r="Y136" s="659" t="str">
        <f t="shared" si="10"/>
        <v>x</v>
      </c>
      <c r="Z136" s="660">
        <f t="shared" si="10"/>
        <v>1018.1999999999999</v>
      </c>
      <c r="AA136" s="661">
        <f t="shared" ref="AA136:AA137" si="14">D136+F136+H136+J136+L136+N136+P136+R136+T136+V136+X136+Z136</f>
        <v>6109.2</v>
      </c>
      <c r="AB136" s="661">
        <f>ROUND(AA136,0)</f>
        <v>6109</v>
      </c>
      <c r="AC136" s="282" t="s">
        <v>200</v>
      </c>
      <c r="AD136" s="283"/>
      <c r="AE136" s="33"/>
    </row>
    <row r="137" spans="1:31" ht="18.649999999999999" customHeight="1" x14ac:dyDescent="0.3">
      <c r="A137" s="1112"/>
      <c r="B137" s="284" t="s">
        <v>169</v>
      </c>
      <c r="C137" s="299"/>
      <c r="D137" s="290"/>
      <c r="E137" s="299"/>
      <c r="F137" s="290"/>
      <c r="G137" s="299"/>
      <c r="H137" s="290"/>
      <c r="I137" s="299"/>
      <c r="J137" s="290"/>
      <c r="K137" s="299"/>
      <c r="L137" s="290"/>
      <c r="M137" s="828"/>
      <c r="N137" s="290"/>
      <c r="O137" s="828"/>
      <c r="P137" s="290"/>
      <c r="Q137" s="828"/>
      <c r="R137" s="290"/>
      <c r="S137" s="828"/>
      <c r="T137" s="290"/>
      <c r="U137" s="662" t="s">
        <v>32</v>
      </c>
      <c r="V137" s="660">
        <v>0</v>
      </c>
      <c r="W137" s="662" t="s">
        <v>32</v>
      </c>
      <c r="X137" s="660">
        <f t="shared" si="10"/>
        <v>0</v>
      </c>
      <c r="Y137" s="662" t="str">
        <f t="shared" si="10"/>
        <v>x</v>
      </c>
      <c r="Z137" s="660">
        <f t="shared" si="10"/>
        <v>0</v>
      </c>
      <c r="AA137" s="661">
        <f t="shared" si="14"/>
        <v>0</v>
      </c>
      <c r="AB137" s="661">
        <f t="shared" ref="AB137" si="15">ROUND(AA137,0)</f>
        <v>0</v>
      </c>
      <c r="AC137" s="282" t="s">
        <v>200</v>
      </c>
      <c r="AD137" s="283"/>
    </row>
    <row r="138" spans="1:31" ht="27" customHeight="1" x14ac:dyDescent="0.3">
      <c r="A138" s="372" t="s">
        <v>170</v>
      </c>
      <c r="B138" s="284" t="s">
        <v>64</v>
      </c>
      <c r="C138" s="285">
        <v>39</v>
      </c>
      <c r="D138" s="286">
        <v>623.61</v>
      </c>
      <c r="E138" s="285">
        <v>20</v>
      </c>
      <c r="F138" s="286">
        <v>319.8</v>
      </c>
      <c r="G138" s="285">
        <v>9</v>
      </c>
      <c r="H138" s="286">
        <v>143.91</v>
      </c>
      <c r="I138" s="285">
        <v>9</v>
      </c>
      <c r="J138" s="286">
        <v>143.91</v>
      </c>
      <c r="K138" s="285"/>
      <c r="L138" s="286"/>
      <c r="M138" s="829"/>
      <c r="N138" s="286"/>
      <c r="O138" s="829">
        <v>32</v>
      </c>
      <c r="P138" s="286">
        <v>640</v>
      </c>
      <c r="Q138" s="829">
        <v>22</v>
      </c>
      <c r="R138" s="286">
        <v>440</v>
      </c>
      <c r="S138" s="829">
        <v>4</v>
      </c>
      <c r="T138" s="286">
        <v>80</v>
      </c>
      <c r="U138" s="663" t="s">
        <v>32</v>
      </c>
      <c r="V138" s="657">
        <f t="shared" si="13"/>
        <v>341.60428571428571</v>
      </c>
      <c r="W138" s="663" t="s">
        <v>32</v>
      </c>
      <c r="X138" s="657">
        <f t="shared" si="10"/>
        <v>341.60428571428571</v>
      </c>
      <c r="Y138" s="663" t="str">
        <f t="shared" si="10"/>
        <v>x</v>
      </c>
      <c r="Z138" s="657">
        <f t="shared" si="10"/>
        <v>341.60428571428571</v>
      </c>
      <c r="AA138" s="661">
        <f>D138+F138+H138+J138+L138+N138+P138+R138+T138+V138+X138+Z138</f>
        <v>3416.0428571428574</v>
      </c>
      <c r="AB138" s="661">
        <f t="shared" si="12"/>
        <v>3416</v>
      </c>
      <c r="AC138" s="282" t="s">
        <v>200</v>
      </c>
      <c r="AD138" s="283"/>
      <c r="AE138" s="33"/>
    </row>
    <row r="139" spans="1:31" ht="29.15" customHeight="1" x14ac:dyDescent="0.3">
      <c r="A139" s="372" t="s">
        <v>171</v>
      </c>
      <c r="B139" s="284" t="s">
        <v>64</v>
      </c>
      <c r="C139" s="287">
        <v>1</v>
      </c>
      <c r="D139" s="290">
        <v>25.25</v>
      </c>
      <c r="E139" s="287">
        <v>9</v>
      </c>
      <c r="F139" s="290">
        <v>227.25</v>
      </c>
      <c r="G139" s="287"/>
      <c r="H139" s="290"/>
      <c r="I139" s="287">
        <v>3</v>
      </c>
      <c r="J139" s="290">
        <v>75.75</v>
      </c>
      <c r="K139" s="287">
        <v>15.83</v>
      </c>
      <c r="L139" s="290">
        <v>332.51</v>
      </c>
      <c r="M139" s="827">
        <v>18.170000000000002</v>
      </c>
      <c r="N139" s="290">
        <v>391.59</v>
      </c>
      <c r="O139" s="827">
        <v>8</v>
      </c>
      <c r="P139" s="290">
        <v>163.6</v>
      </c>
      <c r="Q139" s="827">
        <v>6</v>
      </c>
      <c r="R139" s="290">
        <v>122.7</v>
      </c>
      <c r="S139" s="827"/>
      <c r="T139" s="290"/>
      <c r="U139" s="659" t="s">
        <v>32</v>
      </c>
      <c r="V139" s="660">
        <f t="shared" si="13"/>
        <v>191.23571428571429</v>
      </c>
      <c r="W139" s="659" t="s">
        <v>32</v>
      </c>
      <c r="X139" s="660">
        <f t="shared" si="10"/>
        <v>191.23571428571429</v>
      </c>
      <c r="Y139" s="659" t="str">
        <f t="shared" si="10"/>
        <v>x</v>
      </c>
      <c r="Z139" s="660">
        <f t="shared" si="10"/>
        <v>191.23571428571429</v>
      </c>
      <c r="AA139" s="661">
        <f t="shared" ref="AA139:AA142" si="16">D139+F139+H139+J139+L139+N139+P139+R139+T139+V139+X139+Z139</f>
        <v>1912.3571428571427</v>
      </c>
      <c r="AB139" s="661">
        <f t="shared" si="12"/>
        <v>1912</v>
      </c>
      <c r="AC139" s="282" t="s">
        <v>200</v>
      </c>
      <c r="AD139" s="283"/>
      <c r="AE139" s="33"/>
    </row>
    <row r="140" spans="1:31" ht="18.649999999999999" customHeight="1" x14ac:dyDescent="0.3">
      <c r="A140" s="1112" t="s">
        <v>307</v>
      </c>
      <c r="B140" s="284" t="s">
        <v>79</v>
      </c>
      <c r="C140" s="299"/>
      <c r="D140" s="290"/>
      <c r="E140" s="299"/>
      <c r="F140" s="290"/>
      <c r="G140" s="299"/>
      <c r="H140" s="290"/>
      <c r="I140" s="299"/>
      <c r="J140" s="290"/>
      <c r="K140" s="299"/>
      <c r="L140" s="290"/>
      <c r="M140" s="828">
        <v>0</v>
      </c>
      <c r="N140" s="290">
        <v>0</v>
      </c>
      <c r="O140" s="828">
        <f t="shared" ref="O140:O141" si="17">M140</f>
        <v>0</v>
      </c>
      <c r="P140" s="290">
        <f t="shared" ref="P140:P141" si="18">N140</f>
        <v>0</v>
      </c>
      <c r="Q140" s="828">
        <f t="shared" si="10"/>
        <v>0</v>
      </c>
      <c r="R140" s="290">
        <f t="shared" si="10"/>
        <v>0</v>
      </c>
      <c r="S140" s="828">
        <f t="shared" si="10"/>
        <v>0</v>
      </c>
      <c r="T140" s="290">
        <f t="shared" si="10"/>
        <v>0</v>
      </c>
      <c r="U140" s="662" t="s">
        <v>32</v>
      </c>
      <c r="V140" s="660">
        <f t="shared" si="13"/>
        <v>0</v>
      </c>
      <c r="W140" s="662" t="s">
        <v>32</v>
      </c>
      <c r="X140" s="660">
        <f t="shared" si="10"/>
        <v>0</v>
      </c>
      <c r="Y140" s="662" t="str">
        <f t="shared" si="10"/>
        <v>x</v>
      </c>
      <c r="Z140" s="660">
        <f t="shared" si="10"/>
        <v>0</v>
      </c>
      <c r="AA140" s="661">
        <f t="shared" si="16"/>
        <v>0</v>
      </c>
      <c r="AB140" s="661">
        <f>AA125</f>
        <v>542.04</v>
      </c>
      <c r="AC140" s="282" t="s">
        <v>200</v>
      </c>
      <c r="AD140" s="283"/>
      <c r="AE140" s="33"/>
    </row>
    <row r="141" spans="1:31" ht="28.5" customHeight="1" thickBot="1" x14ac:dyDescent="0.35">
      <c r="A141" s="1113"/>
      <c r="B141" s="291" t="s">
        <v>173</v>
      </c>
      <c r="C141" s="292"/>
      <c r="D141" s="293"/>
      <c r="E141" s="292"/>
      <c r="F141" s="293"/>
      <c r="G141" s="292"/>
      <c r="H141" s="293"/>
      <c r="I141" s="292"/>
      <c r="J141" s="293"/>
      <c r="K141" s="292"/>
      <c r="L141" s="293"/>
      <c r="M141" s="830">
        <v>0</v>
      </c>
      <c r="N141" s="293">
        <v>0</v>
      </c>
      <c r="O141" s="830">
        <f t="shared" si="17"/>
        <v>0</v>
      </c>
      <c r="P141" s="293">
        <f t="shared" si="18"/>
        <v>0</v>
      </c>
      <c r="Q141" s="830">
        <f t="shared" si="10"/>
        <v>0</v>
      </c>
      <c r="R141" s="293">
        <f t="shared" si="10"/>
        <v>0</v>
      </c>
      <c r="S141" s="830">
        <f t="shared" si="10"/>
        <v>0</v>
      </c>
      <c r="T141" s="293">
        <f t="shared" si="10"/>
        <v>0</v>
      </c>
      <c r="U141" s="664" t="s">
        <v>32</v>
      </c>
      <c r="V141" s="665">
        <f t="shared" si="13"/>
        <v>0</v>
      </c>
      <c r="W141" s="664" t="s">
        <v>32</v>
      </c>
      <c r="X141" s="665">
        <f t="shared" si="10"/>
        <v>0</v>
      </c>
      <c r="Y141" s="664" t="str">
        <f t="shared" si="10"/>
        <v>x</v>
      </c>
      <c r="Z141" s="665">
        <f t="shared" si="10"/>
        <v>0</v>
      </c>
      <c r="AA141" s="666">
        <f t="shared" si="16"/>
        <v>0</v>
      </c>
      <c r="AB141" s="666">
        <f>AA126</f>
        <v>226.56</v>
      </c>
      <c r="AC141" s="282" t="s">
        <v>200</v>
      </c>
      <c r="AD141" s="283"/>
      <c r="AE141" s="33"/>
    </row>
    <row r="142" spans="1:31" ht="18.649999999999999" customHeight="1" thickBot="1" x14ac:dyDescent="0.35">
      <c r="A142" s="300" t="s">
        <v>230</v>
      </c>
      <c r="B142" s="301" t="s">
        <v>211</v>
      </c>
      <c r="C142" s="302">
        <v>37</v>
      </c>
      <c r="D142" s="303">
        <v>12729.41</v>
      </c>
      <c r="E142" s="304">
        <v>40</v>
      </c>
      <c r="F142" s="303">
        <v>14953.55</v>
      </c>
      <c r="G142" s="304">
        <f>100+120</f>
        <v>220</v>
      </c>
      <c r="H142" s="303">
        <v>95844.44</v>
      </c>
      <c r="I142" s="304">
        <v>105</v>
      </c>
      <c r="J142" s="303">
        <v>42982.67</v>
      </c>
      <c r="K142" s="304">
        <v>107</v>
      </c>
      <c r="L142" s="303">
        <v>42938.98</v>
      </c>
      <c r="M142" s="304">
        <v>101</v>
      </c>
      <c r="N142" s="303">
        <v>39986.160000000003</v>
      </c>
      <c r="O142" s="304">
        <v>109</v>
      </c>
      <c r="P142" s="303">
        <v>45017.46</v>
      </c>
      <c r="Q142" s="304">
        <v>113</v>
      </c>
      <c r="R142" s="303">
        <v>45901.88</v>
      </c>
      <c r="S142" s="304">
        <v>110</v>
      </c>
      <c r="T142" s="303">
        <v>44831.12</v>
      </c>
      <c r="U142" s="836">
        <f>AVERAGE(K142,M142,O142,Q142,S142,I142,G142,E142,C142)</f>
        <v>104.66666666666667</v>
      </c>
      <c r="V142" s="665">
        <f t="shared" si="13"/>
        <v>42798.407777777778</v>
      </c>
      <c r="W142" s="837">
        <f t="shared" si="10"/>
        <v>104.66666666666667</v>
      </c>
      <c r="X142" s="667">
        <f t="shared" si="10"/>
        <v>42798.407777777778</v>
      </c>
      <c r="Y142" s="837">
        <f t="shared" si="10"/>
        <v>104.66666666666667</v>
      </c>
      <c r="Z142" s="667">
        <f t="shared" si="10"/>
        <v>42798.407777777778</v>
      </c>
      <c r="AA142" s="668">
        <f t="shared" si="16"/>
        <v>513580.89333333331</v>
      </c>
      <c r="AB142" s="668">
        <f>ROUND(AA142,0)</f>
        <v>513581</v>
      </c>
      <c r="AC142" s="282" t="s">
        <v>202</v>
      </c>
      <c r="AD142" s="283"/>
      <c r="AE142" s="33"/>
    </row>
    <row r="143" spans="1:31" ht="44.15" customHeight="1" x14ac:dyDescent="0.3">
      <c r="A143" s="1125" t="s">
        <v>340</v>
      </c>
      <c r="B143" s="1125"/>
      <c r="C143" s="1125"/>
      <c r="D143" s="1125"/>
      <c r="E143" s="1125"/>
      <c r="F143" s="1125"/>
      <c r="G143" s="1125"/>
      <c r="H143" s="1125"/>
      <c r="I143" s="1125"/>
      <c r="J143" s="1125"/>
      <c r="K143" s="1125"/>
      <c r="L143" s="1125"/>
      <c r="M143" s="1125"/>
      <c r="N143" s="1125"/>
      <c r="O143" s="1125"/>
      <c r="P143" s="1125"/>
      <c r="Q143" s="1125"/>
      <c r="R143" s="1125"/>
      <c r="S143" s="1125"/>
      <c r="T143" s="1125"/>
      <c r="U143" s="1125"/>
      <c r="V143" s="1125"/>
      <c r="W143" s="1125"/>
      <c r="X143" s="1125"/>
      <c r="Y143" s="1125"/>
      <c r="Z143" s="1125"/>
      <c r="AA143" s="1125"/>
      <c r="AB143" s="1125"/>
    </row>
  </sheetData>
  <mergeCells count="241">
    <mergeCell ref="A121:A122"/>
    <mergeCell ref="A136:A137"/>
    <mergeCell ref="A133:B133"/>
    <mergeCell ref="A134:A135"/>
    <mergeCell ref="A140:A141"/>
    <mergeCell ref="A143:AB143"/>
    <mergeCell ref="Y129:Z129"/>
    <mergeCell ref="C130:D130"/>
    <mergeCell ref="E130:F130"/>
    <mergeCell ref="G130:H130"/>
    <mergeCell ref="I130:J130"/>
    <mergeCell ref="K130:L130"/>
    <mergeCell ref="M130:N130"/>
    <mergeCell ref="O130:P130"/>
    <mergeCell ref="Q130:R130"/>
    <mergeCell ref="S130:T130"/>
    <mergeCell ref="U130:V130"/>
    <mergeCell ref="W130:X130"/>
    <mergeCell ref="Y130:Z130"/>
    <mergeCell ref="A87:B87"/>
    <mergeCell ref="A94:X94"/>
    <mergeCell ref="A95:X95"/>
    <mergeCell ref="A96:X96"/>
    <mergeCell ref="A97:X97"/>
    <mergeCell ref="A129:B132"/>
    <mergeCell ref="C129:D129"/>
    <mergeCell ref="E129:F129"/>
    <mergeCell ref="G129:H129"/>
    <mergeCell ref="I129:J129"/>
    <mergeCell ref="K129:L129"/>
    <mergeCell ref="M129:N129"/>
    <mergeCell ref="O129:P129"/>
    <mergeCell ref="Q129:R129"/>
    <mergeCell ref="S129:T129"/>
    <mergeCell ref="U129:V129"/>
    <mergeCell ref="W129:X129"/>
    <mergeCell ref="A119:A120"/>
    <mergeCell ref="A125:A126"/>
    <mergeCell ref="S115:T115"/>
    <mergeCell ref="U115:V115"/>
    <mergeCell ref="W115:X115"/>
    <mergeCell ref="G102:H102"/>
    <mergeCell ref="I102:J102"/>
    <mergeCell ref="O85:P85"/>
    <mergeCell ref="Q85:R85"/>
    <mergeCell ref="S85:T85"/>
    <mergeCell ref="U85:V85"/>
    <mergeCell ref="W85:X85"/>
    <mergeCell ref="Y85:Z85"/>
    <mergeCell ref="A86:B86"/>
    <mergeCell ref="C86:D86"/>
    <mergeCell ref="E86:F86"/>
    <mergeCell ref="G86:H86"/>
    <mergeCell ref="I86:J86"/>
    <mergeCell ref="K86:L86"/>
    <mergeCell ref="M86:N86"/>
    <mergeCell ref="O86:P86"/>
    <mergeCell ref="Q86:R86"/>
    <mergeCell ref="S86:T86"/>
    <mergeCell ref="U86:V86"/>
    <mergeCell ref="W86:X86"/>
    <mergeCell ref="Y86:Z86"/>
    <mergeCell ref="A79:E79"/>
    <mergeCell ref="A80:E80"/>
    <mergeCell ref="A85:B85"/>
    <mergeCell ref="C85:D85"/>
    <mergeCell ref="E85:F85"/>
    <mergeCell ref="G85:H85"/>
    <mergeCell ref="I85:J85"/>
    <mergeCell ref="K85:L85"/>
    <mergeCell ref="M85:N85"/>
    <mergeCell ref="A69:G69"/>
    <mergeCell ref="A71:E71"/>
    <mergeCell ref="A72:E72"/>
    <mergeCell ref="A73:E73"/>
    <mergeCell ref="A74:E74"/>
    <mergeCell ref="A75:E75"/>
    <mergeCell ref="A76:E76"/>
    <mergeCell ref="A77:E77"/>
    <mergeCell ref="A78:E78"/>
    <mergeCell ref="Y115:Z115"/>
    <mergeCell ref="A118:B118"/>
    <mergeCell ref="W114:X114"/>
    <mergeCell ref="Y114:Z114"/>
    <mergeCell ref="C115:D115"/>
    <mergeCell ref="E115:F115"/>
    <mergeCell ref="G115:H115"/>
    <mergeCell ref="I115:J115"/>
    <mergeCell ref="K115:L115"/>
    <mergeCell ref="M115:N115"/>
    <mergeCell ref="O115:P115"/>
    <mergeCell ref="Q115:R115"/>
    <mergeCell ref="K114:L114"/>
    <mergeCell ref="M114:N114"/>
    <mergeCell ref="O114:P114"/>
    <mergeCell ref="Q114:R114"/>
    <mergeCell ref="S114:T114"/>
    <mergeCell ref="U114:V114"/>
    <mergeCell ref="K102:L102"/>
    <mergeCell ref="M102:N102"/>
    <mergeCell ref="A113:B113"/>
    <mergeCell ref="A114:B117"/>
    <mergeCell ref="C114:D114"/>
    <mergeCell ref="E114:F114"/>
    <mergeCell ref="G114:H114"/>
    <mergeCell ref="I114:J114"/>
    <mergeCell ref="A105:B105"/>
    <mergeCell ref="A106:A107"/>
    <mergeCell ref="A110:A111"/>
    <mergeCell ref="O101:P101"/>
    <mergeCell ref="Q101:R101"/>
    <mergeCell ref="S101:T101"/>
    <mergeCell ref="U101:V101"/>
    <mergeCell ref="W101:X101"/>
    <mergeCell ref="Y101:Z101"/>
    <mergeCell ref="A65:X65"/>
    <mergeCell ref="A66:X66"/>
    <mergeCell ref="A67:X67"/>
    <mergeCell ref="A101:B104"/>
    <mergeCell ref="C101:D101"/>
    <mergeCell ref="E101:F101"/>
    <mergeCell ref="G101:H101"/>
    <mergeCell ref="I101:J101"/>
    <mergeCell ref="K101:L101"/>
    <mergeCell ref="M101:N101"/>
    <mergeCell ref="O102:P102"/>
    <mergeCell ref="Q102:R102"/>
    <mergeCell ref="S102:T102"/>
    <mergeCell ref="U102:V102"/>
    <mergeCell ref="W102:X102"/>
    <mergeCell ref="Y102:Z102"/>
    <mergeCell ref="C102:D102"/>
    <mergeCell ref="E102:F102"/>
    <mergeCell ref="S56:T56"/>
    <mergeCell ref="U56:V56"/>
    <mergeCell ref="W56:X56"/>
    <mergeCell ref="Y56:Z56"/>
    <mergeCell ref="A57:B57"/>
    <mergeCell ref="A64:X64"/>
    <mergeCell ref="Y55:Z55"/>
    <mergeCell ref="A56:B56"/>
    <mergeCell ref="C56:D56"/>
    <mergeCell ref="E56:F56"/>
    <mergeCell ref="G56:H56"/>
    <mergeCell ref="I56:J56"/>
    <mergeCell ref="K56:L56"/>
    <mergeCell ref="M56:N56"/>
    <mergeCell ref="O56:P56"/>
    <mergeCell ref="Q56:R56"/>
    <mergeCell ref="M55:N55"/>
    <mergeCell ref="O55:P55"/>
    <mergeCell ref="Q55:R55"/>
    <mergeCell ref="S55:T55"/>
    <mergeCell ref="U55:V55"/>
    <mergeCell ref="W55:X55"/>
    <mergeCell ref="A55:B55"/>
    <mergeCell ref="C55:D55"/>
    <mergeCell ref="E55:F55"/>
    <mergeCell ref="G55:H55"/>
    <mergeCell ref="I55:J55"/>
    <mergeCell ref="K55:L55"/>
    <mergeCell ref="A45:E45"/>
    <mergeCell ref="A46:E46"/>
    <mergeCell ref="A47:E47"/>
    <mergeCell ref="A48:E48"/>
    <mergeCell ref="A49:E49"/>
    <mergeCell ref="A50:E50"/>
    <mergeCell ref="A43:E43"/>
    <mergeCell ref="A44:E44"/>
    <mergeCell ref="W30:X30"/>
    <mergeCell ref="Y30:Z30"/>
    <mergeCell ref="A31:B31"/>
    <mergeCell ref="A38:X38"/>
    <mergeCell ref="K30:L30"/>
    <mergeCell ref="M30:N30"/>
    <mergeCell ref="O30:P30"/>
    <mergeCell ref="Q30:R30"/>
    <mergeCell ref="S30:T30"/>
    <mergeCell ref="U30:V30"/>
    <mergeCell ref="A30:B30"/>
    <mergeCell ref="C30:D30"/>
    <mergeCell ref="E30:F30"/>
    <mergeCell ref="G30:H30"/>
    <mergeCell ref="I30:J30"/>
    <mergeCell ref="A39:G39"/>
    <mergeCell ref="A41:E41"/>
    <mergeCell ref="A42:E42"/>
    <mergeCell ref="Y6:Z6"/>
    <mergeCell ref="A29:B29"/>
    <mergeCell ref="C29:D29"/>
    <mergeCell ref="E29:F29"/>
    <mergeCell ref="A19:E19"/>
    <mergeCell ref="M6:N6"/>
    <mergeCell ref="U29:V29"/>
    <mergeCell ref="W29:X29"/>
    <mergeCell ref="Y29:Z29"/>
    <mergeCell ref="A26:E26"/>
    <mergeCell ref="A7:B7"/>
    <mergeCell ref="A15:G15"/>
    <mergeCell ref="A17:E17"/>
    <mergeCell ref="A18:E18"/>
    <mergeCell ref="A20:E20"/>
    <mergeCell ref="A21:E21"/>
    <mergeCell ref="A22:E22"/>
    <mergeCell ref="A23:E23"/>
    <mergeCell ref="A24:E24"/>
    <mergeCell ref="A25:E25"/>
    <mergeCell ref="A6:B6"/>
    <mergeCell ref="C6:D6"/>
    <mergeCell ref="E6:F6"/>
    <mergeCell ref="U6:V6"/>
    <mergeCell ref="W6:X6"/>
    <mergeCell ref="G29:H29"/>
    <mergeCell ref="I29:J29"/>
    <mergeCell ref="K29:L29"/>
    <mergeCell ref="M29:N29"/>
    <mergeCell ref="O29:P29"/>
    <mergeCell ref="Q29:R29"/>
    <mergeCell ref="S29:T29"/>
    <mergeCell ref="K6:L6"/>
    <mergeCell ref="G6:H6"/>
    <mergeCell ref="I6:J6"/>
    <mergeCell ref="Q6:R6"/>
    <mergeCell ref="S6:T6"/>
    <mergeCell ref="O6:P6"/>
    <mergeCell ref="A1:AA1"/>
    <mergeCell ref="A2:AA2"/>
    <mergeCell ref="A3:AA3"/>
    <mergeCell ref="A5:B5"/>
    <mergeCell ref="C5:D5"/>
    <mergeCell ref="E5:F5"/>
    <mergeCell ref="G5:H5"/>
    <mergeCell ref="I5:J5"/>
    <mergeCell ref="K5:L5"/>
    <mergeCell ref="M5:N5"/>
    <mergeCell ref="O5:P5"/>
    <mergeCell ref="Q5:R5"/>
    <mergeCell ref="S5:T5"/>
    <mergeCell ref="U5:V5"/>
    <mergeCell ref="W5:X5"/>
    <mergeCell ref="Y5:Z5"/>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9446A-653B-4BC7-9E99-636B1435131C}">
  <dimension ref="A1:AK102"/>
  <sheetViews>
    <sheetView zoomScale="40" zoomScaleNormal="40" workbookViewId="0">
      <pane ySplit="4" topLeftCell="A47" activePane="bottomLeft" state="frozen"/>
      <selection activeCell="T50" sqref="T50"/>
      <selection pane="bottomLeft" activeCell="V67" sqref="V67"/>
    </sheetView>
  </sheetViews>
  <sheetFormatPr defaultColWidth="8.81640625" defaultRowHeight="14" x14ac:dyDescent="0.3"/>
  <cols>
    <col min="1" max="1" width="15.453125" style="15" customWidth="1"/>
    <col min="2" max="2" width="43.81640625" style="3" customWidth="1"/>
    <col min="3" max="3" width="11.81640625" style="3" customWidth="1"/>
    <col min="4" max="4" width="7.453125" style="3" customWidth="1"/>
    <col min="5" max="8" width="10" style="3" customWidth="1"/>
    <col min="9" max="9" width="13.1796875" style="3" bestFit="1" customWidth="1"/>
    <col min="10" max="10" width="7.453125" style="3" customWidth="1"/>
    <col min="11" max="11" width="11.81640625" style="3" customWidth="1"/>
    <col min="12" max="12" width="7.453125" style="3" customWidth="1"/>
    <col min="13" max="13" width="13.1796875" style="3" bestFit="1" customWidth="1"/>
    <col min="14" max="14" width="7.453125" style="3" customWidth="1"/>
    <col min="15" max="15" width="11.81640625" style="3" customWidth="1"/>
    <col min="16" max="16" width="7.453125" style="3" customWidth="1"/>
    <col min="17" max="17" width="11.81640625" style="3" customWidth="1"/>
    <col min="18" max="18" width="7.453125" style="3" customWidth="1"/>
    <col min="19" max="19" width="11.81640625" style="3" customWidth="1"/>
    <col min="20" max="20" width="7.453125" style="3" customWidth="1"/>
    <col min="21" max="21" width="11.81640625" style="3" customWidth="1"/>
    <col min="22" max="22" width="7.453125" style="3" customWidth="1"/>
    <col min="23" max="23" width="13" style="3" customWidth="1"/>
    <col min="24" max="24" width="7.453125" style="3" customWidth="1"/>
    <col min="25" max="25" width="11.81640625" style="3" customWidth="1"/>
    <col min="26" max="26" width="7.453125" style="3" customWidth="1"/>
    <col min="27" max="27" width="11.81640625" style="3" customWidth="1"/>
    <col min="28" max="29" width="14.1796875" style="3" customWidth="1"/>
    <col min="30" max="30" width="16.81640625" style="33" hidden="1" customWidth="1"/>
    <col min="31" max="31" width="8.81640625" style="33" hidden="1" customWidth="1"/>
    <col min="32" max="16384" width="8.81640625" style="3"/>
  </cols>
  <sheetData>
    <row r="1" spans="1:37" ht="18" x14ac:dyDescent="0.3">
      <c r="A1" s="1096" t="s">
        <v>134</v>
      </c>
      <c r="B1" s="1096"/>
      <c r="C1" s="1096"/>
      <c r="D1" s="1096"/>
      <c r="E1" s="1096"/>
      <c r="F1" s="1096"/>
      <c r="G1" s="1096"/>
      <c r="H1" s="1096"/>
      <c r="I1" s="1096"/>
      <c r="J1" s="1096"/>
      <c r="K1" s="1096"/>
      <c r="L1" s="1096"/>
      <c r="M1" s="1096"/>
      <c r="N1" s="1096"/>
      <c r="O1" s="1096"/>
      <c r="P1" s="1096"/>
      <c r="Q1" s="1096"/>
      <c r="R1" s="1096"/>
      <c r="S1" s="1096"/>
      <c r="T1" s="1096"/>
      <c r="U1" s="1096"/>
      <c r="V1" s="1096"/>
      <c r="W1" s="1096"/>
      <c r="X1" s="1096"/>
      <c r="Y1" s="1096"/>
      <c r="Z1" s="1096"/>
      <c r="AA1" s="1096"/>
      <c r="AB1" s="1096"/>
      <c r="AC1" s="1096"/>
    </row>
    <row r="2" spans="1:37" ht="18" x14ac:dyDescent="0.3">
      <c r="A2" s="1096" t="s">
        <v>243</v>
      </c>
      <c r="B2" s="1096"/>
      <c r="C2" s="1096"/>
      <c r="D2" s="1096"/>
      <c r="E2" s="1096"/>
      <c r="F2" s="1096"/>
      <c r="G2" s="1096"/>
      <c r="H2" s="1096"/>
      <c r="I2" s="1096"/>
      <c r="J2" s="1096"/>
      <c r="K2" s="1096"/>
      <c r="L2" s="1096"/>
      <c r="M2" s="1096"/>
      <c r="N2" s="1096"/>
      <c r="O2" s="1096"/>
      <c r="P2" s="1096"/>
      <c r="Q2" s="1096"/>
      <c r="R2" s="1096"/>
      <c r="S2" s="1096"/>
      <c r="T2" s="1096"/>
      <c r="U2" s="1096"/>
      <c r="V2" s="1096"/>
      <c r="W2" s="1096"/>
      <c r="X2" s="1096"/>
      <c r="Y2" s="1096"/>
      <c r="Z2" s="1096"/>
      <c r="AA2" s="1096"/>
      <c r="AB2" s="1096"/>
      <c r="AC2" s="1096"/>
    </row>
    <row r="3" spans="1:37" ht="44.5" customHeight="1" x14ac:dyDescent="0.3">
      <c r="A3" s="1198" t="s">
        <v>369</v>
      </c>
      <c r="B3" s="1198"/>
      <c r="C3" s="1198"/>
      <c r="D3" s="1198"/>
      <c r="E3" s="1198"/>
      <c r="F3" s="1198"/>
      <c r="G3" s="1198"/>
      <c r="H3" s="1198"/>
      <c r="I3" s="1198"/>
      <c r="J3" s="1198"/>
      <c r="K3" s="1198"/>
      <c r="L3" s="1198"/>
      <c r="M3" s="1198"/>
      <c r="N3" s="1198"/>
      <c r="O3" s="1198"/>
      <c r="P3" s="1198"/>
      <c r="Q3" s="1198"/>
      <c r="R3" s="1198"/>
      <c r="S3" s="1198"/>
      <c r="T3" s="1198"/>
      <c r="U3" s="1198"/>
      <c r="V3" s="1198"/>
      <c r="W3" s="1198"/>
      <c r="X3" s="1198"/>
      <c r="Y3" s="1198"/>
      <c r="Z3" s="1198"/>
      <c r="AA3" s="1198"/>
      <c r="AB3" s="1198"/>
      <c r="AC3" s="1198"/>
    </row>
    <row r="4" spans="1:37" ht="40.5" customHeight="1" thickBot="1" x14ac:dyDescent="0.35">
      <c r="A4" s="550" t="s">
        <v>95</v>
      </c>
      <c r="B4" s="1157" t="s">
        <v>280</v>
      </c>
      <c r="C4" s="1157"/>
      <c r="D4" s="1157"/>
      <c r="E4" s="1157"/>
      <c r="F4" s="1157"/>
      <c r="G4" s="1157"/>
      <c r="H4" s="1157"/>
      <c r="I4" s="1157"/>
      <c r="J4" s="1157"/>
      <c r="K4" s="1157"/>
      <c r="L4" s="1157"/>
      <c r="M4" s="1157"/>
      <c r="N4" s="1157"/>
      <c r="O4" s="1157"/>
      <c r="P4" s="1157"/>
      <c r="Q4" s="1157"/>
      <c r="R4" s="1157"/>
      <c r="S4" s="1157"/>
      <c r="T4" s="1157"/>
      <c r="U4" s="1157"/>
      <c r="V4" s="1157"/>
      <c r="W4" s="1157"/>
      <c r="X4" s="1157"/>
      <c r="Y4" s="1157"/>
      <c r="Z4" s="1157"/>
      <c r="AA4" s="1157"/>
      <c r="AB4" s="1157"/>
    </row>
    <row r="5" spans="1:37" x14ac:dyDescent="0.3">
      <c r="A5" s="202"/>
      <c r="B5" s="1145" t="s">
        <v>38</v>
      </c>
      <c r="C5" s="1146"/>
      <c r="D5" s="1126" t="s">
        <v>82</v>
      </c>
      <c r="E5" s="1126"/>
      <c r="F5" s="1126" t="s">
        <v>82</v>
      </c>
      <c r="G5" s="1126"/>
      <c r="H5" s="1126" t="s">
        <v>82</v>
      </c>
      <c r="I5" s="1126"/>
      <c r="J5" s="1126" t="s">
        <v>82</v>
      </c>
      <c r="K5" s="1126"/>
      <c r="L5" s="1126" t="s">
        <v>82</v>
      </c>
      <c r="M5" s="1126"/>
      <c r="N5" s="1126" t="s">
        <v>82</v>
      </c>
      <c r="O5" s="1126"/>
      <c r="P5" s="1126" t="s">
        <v>82</v>
      </c>
      <c r="Q5" s="1126"/>
      <c r="R5" s="1126" t="s">
        <v>82</v>
      </c>
      <c r="S5" s="1126"/>
      <c r="T5" s="1136" t="s">
        <v>82</v>
      </c>
      <c r="U5" s="1136"/>
      <c r="V5" s="1136" t="s">
        <v>82</v>
      </c>
      <c r="W5" s="1136"/>
      <c r="X5" s="1136" t="s">
        <v>82</v>
      </c>
      <c r="Y5" s="1136"/>
      <c r="Z5" s="1136" t="s">
        <v>82</v>
      </c>
      <c r="AA5" s="1136"/>
      <c r="AB5" s="203" t="s">
        <v>82</v>
      </c>
    </row>
    <row r="6" spans="1:37" x14ac:dyDescent="0.3">
      <c r="A6" s="202"/>
      <c r="B6" s="1147"/>
      <c r="C6" s="1148"/>
      <c r="D6" s="1108" t="s">
        <v>87</v>
      </c>
      <c r="E6" s="1108"/>
      <c r="F6" s="1108" t="s">
        <v>88</v>
      </c>
      <c r="G6" s="1108"/>
      <c r="H6" s="1108" t="s">
        <v>14</v>
      </c>
      <c r="I6" s="1108"/>
      <c r="J6" s="1108" t="s">
        <v>15</v>
      </c>
      <c r="K6" s="1108"/>
      <c r="L6" s="1158" t="s">
        <v>16</v>
      </c>
      <c r="M6" s="1159"/>
      <c r="N6" s="1108" t="s">
        <v>17</v>
      </c>
      <c r="O6" s="1108"/>
      <c r="P6" s="1158" t="s">
        <v>18</v>
      </c>
      <c r="Q6" s="1159"/>
      <c r="R6" s="1108" t="s">
        <v>19</v>
      </c>
      <c r="S6" s="1108"/>
      <c r="T6" s="1137" t="s">
        <v>20</v>
      </c>
      <c r="U6" s="1135"/>
      <c r="V6" s="1135" t="s">
        <v>21</v>
      </c>
      <c r="W6" s="1135"/>
      <c r="X6" s="1135" t="s">
        <v>22</v>
      </c>
      <c r="Y6" s="1135"/>
      <c r="Z6" s="1135" t="s">
        <v>23</v>
      </c>
      <c r="AA6" s="1135"/>
      <c r="AB6" s="204" t="s">
        <v>36</v>
      </c>
    </row>
    <row r="7" spans="1:37" x14ac:dyDescent="0.3">
      <c r="A7" s="202"/>
      <c r="B7" s="1147"/>
      <c r="C7" s="1148"/>
      <c r="D7" s="159"/>
      <c r="E7" s="160" t="s">
        <v>24</v>
      </c>
      <c r="F7" s="161"/>
      <c r="G7" s="162" t="s">
        <v>24</v>
      </c>
      <c r="H7" s="159"/>
      <c r="I7" s="160" t="s">
        <v>24</v>
      </c>
      <c r="J7" s="161"/>
      <c r="K7" s="162" t="s">
        <v>24</v>
      </c>
      <c r="L7" s="159"/>
      <c r="M7" s="162" t="s">
        <v>24</v>
      </c>
      <c r="N7" s="159"/>
      <c r="O7" s="162" t="s">
        <v>24</v>
      </c>
      <c r="P7" s="159"/>
      <c r="Q7" s="162" t="s">
        <v>24</v>
      </c>
      <c r="R7" s="159"/>
      <c r="S7" s="162" t="s">
        <v>24</v>
      </c>
      <c r="T7" s="205"/>
      <c r="U7" s="206" t="s">
        <v>24</v>
      </c>
      <c r="V7" s="207"/>
      <c r="W7" s="206" t="s">
        <v>24</v>
      </c>
      <c r="X7" s="207"/>
      <c r="Y7" s="206" t="s">
        <v>24</v>
      </c>
      <c r="Z7" s="207"/>
      <c r="AA7" s="206" t="s">
        <v>24</v>
      </c>
      <c r="AB7" s="208" t="s">
        <v>24</v>
      </c>
    </row>
    <row r="8" spans="1:37" ht="59.5" customHeight="1" x14ac:dyDescent="0.3">
      <c r="A8" s="202"/>
      <c r="B8" s="1149"/>
      <c r="C8" s="1150"/>
      <c r="D8" s="167" t="s">
        <v>26</v>
      </c>
      <c r="E8" s="259" t="s">
        <v>27</v>
      </c>
      <c r="F8" s="169" t="s">
        <v>26</v>
      </c>
      <c r="G8" s="209" t="s">
        <v>27</v>
      </c>
      <c r="H8" s="167" t="s">
        <v>26</v>
      </c>
      <c r="I8" s="259" t="s">
        <v>27</v>
      </c>
      <c r="J8" s="169" t="s">
        <v>26</v>
      </c>
      <c r="K8" s="209" t="s">
        <v>27</v>
      </c>
      <c r="L8" s="167" t="s">
        <v>26</v>
      </c>
      <c r="M8" s="209" t="s">
        <v>27</v>
      </c>
      <c r="N8" s="167" t="s">
        <v>26</v>
      </c>
      <c r="O8" s="209" t="s">
        <v>27</v>
      </c>
      <c r="P8" s="167" t="s">
        <v>26</v>
      </c>
      <c r="Q8" s="209" t="s">
        <v>27</v>
      </c>
      <c r="R8" s="167" t="s">
        <v>26</v>
      </c>
      <c r="S8" s="209" t="s">
        <v>27</v>
      </c>
      <c r="T8" s="210" t="s">
        <v>26</v>
      </c>
      <c r="U8" s="209" t="s">
        <v>27</v>
      </c>
      <c r="V8" s="211" t="s">
        <v>26</v>
      </c>
      <c r="W8" s="209" t="s">
        <v>27</v>
      </c>
      <c r="X8" s="211" t="s">
        <v>26</v>
      </c>
      <c r="Y8" s="209" t="s">
        <v>27</v>
      </c>
      <c r="Z8" s="211" t="s">
        <v>26</v>
      </c>
      <c r="AA8" s="209" t="s">
        <v>27</v>
      </c>
      <c r="AB8" s="204" t="s">
        <v>27</v>
      </c>
    </row>
    <row r="9" spans="1:37" x14ac:dyDescent="0.3">
      <c r="A9" s="202"/>
      <c r="B9" s="1151" t="s">
        <v>39</v>
      </c>
      <c r="C9" s="1152"/>
      <c r="D9" s="175">
        <v>1</v>
      </c>
      <c r="E9" s="176">
        <v>2</v>
      </c>
      <c r="F9" s="177">
        <v>3</v>
      </c>
      <c r="G9" s="178">
        <v>4</v>
      </c>
      <c r="H9" s="175">
        <v>5</v>
      </c>
      <c r="I9" s="176">
        <v>6</v>
      </c>
      <c r="J9" s="177">
        <v>7</v>
      </c>
      <c r="K9" s="178">
        <v>8</v>
      </c>
      <c r="L9" s="175">
        <v>9</v>
      </c>
      <c r="M9" s="178">
        <v>10</v>
      </c>
      <c r="N9" s="175">
        <v>11</v>
      </c>
      <c r="O9" s="178">
        <v>12</v>
      </c>
      <c r="P9" s="175">
        <v>13</v>
      </c>
      <c r="Q9" s="178">
        <v>14</v>
      </c>
      <c r="R9" s="175">
        <v>15</v>
      </c>
      <c r="S9" s="178">
        <v>16</v>
      </c>
      <c r="T9" s="212">
        <v>17</v>
      </c>
      <c r="U9" s="213">
        <v>18</v>
      </c>
      <c r="V9" s="213">
        <v>19</v>
      </c>
      <c r="W9" s="213">
        <v>20</v>
      </c>
      <c r="X9" s="213">
        <v>21</v>
      </c>
      <c r="Y9" s="213">
        <v>22</v>
      </c>
      <c r="Z9" s="213">
        <v>23</v>
      </c>
      <c r="AA9" s="213">
        <v>24</v>
      </c>
      <c r="AB9" s="214">
        <v>25</v>
      </c>
    </row>
    <row r="10" spans="1:37" ht="85.5" customHeight="1" x14ac:dyDescent="0.3">
      <c r="A10" s="215" t="s">
        <v>370</v>
      </c>
      <c r="B10" s="1129" t="s">
        <v>226</v>
      </c>
      <c r="C10" s="1130"/>
      <c r="D10" s="184">
        <v>6671</v>
      </c>
      <c r="E10" s="187">
        <v>567520.88</v>
      </c>
      <c r="F10" s="184">
        <v>6308</v>
      </c>
      <c r="G10" s="187">
        <v>545157.7699999999</v>
      </c>
      <c r="H10" s="184">
        <v>6119</v>
      </c>
      <c r="I10" s="187">
        <v>527272.93999999994</v>
      </c>
      <c r="J10" s="184">
        <v>5471</v>
      </c>
      <c r="K10" s="187">
        <v>440922.64000000007</v>
      </c>
      <c r="L10" s="185">
        <v>4898</v>
      </c>
      <c r="M10" s="188">
        <v>404017.9599999999</v>
      </c>
      <c r="N10" s="184">
        <v>4416</v>
      </c>
      <c r="O10" s="187">
        <v>361883.32</v>
      </c>
      <c r="P10" s="185">
        <v>4231</v>
      </c>
      <c r="Q10" s="188">
        <v>396198.81</v>
      </c>
      <c r="R10" s="184">
        <v>4183</v>
      </c>
      <c r="S10" s="187">
        <v>399625.98000000004</v>
      </c>
      <c r="T10" s="217">
        <v>3792</v>
      </c>
      <c r="U10" s="187">
        <v>353240.4599999999</v>
      </c>
      <c r="V10" s="217">
        <v>3582</v>
      </c>
      <c r="W10" s="187">
        <v>338438.36000000004</v>
      </c>
      <c r="X10" s="217">
        <v>3616</v>
      </c>
      <c r="Y10" s="218">
        <v>341929.93999999994</v>
      </c>
      <c r="Z10" s="217">
        <v>3304</v>
      </c>
      <c r="AA10" s="218">
        <v>299124.70999999996</v>
      </c>
      <c r="AB10" s="419">
        <f t="shared" ref="AB10:AB12" si="0">I10+K10+M10+O10+Q10+S10+U10+W10+Y10+AA10+G10+E10</f>
        <v>4975333.7699999996</v>
      </c>
      <c r="AC10" s="7"/>
      <c r="AD10" s="244"/>
      <c r="AE10" s="244"/>
      <c r="AF10" s="7"/>
      <c r="AG10" s="7"/>
      <c r="AH10" s="7"/>
      <c r="AI10" s="7"/>
      <c r="AJ10" s="7"/>
      <c r="AK10" s="7"/>
    </row>
    <row r="11" spans="1:37" ht="62.5" customHeight="1" x14ac:dyDescent="0.3">
      <c r="A11" s="215" t="s">
        <v>374</v>
      </c>
      <c r="B11" s="1129" t="s">
        <v>227</v>
      </c>
      <c r="C11" s="1130"/>
      <c r="D11" s="184">
        <v>816</v>
      </c>
      <c r="E11" s="187">
        <v>202370</v>
      </c>
      <c r="F11" s="184">
        <v>628</v>
      </c>
      <c r="G11" s="187">
        <v>156356</v>
      </c>
      <c r="H11" s="184">
        <v>605</v>
      </c>
      <c r="I11" s="187">
        <v>152674</v>
      </c>
      <c r="J11" s="184">
        <v>423</v>
      </c>
      <c r="K11" s="187">
        <v>104716</v>
      </c>
      <c r="L11" s="185">
        <v>363</v>
      </c>
      <c r="M11" s="188">
        <v>90150</v>
      </c>
      <c r="N11" s="184">
        <v>446</v>
      </c>
      <c r="O11" s="187">
        <v>113948</v>
      </c>
      <c r="P11" s="185">
        <v>505</v>
      </c>
      <c r="Q11" s="188">
        <v>124441</v>
      </c>
      <c r="R11" s="184">
        <v>526</v>
      </c>
      <c r="S11" s="187">
        <v>131383</v>
      </c>
      <c r="T11" s="217">
        <v>423</v>
      </c>
      <c r="U11" s="187">
        <v>105168.25</v>
      </c>
      <c r="V11" s="217">
        <v>414</v>
      </c>
      <c r="W11" s="187">
        <v>105800.5</v>
      </c>
      <c r="X11" s="217">
        <v>430</v>
      </c>
      <c r="Y11" s="218">
        <v>110511</v>
      </c>
      <c r="Z11" s="217">
        <v>230</v>
      </c>
      <c r="AA11" s="218">
        <v>71322</v>
      </c>
      <c r="AB11" s="419">
        <f t="shared" si="0"/>
        <v>1468839.75</v>
      </c>
    </row>
    <row r="12" spans="1:37" ht="48.65" customHeight="1" thickBot="1" x14ac:dyDescent="0.35">
      <c r="A12" s="215" t="s">
        <v>375</v>
      </c>
      <c r="B12" s="1153" t="s">
        <v>9</v>
      </c>
      <c r="C12" s="1154"/>
      <c r="D12" s="219">
        <v>5156</v>
      </c>
      <c r="E12" s="234">
        <v>716601.25000000012</v>
      </c>
      <c r="F12" s="219">
        <v>5655</v>
      </c>
      <c r="G12" s="234">
        <v>888002.39</v>
      </c>
      <c r="H12" s="219">
        <v>6018</v>
      </c>
      <c r="I12" s="234">
        <v>976591.66999999993</v>
      </c>
      <c r="J12" s="219">
        <v>5911</v>
      </c>
      <c r="K12" s="234">
        <v>893401.78999999992</v>
      </c>
      <c r="L12" s="220">
        <v>5694</v>
      </c>
      <c r="M12" s="635">
        <v>718064.92999999993</v>
      </c>
      <c r="N12" s="219">
        <v>4437</v>
      </c>
      <c r="O12" s="234">
        <v>473345.10000000003</v>
      </c>
      <c r="P12" s="220">
        <v>4012</v>
      </c>
      <c r="Q12" s="635">
        <v>472655.88999999996</v>
      </c>
      <c r="R12" s="219">
        <v>3796</v>
      </c>
      <c r="S12" s="234">
        <v>468093.02</v>
      </c>
      <c r="T12" s="221">
        <v>3248</v>
      </c>
      <c r="U12" s="234">
        <v>378700.56</v>
      </c>
      <c r="V12" s="221">
        <v>3129</v>
      </c>
      <c r="W12" s="234">
        <v>378850.76</v>
      </c>
      <c r="X12" s="221">
        <v>3110</v>
      </c>
      <c r="Y12" s="222">
        <v>390736.69999999995</v>
      </c>
      <c r="Z12" s="221">
        <v>1897</v>
      </c>
      <c r="AA12" s="222">
        <v>191504.65999999997</v>
      </c>
      <c r="AB12" s="420">
        <f t="shared" si="0"/>
        <v>6946548.7199999997</v>
      </c>
      <c r="AC12" s="8"/>
      <c r="AD12" s="612">
        <f>D12+F12+H12+J12+L12+N12+P12+R12+T12+V12+X12+Z12</f>
        <v>52063</v>
      </c>
      <c r="AE12" s="613">
        <f>AB12/AD12</f>
        <v>133.42582486602768</v>
      </c>
      <c r="AF12" s="7"/>
      <c r="AG12" s="7"/>
    </row>
    <row r="13" spans="1:37" s="15" customFormat="1" ht="14.5" thickBot="1" x14ac:dyDescent="0.35">
      <c r="A13" s="262"/>
      <c r="B13" s="1155" t="s">
        <v>36</v>
      </c>
      <c r="C13" s="1156"/>
      <c r="D13" s="223"/>
      <c r="E13" s="224">
        <f>SUM(E10:E12)</f>
        <v>1486492.1300000001</v>
      </c>
      <c r="F13" s="223"/>
      <c r="G13" s="224">
        <f>SUM(G10:G12)</f>
        <v>1589516.16</v>
      </c>
      <c r="H13" s="223"/>
      <c r="I13" s="224">
        <f>SUM(I10:I12)</f>
        <v>1656538.6099999999</v>
      </c>
      <c r="J13" s="223"/>
      <c r="K13" s="224">
        <f>SUM(K10:K12)</f>
        <v>1439040.4300000002</v>
      </c>
      <c r="L13" s="225"/>
      <c r="M13" s="632">
        <f>SUM(M10:M12)</f>
        <v>1212232.8899999999</v>
      </c>
      <c r="N13" s="223"/>
      <c r="O13" s="224">
        <f>SUM(O10:O12)</f>
        <v>949176.42</v>
      </c>
      <c r="P13" s="225"/>
      <c r="Q13" s="632">
        <f>SUM(Q10:Q12)</f>
        <v>993295.7</v>
      </c>
      <c r="R13" s="223"/>
      <c r="S13" s="224">
        <f>SUM(S10:S12)</f>
        <v>999102</v>
      </c>
      <c r="T13" s="226"/>
      <c r="U13" s="224">
        <f>SUM(U10:U12)</f>
        <v>837109.2699999999</v>
      </c>
      <c r="V13" s="226"/>
      <c r="W13" s="224">
        <f>SUM(W10:W12)</f>
        <v>823089.62000000011</v>
      </c>
      <c r="X13" s="226"/>
      <c r="Y13" s="633">
        <f>SUM(Y10:Y12)</f>
        <v>843177.6399999999</v>
      </c>
      <c r="Z13" s="226"/>
      <c r="AA13" s="633">
        <f>SUM(AA10:AA12)</f>
        <v>561951.36999999988</v>
      </c>
      <c r="AB13" s="634">
        <f>SUM(AB10:AB12)</f>
        <v>13390722.239999998</v>
      </c>
      <c r="AC13" s="16"/>
      <c r="AD13" s="614"/>
      <c r="AE13" s="614"/>
      <c r="AF13" s="17"/>
      <c r="AG13" s="17"/>
    </row>
    <row r="14" spans="1:37" ht="21" customHeight="1" thickBot="1" x14ac:dyDescent="0.35">
      <c r="A14" s="70"/>
      <c r="B14" s="33"/>
      <c r="C14" s="33"/>
      <c r="D14" s="33"/>
      <c r="E14" s="33"/>
      <c r="F14" s="33"/>
      <c r="G14" s="33"/>
      <c r="H14" s="33"/>
      <c r="I14" s="33"/>
      <c r="J14" s="33"/>
      <c r="K14" s="33"/>
      <c r="L14" s="33"/>
      <c r="M14" s="33"/>
      <c r="N14" s="33"/>
      <c r="O14" s="33"/>
      <c r="P14" s="33"/>
      <c r="Q14" s="33"/>
      <c r="R14" s="33"/>
      <c r="S14" s="33"/>
      <c r="T14" s="33"/>
      <c r="U14" s="33"/>
      <c r="V14" s="33"/>
      <c r="W14" s="33"/>
      <c r="X14" s="33"/>
      <c r="Y14" s="33"/>
      <c r="Z14" s="33"/>
      <c r="AA14" s="33"/>
      <c r="AB14" s="33"/>
    </row>
    <row r="15" spans="1:37" x14ac:dyDescent="0.3">
      <c r="A15" s="202"/>
      <c r="B15" s="1139" t="s">
        <v>38</v>
      </c>
      <c r="C15" s="1140"/>
      <c r="D15" s="1136" t="s">
        <v>140</v>
      </c>
      <c r="E15" s="1136"/>
      <c r="F15" s="1136" t="s">
        <v>140</v>
      </c>
      <c r="G15" s="1136"/>
      <c r="H15" s="1136" t="s">
        <v>140</v>
      </c>
      <c r="I15" s="1136"/>
      <c r="J15" s="1136" t="s">
        <v>140</v>
      </c>
      <c r="K15" s="1136"/>
      <c r="L15" s="1136" t="s">
        <v>140</v>
      </c>
      <c r="M15" s="1136"/>
      <c r="N15" s="1136" t="s">
        <v>140</v>
      </c>
      <c r="O15" s="1136"/>
      <c r="P15" s="1136" t="s">
        <v>140</v>
      </c>
      <c r="Q15" s="1136"/>
      <c r="R15" s="1136" t="s">
        <v>140</v>
      </c>
      <c r="S15" s="1136"/>
      <c r="T15" s="1136" t="s">
        <v>140</v>
      </c>
      <c r="U15" s="1136"/>
      <c r="V15" s="1136" t="s">
        <v>140</v>
      </c>
      <c r="W15" s="1136"/>
      <c r="X15" s="1136" t="s">
        <v>140</v>
      </c>
      <c r="Y15" s="1136"/>
      <c r="Z15" s="1136" t="s">
        <v>140</v>
      </c>
      <c r="AA15" s="1136"/>
      <c r="AB15" s="203" t="s">
        <v>140</v>
      </c>
    </row>
    <row r="16" spans="1:37" x14ac:dyDescent="0.3">
      <c r="A16" s="202"/>
      <c r="B16" s="1141"/>
      <c r="C16" s="1142"/>
      <c r="D16" s="1135" t="s">
        <v>87</v>
      </c>
      <c r="E16" s="1135"/>
      <c r="F16" s="1135" t="s">
        <v>88</v>
      </c>
      <c r="G16" s="1135"/>
      <c r="H16" s="1135" t="s">
        <v>14</v>
      </c>
      <c r="I16" s="1135"/>
      <c r="J16" s="1135" t="s">
        <v>15</v>
      </c>
      <c r="K16" s="1135"/>
      <c r="L16" s="1137" t="s">
        <v>16</v>
      </c>
      <c r="M16" s="1138"/>
      <c r="N16" s="1135" t="s">
        <v>17</v>
      </c>
      <c r="O16" s="1135"/>
      <c r="P16" s="1137" t="s">
        <v>18</v>
      </c>
      <c r="Q16" s="1138"/>
      <c r="R16" s="1135" t="s">
        <v>19</v>
      </c>
      <c r="S16" s="1135"/>
      <c r="T16" s="1137" t="s">
        <v>20</v>
      </c>
      <c r="U16" s="1135"/>
      <c r="V16" s="1135" t="s">
        <v>21</v>
      </c>
      <c r="W16" s="1135"/>
      <c r="X16" s="1135" t="s">
        <v>22</v>
      </c>
      <c r="Y16" s="1135"/>
      <c r="Z16" s="1135" t="s">
        <v>23</v>
      </c>
      <c r="AA16" s="1135"/>
      <c r="AB16" s="204" t="s">
        <v>36</v>
      </c>
    </row>
    <row r="17" spans="1:37" x14ac:dyDescent="0.3">
      <c r="A17" s="202"/>
      <c r="B17" s="1141"/>
      <c r="C17" s="1142"/>
      <c r="D17" s="227"/>
      <c r="E17" s="228" t="s">
        <v>24</v>
      </c>
      <c r="F17" s="229"/>
      <c r="G17" s="230" t="s">
        <v>24</v>
      </c>
      <c r="H17" s="227"/>
      <c r="I17" s="228" t="s">
        <v>24</v>
      </c>
      <c r="J17" s="229"/>
      <c r="K17" s="230" t="s">
        <v>24</v>
      </c>
      <c r="L17" s="227"/>
      <c r="M17" s="230" t="s">
        <v>24</v>
      </c>
      <c r="N17" s="227"/>
      <c r="O17" s="230" t="s">
        <v>24</v>
      </c>
      <c r="P17" s="227"/>
      <c r="Q17" s="230" t="s">
        <v>24</v>
      </c>
      <c r="R17" s="227"/>
      <c r="S17" s="230" t="s">
        <v>24</v>
      </c>
      <c r="T17" s="205"/>
      <c r="U17" s="206" t="s">
        <v>24</v>
      </c>
      <c r="V17" s="207"/>
      <c r="W17" s="206" t="s">
        <v>24</v>
      </c>
      <c r="X17" s="207"/>
      <c r="Y17" s="206" t="s">
        <v>24</v>
      </c>
      <c r="Z17" s="207"/>
      <c r="AA17" s="206" t="s">
        <v>24</v>
      </c>
      <c r="AB17" s="208" t="s">
        <v>24</v>
      </c>
    </row>
    <row r="18" spans="1:37" ht="59.5" customHeight="1" x14ac:dyDescent="0.3">
      <c r="A18" s="202"/>
      <c r="B18" s="1143"/>
      <c r="C18" s="1144"/>
      <c r="D18" s="167" t="s">
        <v>26</v>
      </c>
      <c r="E18" s="370" t="s">
        <v>27</v>
      </c>
      <c r="F18" s="169" t="s">
        <v>26</v>
      </c>
      <c r="G18" s="209" t="s">
        <v>27</v>
      </c>
      <c r="H18" s="167" t="s">
        <v>26</v>
      </c>
      <c r="I18" s="370" t="s">
        <v>27</v>
      </c>
      <c r="J18" s="169" t="s">
        <v>26</v>
      </c>
      <c r="K18" s="209" t="s">
        <v>27</v>
      </c>
      <c r="L18" s="167" t="s">
        <v>26</v>
      </c>
      <c r="M18" s="209" t="s">
        <v>27</v>
      </c>
      <c r="N18" s="167" t="s">
        <v>26</v>
      </c>
      <c r="O18" s="209" t="s">
        <v>27</v>
      </c>
      <c r="P18" s="167" t="s">
        <v>26</v>
      </c>
      <c r="Q18" s="209" t="s">
        <v>27</v>
      </c>
      <c r="R18" s="167" t="s">
        <v>26</v>
      </c>
      <c r="S18" s="209" t="s">
        <v>27</v>
      </c>
      <c r="T18" s="210" t="s">
        <v>26</v>
      </c>
      <c r="U18" s="209" t="s">
        <v>27</v>
      </c>
      <c r="V18" s="211" t="s">
        <v>26</v>
      </c>
      <c r="W18" s="209" t="s">
        <v>27</v>
      </c>
      <c r="X18" s="211" t="s">
        <v>26</v>
      </c>
      <c r="Y18" s="209" t="s">
        <v>27</v>
      </c>
      <c r="Z18" s="211" t="s">
        <v>26</v>
      </c>
      <c r="AA18" s="209" t="s">
        <v>27</v>
      </c>
      <c r="AB18" s="204" t="s">
        <v>27</v>
      </c>
    </row>
    <row r="19" spans="1:37" x14ac:dyDescent="0.3">
      <c r="A19" s="202"/>
      <c r="B19" s="1127" t="s">
        <v>39</v>
      </c>
      <c r="C19" s="1128"/>
      <c r="D19" s="231">
        <v>1</v>
      </c>
      <c r="E19" s="212">
        <v>2</v>
      </c>
      <c r="F19" s="232">
        <v>3</v>
      </c>
      <c r="G19" s="233">
        <v>4</v>
      </c>
      <c r="H19" s="231">
        <v>5</v>
      </c>
      <c r="I19" s="212">
        <v>6</v>
      </c>
      <c r="J19" s="232">
        <v>7</v>
      </c>
      <c r="K19" s="233">
        <v>8</v>
      </c>
      <c r="L19" s="231">
        <v>9</v>
      </c>
      <c r="M19" s="233">
        <v>10</v>
      </c>
      <c r="N19" s="231">
        <v>11</v>
      </c>
      <c r="O19" s="233">
        <v>12</v>
      </c>
      <c r="P19" s="231">
        <v>13</v>
      </c>
      <c r="Q19" s="233">
        <v>14</v>
      </c>
      <c r="R19" s="231">
        <v>15</v>
      </c>
      <c r="S19" s="233">
        <v>16</v>
      </c>
      <c r="T19" s="212">
        <v>17</v>
      </c>
      <c r="U19" s="213">
        <v>18</v>
      </c>
      <c r="V19" s="213">
        <v>19</v>
      </c>
      <c r="W19" s="213">
        <v>20</v>
      </c>
      <c r="X19" s="213">
        <v>21</v>
      </c>
      <c r="Y19" s="213">
        <v>22</v>
      </c>
      <c r="Z19" s="213">
        <v>23</v>
      </c>
      <c r="AA19" s="213">
        <v>24</v>
      </c>
      <c r="AB19" s="214">
        <v>25</v>
      </c>
    </row>
    <row r="20" spans="1:37" ht="58.4" customHeight="1" x14ac:dyDescent="0.3">
      <c r="A20" s="215" t="s">
        <v>370</v>
      </c>
      <c r="B20" s="1129" t="s">
        <v>228</v>
      </c>
      <c r="C20" s="1130"/>
      <c r="D20" s="184">
        <v>3069</v>
      </c>
      <c r="E20" s="187">
        <v>297618.7</v>
      </c>
      <c r="F20" s="184">
        <v>3068</v>
      </c>
      <c r="G20" s="187">
        <v>295542.73</v>
      </c>
      <c r="H20" s="184">
        <v>2934</v>
      </c>
      <c r="I20" s="187">
        <v>286007.15999999997</v>
      </c>
      <c r="J20" s="184">
        <v>2923</v>
      </c>
      <c r="K20" s="187">
        <v>292258.63</v>
      </c>
      <c r="L20" s="184">
        <v>2752</v>
      </c>
      <c r="M20" s="187">
        <v>273032.44</v>
      </c>
      <c r="N20" s="184">
        <v>2673</v>
      </c>
      <c r="O20" s="187">
        <v>266285.77</v>
      </c>
      <c r="P20" s="184">
        <v>2722</v>
      </c>
      <c r="Q20" s="187">
        <v>271000.32000000001</v>
      </c>
      <c r="R20" s="184">
        <v>2633</v>
      </c>
      <c r="S20" s="187">
        <v>264853.8</v>
      </c>
      <c r="T20" s="184">
        <v>2548</v>
      </c>
      <c r="U20" s="187">
        <v>254811.78</v>
      </c>
      <c r="V20" s="184">
        <v>2646</v>
      </c>
      <c r="W20" s="187">
        <v>270664.15999999997</v>
      </c>
      <c r="X20" s="184">
        <v>2605</v>
      </c>
      <c r="Y20" s="187">
        <v>263853.34999999998</v>
      </c>
      <c r="Z20" s="184">
        <v>2562</v>
      </c>
      <c r="AA20" s="187">
        <v>255637.6</v>
      </c>
      <c r="AB20" s="419">
        <f>ROUND(I20+K20+M20+O20+Q20+S20+U20+W20+Y20+AA20+G20+E20,0)</f>
        <v>3291566</v>
      </c>
      <c r="AC20" s="11"/>
      <c r="AD20" s="244"/>
      <c r="AE20" s="244"/>
      <c r="AH20" s="7"/>
      <c r="AI20" s="7"/>
      <c r="AJ20" s="7"/>
      <c r="AK20" s="7"/>
    </row>
    <row r="21" spans="1:37" ht="38.15" customHeight="1" x14ac:dyDescent="0.3">
      <c r="A21" s="215" t="s">
        <v>374</v>
      </c>
      <c r="B21" s="1131" t="s">
        <v>229</v>
      </c>
      <c r="C21" s="1132"/>
      <c r="D21" s="184">
        <v>275</v>
      </c>
      <c r="E21" s="187">
        <v>89682</v>
      </c>
      <c r="F21" s="184">
        <v>304</v>
      </c>
      <c r="G21" s="187">
        <v>95257</v>
      </c>
      <c r="H21" s="184">
        <v>264</v>
      </c>
      <c r="I21" s="187">
        <v>84546</v>
      </c>
      <c r="J21" s="184">
        <v>300</v>
      </c>
      <c r="K21" s="187">
        <v>96443</v>
      </c>
      <c r="L21" s="184">
        <v>292</v>
      </c>
      <c r="M21" s="187">
        <v>93493</v>
      </c>
      <c r="N21" s="184">
        <v>392</v>
      </c>
      <c r="O21" s="187">
        <v>121786</v>
      </c>
      <c r="P21" s="184">
        <v>407</v>
      </c>
      <c r="Q21" s="187">
        <v>127327</v>
      </c>
      <c r="R21" s="184">
        <v>374</v>
      </c>
      <c r="S21" s="187">
        <v>116849</v>
      </c>
      <c r="T21" s="184">
        <v>308</v>
      </c>
      <c r="U21" s="187">
        <v>96958</v>
      </c>
      <c r="V21" s="184">
        <v>541</v>
      </c>
      <c r="W21" s="187">
        <v>167858</v>
      </c>
      <c r="X21" s="184">
        <v>340</v>
      </c>
      <c r="Y21" s="187">
        <v>107247</v>
      </c>
      <c r="Z21" s="184">
        <v>270</v>
      </c>
      <c r="AA21" s="187">
        <v>85706</v>
      </c>
      <c r="AB21" s="419">
        <f>ROUND(I21+K21+M21+O21+Q21+S21+U21+W21+Y21+AA21+G21+E21,0)</f>
        <v>1283152</v>
      </c>
      <c r="AC21" s="6"/>
      <c r="AD21" s="98"/>
    </row>
    <row r="22" spans="1:37" ht="51" customHeight="1" thickBot="1" x14ac:dyDescent="0.35">
      <c r="A22" s="215" t="s">
        <v>375</v>
      </c>
      <c r="B22" s="1133" t="s">
        <v>9</v>
      </c>
      <c r="C22" s="1134"/>
      <c r="D22" s="219">
        <v>3680</v>
      </c>
      <c r="E22" s="234">
        <v>737564.42</v>
      </c>
      <c r="F22" s="219">
        <v>3225</v>
      </c>
      <c r="G22" s="234">
        <v>518972.23000000004</v>
      </c>
      <c r="H22" s="219">
        <v>3135</v>
      </c>
      <c r="I22" s="234">
        <v>481185.72</v>
      </c>
      <c r="J22" s="219">
        <v>2753</v>
      </c>
      <c r="K22" s="234">
        <v>472882.08999999997</v>
      </c>
      <c r="L22" s="219">
        <v>2789</v>
      </c>
      <c r="M22" s="234">
        <v>384551.27</v>
      </c>
      <c r="N22" s="219">
        <v>2489</v>
      </c>
      <c r="O22" s="234">
        <v>324975.19</v>
      </c>
      <c r="P22" s="219">
        <v>2520</v>
      </c>
      <c r="Q22" s="234">
        <v>331016.73</v>
      </c>
      <c r="R22" s="219">
        <v>2317</v>
      </c>
      <c r="S22" s="234">
        <v>297659.00999999995</v>
      </c>
      <c r="T22" s="219">
        <v>2184</v>
      </c>
      <c r="U22" s="234">
        <v>281923.11</v>
      </c>
      <c r="V22" s="219">
        <v>2249</v>
      </c>
      <c r="W22" s="234">
        <v>302543.89</v>
      </c>
      <c r="X22" s="219">
        <v>2157</v>
      </c>
      <c r="Y22" s="234">
        <v>289347.94</v>
      </c>
      <c r="Z22" s="219">
        <v>1400</v>
      </c>
      <c r="AA22" s="234">
        <v>174898.76</v>
      </c>
      <c r="AB22" s="420">
        <f>ROUND(I22+K22+M22+O22+Q22+S22+U22+W22+Y22+AA22+G22+E22,0)</f>
        <v>4597520</v>
      </c>
      <c r="AD22" s="612">
        <f>D22+F22+H22+J22+L22+N22+P22+R22+T22+V22+X22+Z22</f>
        <v>30898</v>
      </c>
      <c r="AE22" s="613">
        <f>AB22/AD22</f>
        <v>148.79668586963558</v>
      </c>
    </row>
    <row r="23" spans="1:37" s="15" customFormat="1" ht="14.5" thickBot="1" x14ac:dyDescent="0.35">
      <c r="A23" s="262"/>
      <c r="B23" s="1213" t="s">
        <v>36</v>
      </c>
      <c r="C23" s="1214"/>
      <c r="D23" s="238"/>
      <c r="E23" s="239">
        <f>SUM(E20:E22)</f>
        <v>1124865.1200000001</v>
      </c>
      <c r="F23" s="238"/>
      <c r="G23" s="239">
        <f>SUM(G20:G22)</f>
        <v>909771.96</v>
      </c>
      <c r="H23" s="238"/>
      <c r="I23" s="239">
        <f>SUM(I20:I22)</f>
        <v>851738.87999999989</v>
      </c>
      <c r="J23" s="238"/>
      <c r="K23" s="239">
        <f>SUM(K20:K22)</f>
        <v>861583.72</v>
      </c>
      <c r="L23" s="240"/>
      <c r="M23" s="241">
        <f>SUM(M20:M22)</f>
        <v>751076.71</v>
      </c>
      <c r="N23" s="238"/>
      <c r="O23" s="239">
        <f>SUM(O20:O22)</f>
        <v>713046.96</v>
      </c>
      <c r="P23" s="240"/>
      <c r="Q23" s="241">
        <f>SUM(Q20:Q22)</f>
        <v>729344.05</v>
      </c>
      <c r="R23" s="238"/>
      <c r="S23" s="239">
        <f>SUM(S20:S22)</f>
        <v>679361.80999999994</v>
      </c>
      <c r="T23" s="242"/>
      <c r="U23" s="239">
        <f>SUM(U20:U22)</f>
        <v>633692.89</v>
      </c>
      <c r="V23" s="242"/>
      <c r="W23" s="239">
        <f>SUM(W20:W22)</f>
        <v>741066.05</v>
      </c>
      <c r="X23" s="242"/>
      <c r="Y23" s="421">
        <f>SUM(Y20:Y22)</f>
        <v>660448.29</v>
      </c>
      <c r="Z23" s="242"/>
      <c r="AA23" s="421">
        <f>SUM(AA20:AA22)</f>
        <v>516242.36</v>
      </c>
      <c r="AB23" s="422">
        <f>SUM(AB20:AB22)</f>
        <v>9172238</v>
      </c>
      <c r="AC23" s="16"/>
      <c r="AD23" s="614"/>
      <c r="AE23" s="614"/>
      <c r="AF23" s="3"/>
      <c r="AG23" s="3"/>
    </row>
    <row r="24" spans="1:37" ht="21" customHeight="1" thickBot="1" x14ac:dyDescent="0.35">
      <c r="A24" s="70"/>
      <c r="B24" s="33"/>
      <c r="C24" s="33"/>
      <c r="D24" s="33"/>
      <c r="E24" s="33"/>
      <c r="F24" s="33"/>
      <c r="G24" s="33"/>
      <c r="H24" s="33"/>
      <c r="I24" s="33"/>
      <c r="J24" s="33"/>
      <c r="K24" s="33"/>
      <c r="L24" s="33"/>
      <c r="M24" s="33"/>
      <c r="N24" s="33"/>
      <c r="O24" s="33"/>
      <c r="P24" s="33"/>
      <c r="Q24" s="33"/>
      <c r="R24" s="33"/>
      <c r="S24" s="33"/>
      <c r="T24" s="33"/>
      <c r="U24" s="33"/>
      <c r="V24" s="33"/>
      <c r="W24" s="33"/>
      <c r="X24" s="33"/>
      <c r="Y24" s="33"/>
      <c r="Z24" s="33"/>
      <c r="AA24" s="33"/>
      <c r="AB24" s="33"/>
    </row>
    <row r="25" spans="1:37" x14ac:dyDescent="0.3">
      <c r="A25" s="202"/>
      <c r="B25" s="1139" t="s">
        <v>38</v>
      </c>
      <c r="C25" s="1140"/>
      <c r="D25" s="1136" t="s">
        <v>189</v>
      </c>
      <c r="E25" s="1136"/>
      <c r="F25" s="1136" t="s">
        <v>189</v>
      </c>
      <c r="G25" s="1136"/>
      <c r="H25" s="1136" t="s">
        <v>189</v>
      </c>
      <c r="I25" s="1136"/>
      <c r="J25" s="1136" t="s">
        <v>189</v>
      </c>
      <c r="K25" s="1136"/>
      <c r="L25" s="1136" t="s">
        <v>189</v>
      </c>
      <c r="M25" s="1136"/>
      <c r="N25" s="1182" t="s">
        <v>189</v>
      </c>
      <c r="O25" s="1182"/>
      <c r="P25" s="1182" t="s">
        <v>189</v>
      </c>
      <c r="Q25" s="1182"/>
      <c r="R25" s="1182" t="s">
        <v>189</v>
      </c>
      <c r="S25" s="1182"/>
      <c r="T25" s="1182" t="s">
        <v>189</v>
      </c>
      <c r="U25" s="1182"/>
      <c r="V25" s="1169" t="s">
        <v>189</v>
      </c>
      <c r="W25" s="1169"/>
      <c r="X25" s="1169" t="s">
        <v>189</v>
      </c>
      <c r="Y25" s="1169"/>
      <c r="Z25" s="1169" t="s">
        <v>189</v>
      </c>
      <c r="AA25" s="1169"/>
      <c r="AB25" s="551" t="s">
        <v>189</v>
      </c>
    </row>
    <row r="26" spans="1:37" x14ac:dyDescent="0.3">
      <c r="A26" s="202"/>
      <c r="B26" s="1141"/>
      <c r="C26" s="1142"/>
      <c r="D26" s="1183" t="s">
        <v>87</v>
      </c>
      <c r="E26" s="1183"/>
      <c r="F26" s="1183" t="s">
        <v>88</v>
      </c>
      <c r="G26" s="1183"/>
      <c r="H26" s="1183" t="s">
        <v>14</v>
      </c>
      <c r="I26" s="1183"/>
      <c r="J26" s="1183" t="s">
        <v>15</v>
      </c>
      <c r="K26" s="1183"/>
      <c r="L26" s="1184" t="s">
        <v>16</v>
      </c>
      <c r="M26" s="1185"/>
      <c r="N26" s="1186" t="s">
        <v>17</v>
      </c>
      <c r="O26" s="1186"/>
      <c r="P26" s="1187" t="s">
        <v>18</v>
      </c>
      <c r="Q26" s="1188"/>
      <c r="R26" s="1186" t="s">
        <v>19</v>
      </c>
      <c r="S26" s="1186"/>
      <c r="T26" s="1187" t="s">
        <v>20</v>
      </c>
      <c r="U26" s="1186"/>
      <c r="V26" s="1160" t="s">
        <v>21</v>
      </c>
      <c r="W26" s="1160"/>
      <c r="X26" s="1160" t="s">
        <v>22</v>
      </c>
      <c r="Y26" s="1160"/>
      <c r="Z26" s="1160" t="s">
        <v>23</v>
      </c>
      <c r="AA26" s="1160"/>
      <c r="AB26" s="865" t="s">
        <v>36</v>
      </c>
    </row>
    <row r="27" spans="1:37" x14ac:dyDescent="0.3">
      <c r="A27" s="202"/>
      <c r="B27" s="1141"/>
      <c r="C27" s="1142"/>
      <c r="D27" s="866"/>
      <c r="E27" s="867" t="s">
        <v>24</v>
      </c>
      <c r="F27" s="868"/>
      <c r="G27" s="869" t="s">
        <v>24</v>
      </c>
      <c r="H27" s="866"/>
      <c r="I27" s="867" t="s">
        <v>24</v>
      </c>
      <c r="J27" s="868"/>
      <c r="K27" s="869" t="s">
        <v>24</v>
      </c>
      <c r="L27" s="866"/>
      <c r="M27" s="869" t="s">
        <v>24</v>
      </c>
      <c r="N27" s="870"/>
      <c r="O27" s="871" t="s">
        <v>24</v>
      </c>
      <c r="P27" s="870"/>
      <c r="Q27" s="871" t="s">
        <v>24</v>
      </c>
      <c r="R27" s="870"/>
      <c r="S27" s="871" t="s">
        <v>24</v>
      </c>
      <c r="T27" s="872"/>
      <c r="U27" s="873" t="s">
        <v>24</v>
      </c>
      <c r="V27" s="874"/>
      <c r="W27" s="875" t="s">
        <v>24</v>
      </c>
      <c r="X27" s="874"/>
      <c r="Y27" s="875" t="s">
        <v>24</v>
      </c>
      <c r="Z27" s="874"/>
      <c r="AA27" s="875" t="s">
        <v>24</v>
      </c>
      <c r="AB27" s="876" t="s">
        <v>24</v>
      </c>
    </row>
    <row r="28" spans="1:37" ht="59.5" customHeight="1" x14ac:dyDescent="0.3">
      <c r="A28" s="202"/>
      <c r="B28" s="1143"/>
      <c r="C28" s="1144"/>
      <c r="D28" s="877" t="s">
        <v>26</v>
      </c>
      <c r="E28" s="878" t="s">
        <v>27</v>
      </c>
      <c r="F28" s="879" t="s">
        <v>26</v>
      </c>
      <c r="G28" s="880" t="s">
        <v>27</v>
      </c>
      <c r="H28" s="877" t="s">
        <v>26</v>
      </c>
      <c r="I28" s="878" t="s">
        <v>27</v>
      </c>
      <c r="J28" s="879" t="s">
        <v>26</v>
      </c>
      <c r="K28" s="880" t="s">
        <v>27</v>
      </c>
      <c r="L28" s="877" t="s">
        <v>26</v>
      </c>
      <c r="M28" s="880" t="s">
        <v>27</v>
      </c>
      <c r="N28" s="881" t="s">
        <v>26</v>
      </c>
      <c r="O28" s="880" t="s">
        <v>27</v>
      </c>
      <c r="P28" s="881" t="s">
        <v>26</v>
      </c>
      <c r="Q28" s="880" t="s">
        <v>27</v>
      </c>
      <c r="R28" s="881" t="s">
        <v>26</v>
      </c>
      <c r="S28" s="880" t="s">
        <v>27</v>
      </c>
      <c r="T28" s="882" t="s">
        <v>26</v>
      </c>
      <c r="U28" s="880" t="s">
        <v>27</v>
      </c>
      <c r="V28" s="883" t="s">
        <v>26</v>
      </c>
      <c r="W28" s="884" t="s">
        <v>28</v>
      </c>
      <c r="X28" s="883" t="s">
        <v>26</v>
      </c>
      <c r="Y28" s="884" t="s">
        <v>28</v>
      </c>
      <c r="Z28" s="883" t="s">
        <v>26</v>
      </c>
      <c r="AA28" s="884" t="s">
        <v>28</v>
      </c>
      <c r="AB28" s="865" t="s">
        <v>97</v>
      </c>
    </row>
    <row r="29" spans="1:37" x14ac:dyDescent="0.3">
      <c r="A29" s="202"/>
      <c r="B29" s="1205" t="s">
        <v>39</v>
      </c>
      <c r="C29" s="1206"/>
      <c r="D29" s="885">
        <v>1</v>
      </c>
      <c r="E29" s="886">
        <v>2</v>
      </c>
      <c r="F29" s="887">
        <v>3</v>
      </c>
      <c r="G29" s="888">
        <v>4</v>
      </c>
      <c r="H29" s="885">
        <v>5</v>
      </c>
      <c r="I29" s="886">
        <v>6</v>
      </c>
      <c r="J29" s="887">
        <v>7</v>
      </c>
      <c r="K29" s="888">
        <v>8</v>
      </c>
      <c r="L29" s="885">
        <v>9</v>
      </c>
      <c r="M29" s="888">
        <v>10</v>
      </c>
      <c r="N29" s="889">
        <v>11</v>
      </c>
      <c r="O29" s="890">
        <v>12</v>
      </c>
      <c r="P29" s="889">
        <v>13</v>
      </c>
      <c r="Q29" s="890">
        <v>14</v>
      </c>
      <c r="R29" s="889">
        <v>15</v>
      </c>
      <c r="S29" s="890">
        <v>16</v>
      </c>
      <c r="T29" s="891">
        <v>17</v>
      </c>
      <c r="U29" s="892">
        <v>18</v>
      </c>
      <c r="V29" s="893">
        <v>19</v>
      </c>
      <c r="W29" s="893">
        <v>20</v>
      </c>
      <c r="X29" s="893">
        <v>21</v>
      </c>
      <c r="Y29" s="893">
        <v>22</v>
      </c>
      <c r="Z29" s="893">
        <v>23</v>
      </c>
      <c r="AA29" s="893">
        <v>24</v>
      </c>
      <c r="AB29" s="894">
        <v>25</v>
      </c>
    </row>
    <row r="30" spans="1:37" ht="58.4" customHeight="1" x14ac:dyDescent="0.3">
      <c r="A30" s="215" t="s">
        <v>370</v>
      </c>
      <c r="B30" s="1207" t="s">
        <v>261</v>
      </c>
      <c r="C30" s="1208"/>
      <c r="D30" s="895">
        <v>2344</v>
      </c>
      <c r="E30" s="896">
        <v>275382.93</v>
      </c>
      <c r="F30" s="895">
        <v>2647</v>
      </c>
      <c r="G30" s="896">
        <v>339644.98</v>
      </c>
      <c r="H30" s="895">
        <v>2727</v>
      </c>
      <c r="I30" s="896">
        <v>326702.53000000003</v>
      </c>
      <c r="J30" s="895">
        <v>2573</v>
      </c>
      <c r="K30" s="896">
        <v>298311.05</v>
      </c>
      <c r="L30" s="895">
        <v>2540</v>
      </c>
      <c r="M30" s="896">
        <v>300004.76</v>
      </c>
      <c r="N30" s="897">
        <v>2336</v>
      </c>
      <c r="O30" s="898">
        <v>269220.81</v>
      </c>
      <c r="P30" s="897">
        <v>2444</v>
      </c>
      <c r="Q30" s="898">
        <v>298904.09000000003</v>
      </c>
      <c r="R30" s="897">
        <v>2369</v>
      </c>
      <c r="S30" s="898">
        <v>276042.38</v>
      </c>
      <c r="T30" s="897">
        <v>2366</v>
      </c>
      <c r="U30" s="898">
        <v>280752.96999999997</v>
      </c>
      <c r="V30" s="899">
        <f t="shared" ref="V30:AA30" si="1">T30</f>
        <v>2366</v>
      </c>
      <c r="W30" s="900">
        <f t="shared" si="1"/>
        <v>280752.96999999997</v>
      </c>
      <c r="X30" s="899">
        <f t="shared" si="1"/>
        <v>2366</v>
      </c>
      <c r="Y30" s="900">
        <f t="shared" si="1"/>
        <v>280752.96999999997</v>
      </c>
      <c r="Z30" s="899">
        <f t="shared" si="1"/>
        <v>2366</v>
      </c>
      <c r="AA30" s="900">
        <f t="shared" si="1"/>
        <v>280752.96999999997</v>
      </c>
      <c r="AB30" s="901">
        <f>ROUND(I30+K30+M30+O30+Q30+S30+U30+W30+Y30+AA30+G30+E30,0)</f>
        <v>3507225</v>
      </c>
      <c r="AC30" s="11"/>
      <c r="AD30" s="244"/>
      <c r="AE30" s="244"/>
      <c r="AH30" s="7"/>
      <c r="AI30" s="7"/>
      <c r="AJ30" s="7"/>
      <c r="AK30" s="7"/>
    </row>
    <row r="31" spans="1:37" ht="38.15" customHeight="1" x14ac:dyDescent="0.3">
      <c r="A31" s="215" t="s">
        <v>374</v>
      </c>
      <c r="B31" s="1209" t="s">
        <v>262</v>
      </c>
      <c r="C31" s="1210"/>
      <c r="D31" s="895">
        <v>297</v>
      </c>
      <c r="E31" s="896">
        <v>97086</v>
      </c>
      <c r="F31" s="895">
        <v>468</v>
      </c>
      <c r="G31" s="896">
        <v>161294</v>
      </c>
      <c r="H31" s="895">
        <v>293</v>
      </c>
      <c r="I31" s="896">
        <v>98862</v>
      </c>
      <c r="J31" s="895">
        <v>309</v>
      </c>
      <c r="K31" s="896">
        <v>106393.74</v>
      </c>
      <c r="L31" s="895">
        <v>289</v>
      </c>
      <c r="M31" s="896">
        <v>101269</v>
      </c>
      <c r="N31" s="897">
        <v>221</v>
      </c>
      <c r="O31" s="898">
        <v>77197</v>
      </c>
      <c r="P31" s="897">
        <v>399</v>
      </c>
      <c r="Q31" s="898">
        <v>138628.73000000001</v>
      </c>
      <c r="R31" s="897">
        <v>342</v>
      </c>
      <c r="S31" s="898">
        <v>114419.99</v>
      </c>
      <c r="T31" s="897">
        <v>359</v>
      </c>
      <c r="U31" s="898">
        <v>119794</v>
      </c>
      <c r="V31" s="899">
        <f t="shared" ref="V31:V32" si="2">T31</f>
        <v>359</v>
      </c>
      <c r="W31" s="900">
        <f t="shared" ref="W31:W32" si="3">U31</f>
        <v>119794</v>
      </c>
      <c r="X31" s="899">
        <f t="shared" ref="X31:X32" si="4">V31</f>
        <v>359</v>
      </c>
      <c r="Y31" s="900">
        <f t="shared" ref="Y31:Y32" si="5">W31</f>
        <v>119794</v>
      </c>
      <c r="Z31" s="899">
        <f t="shared" ref="Z31:Z32" si="6">X31</f>
        <v>359</v>
      </c>
      <c r="AA31" s="900">
        <f t="shared" ref="AA31:AA32" si="7">Y31</f>
        <v>119794</v>
      </c>
      <c r="AB31" s="901">
        <f>ROUND(I31+K31+M31+O31+Q31+S31+U31+W31+Y31+AA31+G31+E31,0)</f>
        <v>1374326</v>
      </c>
      <c r="AC31" s="6"/>
      <c r="AD31" s="98"/>
    </row>
    <row r="32" spans="1:37" ht="51" customHeight="1" thickBot="1" x14ac:dyDescent="0.35">
      <c r="A32" s="215" t="s">
        <v>375</v>
      </c>
      <c r="B32" s="1211" t="s">
        <v>9</v>
      </c>
      <c r="C32" s="1212"/>
      <c r="D32" s="902">
        <v>2518</v>
      </c>
      <c r="E32" s="903">
        <v>503894.02</v>
      </c>
      <c r="F32" s="902">
        <v>2457</v>
      </c>
      <c r="G32" s="903">
        <v>418256.84</v>
      </c>
      <c r="H32" s="902">
        <v>2501</v>
      </c>
      <c r="I32" s="903">
        <v>385727.61</v>
      </c>
      <c r="J32" s="902">
        <v>2413</v>
      </c>
      <c r="K32" s="903">
        <v>385141.44</v>
      </c>
      <c r="L32" s="902">
        <v>2438</v>
      </c>
      <c r="M32" s="903">
        <v>343564.82</v>
      </c>
      <c r="N32" s="904">
        <v>2171</v>
      </c>
      <c r="O32" s="905">
        <v>283238.37</v>
      </c>
      <c r="P32" s="904">
        <v>2351</v>
      </c>
      <c r="Q32" s="905">
        <v>328417.09999999998</v>
      </c>
      <c r="R32" s="904">
        <v>1887</v>
      </c>
      <c r="S32" s="905">
        <v>238940.78</v>
      </c>
      <c r="T32" s="904">
        <v>2039</v>
      </c>
      <c r="U32" s="905">
        <v>294954.94</v>
      </c>
      <c r="V32" s="906">
        <f t="shared" si="2"/>
        <v>2039</v>
      </c>
      <c r="W32" s="907">
        <f t="shared" si="3"/>
        <v>294954.94</v>
      </c>
      <c r="X32" s="906">
        <f t="shared" si="4"/>
        <v>2039</v>
      </c>
      <c r="Y32" s="907">
        <f t="shared" si="5"/>
        <v>294954.94</v>
      </c>
      <c r="Z32" s="906">
        <f t="shared" si="6"/>
        <v>2039</v>
      </c>
      <c r="AA32" s="907">
        <f t="shared" si="7"/>
        <v>294954.94</v>
      </c>
      <c r="AB32" s="908">
        <f>ROUND(I32+K32+M32+O32+Q32+S32+U32+W32+Y32+AA32+G32+E32,0)</f>
        <v>4067001</v>
      </c>
      <c r="AD32" s="612">
        <f>D32+F32+H32+J32+L32+N32+P32+R32+T32+V32+X32+Z32</f>
        <v>26892</v>
      </c>
      <c r="AE32" s="613">
        <f>AB32/AD32</f>
        <v>151.23460508701473</v>
      </c>
    </row>
    <row r="33" spans="1:37" s="15" customFormat="1" ht="14.5" thickBot="1" x14ac:dyDescent="0.35">
      <c r="A33" s="373"/>
      <c r="B33" s="1213" t="s">
        <v>36</v>
      </c>
      <c r="C33" s="1214"/>
      <c r="D33" s="238"/>
      <c r="E33" s="239">
        <f>SUM(E30:E32)</f>
        <v>876362.95</v>
      </c>
      <c r="F33" s="238"/>
      <c r="G33" s="239">
        <f>SUM(G30:G32)</f>
        <v>919195.82000000007</v>
      </c>
      <c r="H33" s="238"/>
      <c r="I33" s="239">
        <f>SUM(I30:I32)</f>
        <v>811292.14</v>
      </c>
      <c r="J33" s="238"/>
      <c r="K33" s="239">
        <f>SUM(K30:K32)</f>
        <v>789846.23</v>
      </c>
      <c r="L33" s="240"/>
      <c r="M33" s="241">
        <f>SUM(M30:M32)</f>
        <v>744838.58000000007</v>
      </c>
      <c r="N33" s="805"/>
      <c r="O33" s="809">
        <f>SUM(O30:O32)</f>
        <v>629656.17999999993</v>
      </c>
      <c r="P33" s="806"/>
      <c r="Q33" s="810">
        <f>SUM(Q30:Q32)</f>
        <v>765949.92</v>
      </c>
      <c r="R33" s="805"/>
      <c r="S33" s="809">
        <f>SUM(S30:S32)</f>
        <v>629403.15</v>
      </c>
      <c r="T33" s="805"/>
      <c r="U33" s="809">
        <f>SUM(U30:U32)</f>
        <v>695501.90999999992</v>
      </c>
      <c r="V33" s="557"/>
      <c r="W33" s="558">
        <f>SUM(W30:W32)</f>
        <v>695501.90999999992</v>
      </c>
      <c r="X33" s="557"/>
      <c r="Y33" s="558">
        <f>SUM(Y30:Y32)</f>
        <v>695501.90999999992</v>
      </c>
      <c r="Z33" s="557"/>
      <c r="AA33" s="558">
        <f>SUM(AA30:AA32)</f>
        <v>695501.90999999992</v>
      </c>
      <c r="AB33" s="559">
        <f>SUM(AB30:AB32)</f>
        <v>8948552</v>
      </c>
      <c r="AC33" s="6"/>
      <c r="AD33" s="98"/>
      <c r="AE33" s="614"/>
      <c r="AF33" s="3"/>
      <c r="AG33" s="3"/>
    </row>
    <row r="34" spans="1:37" ht="12.65" customHeight="1" x14ac:dyDescent="0.3">
      <c r="AB34" s="9"/>
      <c r="AC34" s="6"/>
      <c r="AD34" s="98"/>
      <c r="AE34" s="98"/>
    </row>
    <row r="35" spans="1:37" ht="35.15" customHeight="1" x14ac:dyDescent="0.3">
      <c r="E35" s="1161" t="str">
        <f>B46</f>
        <v>Garantētais minimālais ienākums (GMI) – pabalsts 187 euro apmērā pirmajai personai un 131 euro apmērā katrai nākamajai personai mājsaimniecībā.***</v>
      </c>
      <c r="F35" s="1161"/>
      <c r="G35" s="1161"/>
      <c r="H35" s="1161"/>
      <c r="I35" s="1161"/>
      <c r="J35" s="1161"/>
      <c r="K35" s="1161"/>
      <c r="L35" s="1161"/>
      <c r="M35" s="1161"/>
      <c r="N35" s="1161"/>
      <c r="O35" s="1161"/>
      <c r="R35" s="1161" t="str">
        <f>B47</f>
        <v>Vienreizējais pabalsts krīzes situācijā 425 euro apmērā pilngadīgai personai un 298 euro apmērā par katru bērnu. ***</v>
      </c>
      <c r="S35" s="1161"/>
      <c r="T35" s="1161"/>
      <c r="U35" s="1161"/>
      <c r="V35" s="1161"/>
      <c r="W35" s="1161"/>
      <c r="X35" s="1161"/>
      <c r="Y35" s="1161"/>
      <c r="Z35" s="1161"/>
      <c r="AB35" s="9"/>
      <c r="AC35" s="6"/>
      <c r="AD35" s="98"/>
      <c r="AE35" s="98"/>
    </row>
    <row r="36" spans="1:37" ht="23.15" customHeight="1" x14ac:dyDescent="0.3">
      <c r="E36" s="560">
        <v>2024</v>
      </c>
      <c r="F36" s="381"/>
      <c r="G36" s="381"/>
      <c r="H36" s="381"/>
      <c r="I36" s="560">
        <v>2025</v>
      </c>
      <c r="J36" s="364"/>
      <c r="K36" s="364"/>
      <c r="L36" s="364"/>
      <c r="M36" s="560">
        <v>2026</v>
      </c>
      <c r="N36" s="364"/>
      <c r="O36" s="364"/>
      <c r="R36" s="33">
        <v>2024</v>
      </c>
      <c r="S36" s="364"/>
      <c r="T36" s="364"/>
      <c r="U36" s="33">
        <v>2025</v>
      </c>
      <c r="V36" s="364"/>
      <c r="W36" s="364"/>
      <c r="X36" s="33">
        <v>2026</v>
      </c>
      <c r="Y36" s="364"/>
      <c r="Z36" s="364"/>
      <c r="AB36" s="9"/>
      <c r="AC36" s="6"/>
      <c r="AD36" s="98"/>
      <c r="AE36" s="98"/>
    </row>
    <row r="37" spans="1:37" ht="23.15" customHeight="1" x14ac:dyDescent="0.3">
      <c r="E37" s="561">
        <v>137</v>
      </c>
      <c r="F37" s="382"/>
      <c r="G37" s="364"/>
      <c r="H37" s="364"/>
      <c r="I37" s="561">
        <v>166</v>
      </c>
      <c r="J37" s="364"/>
      <c r="K37" s="364"/>
      <c r="L37" s="364"/>
      <c r="M37" s="561">
        <v>187</v>
      </c>
      <c r="N37" s="364"/>
      <c r="O37" s="364"/>
      <c r="R37" s="99">
        <v>343</v>
      </c>
      <c r="S37" s="364"/>
      <c r="T37" s="364"/>
      <c r="U37" s="561">
        <v>377</v>
      </c>
      <c r="V37" s="364"/>
      <c r="W37" s="364"/>
      <c r="X37" s="561">
        <v>425</v>
      </c>
      <c r="Y37" s="33"/>
      <c r="Z37" s="33"/>
      <c r="AB37" s="9"/>
      <c r="AC37" s="6"/>
      <c r="AD37" s="98"/>
      <c r="AE37" s="98"/>
    </row>
    <row r="38" spans="1:37" ht="23.15" customHeight="1" x14ac:dyDescent="0.3">
      <c r="E38" s="561">
        <v>96</v>
      </c>
      <c r="F38" s="382"/>
      <c r="G38" s="364"/>
      <c r="H38" s="364"/>
      <c r="I38" s="561">
        <v>116</v>
      </c>
      <c r="J38" s="364"/>
      <c r="K38" s="364"/>
      <c r="L38" s="364"/>
      <c r="M38" s="561">
        <v>131</v>
      </c>
      <c r="N38" s="364"/>
      <c r="O38" s="364"/>
      <c r="R38" s="99">
        <v>240</v>
      </c>
      <c r="S38" s="364"/>
      <c r="T38" s="364"/>
      <c r="U38" s="561">
        <v>264</v>
      </c>
      <c r="V38" s="364"/>
      <c r="W38" s="364"/>
      <c r="X38" s="561">
        <v>298</v>
      </c>
      <c r="Y38" s="33"/>
      <c r="Z38" s="33"/>
      <c r="AB38" s="9"/>
      <c r="AC38" s="6"/>
      <c r="AD38" s="98"/>
      <c r="AE38" s="98"/>
    </row>
    <row r="39" spans="1:37" ht="23.15" customHeight="1" x14ac:dyDescent="0.3">
      <c r="E39" s="562">
        <f>AVERAGE(E37:E38)</f>
        <v>116.5</v>
      </c>
      <c r="F39" s="562">
        <f>(E20+G20+I20+K20+M20+O20+Q20+S20+U20+W20+Y20+AA20)/(D20+F20+H20+J20+L20+N20+P20+R20+T20+V20+X20+Z20)</f>
        <v>99.338054625018856</v>
      </c>
      <c r="G39" s="563">
        <f>F39*100/E39</f>
        <v>85.268716416325191</v>
      </c>
      <c r="H39" s="364"/>
      <c r="I39" s="562">
        <f>AVERAGE(I37:I38)</f>
        <v>141</v>
      </c>
      <c r="J39" s="564">
        <f>(E30+G30+I30+K30+M30+O30+Q30+S30+U30+W30+Y30+AA30)/(D30+F30+H30+J30+L30+N30+P30+R30+T30+V30+X30+Z30)</f>
        <v>119.11511377530225</v>
      </c>
      <c r="K39" s="565">
        <f>J39*100/I39</f>
        <v>84.478804095959049</v>
      </c>
      <c r="L39" s="364"/>
      <c r="M39" s="562">
        <f>AVERAGE(M37:M38)</f>
        <v>159</v>
      </c>
      <c r="N39" s="564">
        <f>M39*O39/100</f>
        <v>134.94927880726596</v>
      </c>
      <c r="O39" s="565">
        <f>(G39+K39)/2</f>
        <v>84.87376025614212</v>
      </c>
      <c r="R39" s="562">
        <f>AVERAGE(R37:R38)</f>
        <v>291.5</v>
      </c>
      <c r="S39" s="562">
        <f>(E21+G21+I21+K21+M21+O21+Q21+S21+U21+W21+Y21+AA21)/(D21+F21+H21+J21+L21+N21+P21+R21+T21+V21+X21+Z21)</f>
        <v>315.50331940004918</v>
      </c>
      <c r="T39" s="563">
        <f>S39*100/R39</f>
        <v>108.2344148885246</v>
      </c>
      <c r="U39" s="562">
        <f>AVERAGE(U37:U38)</f>
        <v>320.5</v>
      </c>
      <c r="V39" s="564">
        <f>(E31+G31+I31+K31+M31+O31+Q31+S31+U31+W31+Y31+AA31)/(D31+F31+H31+J31+L31+N31+P31+R31+T31+V31+X31+Z31)</f>
        <v>339.00504686729158</v>
      </c>
      <c r="W39" s="565">
        <f>V39*100/U39</f>
        <v>105.77380557481797</v>
      </c>
      <c r="X39" s="575">
        <f>AVERAGE(X37:X38)</f>
        <v>361.5</v>
      </c>
      <c r="Y39" s="564">
        <f>X39*Z39/100</f>
        <v>386.81985848749173</v>
      </c>
      <c r="Z39" s="565">
        <f>(T39+W39)/2</f>
        <v>107.00411023167129</v>
      </c>
      <c r="AB39" s="9"/>
      <c r="AC39" s="6"/>
      <c r="AD39" s="98"/>
    </row>
    <row r="40" spans="1:37" ht="23.15" customHeight="1" thickBot="1" x14ac:dyDescent="0.35">
      <c r="A40" s="70"/>
      <c r="B40" s="33"/>
      <c r="C40" s="33"/>
      <c r="D40" s="33"/>
      <c r="E40" s="364"/>
      <c r="F40" s="364"/>
      <c r="G40" s="364"/>
      <c r="H40" s="364"/>
      <c r="I40" s="364"/>
      <c r="J40" s="364"/>
      <c r="K40" s="364"/>
      <c r="L40" s="364"/>
      <c r="M40" s="364"/>
      <c r="N40" s="364"/>
      <c r="O40" s="364"/>
      <c r="P40" s="364"/>
      <c r="Q40" s="364"/>
      <c r="R40" s="364"/>
      <c r="S40" s="364"/>
      <c r="T40" s="364"/>
      <c r="U40" s="364"/>
      <c r="V40" s="364"/>
      <c r="W40" s="33"/>
      <c r="X40" s="33"/>
      <c r="Y40" s="33"/>
      <c r="Z40" s="33"/>
      <c r="AA40" s="33"/>
      <c r="AB40" s="243"/>
      <c r="AC40" s="6"/>
      <c r="AD40" s="98"/>
    </row>
    <row r="41" spans="1:37" x14ac:dyDescent="0.3">
      <c r="A41" s="202"/>
      <c r="B41" s="1163" t="s">
        <v>38</v>
      </c>
      <c r="C41" s="1164"/>
      <c r="D41" s="1169" t="s">
        <v>244</v>
      </c>
      <c r="E41" s="1169"/>
      <c r="F41" s="1169" t="s">
        <v>244</v>
      </c>
      <c r="G41" s="1169"/>
      <c r="H41" s="1169" t="s">
        <v>244</v>
      </c>
      <c r="I41" s="1169"/>
      <c r="J41" s="1169" t="s">
        <v>244</v>
      </c>
      <c r="K41" s="1169"/>
      <c r="L41" s="1169" t="s">
        <v>244</v>
      </c>
      <c r="M41" s="1169"/>
      <c r="N41" s="1169" t="s">
        <v>244</v>
      </c>
      <c r="O41" s="1169"/>
      <c r="P41" s="1169" t="s">
        <v>244</v>
      </c>
      <c r="Q41" s="1169"/>
      <c r="R41" s="1169" t="s">
        <v>244</v>
      </c>
      <c r="S41" s="1169"/>
      <c r="T41" s="1169" t="s">
        <v>244</v>
      </c>
      <c r="U41" s="1169"/>
      <c r="V41" s="1169" t="s">
        <v>244</v>
      </c>
      <c r="W41" s="1169"/>
      <c r="X41" s="1169" t="s">
        <v>244</v>
      </c>
      <c r="Y41" s="1169"/>
      <c r="Z41" s="1169" t="s">
        <v>244</v>
      </c>
      <c r="AA41" s="1169"/>
      <c r="AB41" s="551" t="s">
        <v>244</v>
      </c>
      <c r="AC41" s="6"/>
      <c r="AD41" s="98"/>
    </row>
    <row r="42" spans="1:37" x14ac:dyDescent="0.3">
      <c r="A42" s="202"/>
      <c r="B42" s="1165"/>
      <c r="C42" s="1166"/>
      <c r="D42" s="1123" t="s">
        <v>87</v>
      </c>
      <c r="E42" s="1123"/>
      <c r="F42" s="1123" t="s">
        <v>88</v>
      </c>
      <c r="G42" s="1123"/>
      <c r="H42" s="1123" t="s">
        <v>14</v>
      </c>
      <c r="I42" s="1123"/>
      <c r="J42" s="1123" t="s">
        <v>15</v>
      </c>
      <c r="K42" s="1123"/>
      <c r="L42" s="1162" t="s">
        <v>16</v>
      </c>
      <c r="M42" s="1196"/>
      <c r="N42" s="1123" t="s">
        <v>17</v>
      </c>
      <c r="O42" s="1123"/>
      <c r="P42" s="1162" t="s">
        <v>18</v>
      </c>
      <c r="Q42" s="1196"/>
      <c r="R42" s="1123" t="s">
        <v>19</v>
      </c>
      <c r="S42" s="1123"/>
      <c r="T42" s="1162" t="s">
        <v>20</v>
      </c>
      <c r="U42" s="1123"/>
      <c r="V42" s="1123" t="s">
        <v>21</v>
      </c>
      <c r="W42" s="1123"/>
      <c r="X42" s="1123" t="s">
        <v>22</v>
      </c>
      <c r="Y42" s="1123"/>
      <c r="Z42" s="1123" t="s">
        <v>23</v>
      </c>
      <c r="AA42" s="1123"/>
      <c r="AB42" s="552" t="s">
        <v>36</v>
      </c>
      <c r="AC42" s="6"/>
      <c r="AD42" s="98"/>
    </row>
    <row r="43" spans="1:37" x14ac:dyDescent="0.3">
      <c r="A43" s="202"/>
      <c r="B43" s="1165"/>
      <c r="C43" s="1166"/>
      <c r="D43" s="507"/>
      <c r="E43" s="517" t="s">
        <v>24</v>
      </c>
      <c r="F43" s="518"/>
      <c r="G43" s="508" t="s">
        <v>24</v>
      </c>
      <c r="H43" s="507"/>
      <c r="I43" s="517" t="s">
        <v>24</v>
      </c>
      <c r="J43" s="518"/>
      <c r="K43" s="508" t="s">
        <v>24</v>
      </c>
      <c r="L43" s="507"/>
      <c r="M43" s="508" t="s">
        <v>24</v>
      </c>
      <c r="N43" s="507"/>
      <c r="O43" s="508" t="s">
        <v>24</v>
      </c>
      <c r="P43" s="507"/>
      <c r="Q43" s="508" t="s">
        <v>24</v>
      </c>
      <c r="R43" s="507"/>
      <c r="S43" s="508" t="s">
        <v>24</v>
      </c>
      <c r="T43" s="535"/>
      <c r="U43" s="510" t="s">
        <v>24</v>
      </c>
      <c r="V43" s="509"/>
      <c r="W43" s="510" t="s">
        <v>24</v>
      </c>
      <c r="X43" s="509"/>
      <c r="Y43" s="510" t="s">
        <v>24</v>
      </c>
      <c r="Z43" s="509"/>
      <c r="AA43" s="510" t="s">
        <v>24</v>
      </c>
      <c r="AB43" s="553" t="s">
        <v>24</v>
      </c>
      <c r="AC43" s="6"/>
      <c r="AD43" s="98"/>
    </row>
    <row r="44" spans="1:37" ht="59.5" customHeight="1" x14ac:dyDescent="0.3">
      <c r="A44" s="202"/>
      <c r="B44" s="1167"/>
      <c r="C44" s="1168"/>
      <c r="D44" s="511" t="s">
        <v>192</v>
      </c>
      <c r="E44" s="554" t="s">
        <v>28</v>
      </c>
      <c r="F44" s="519" t="s">
        <v>26</v>
      </c>
      <c r="G44" s="554" t="s">
        <v>28</v>
      </c>
      <c r="H44" s="511" t="s">
        <v>26</v>
      </c>
      <c r="I44" s="554" t="s">
        <v>28</v>
      </c>
      <c r="J44" s="519" t="s">
        <v>26</v>
      </c>
      <c r="K44" s="554" t="s">
        <v>28</v>
      </c>
      <c r="L44" s="511" t="s">
        <v>26</v>
      </c>
      <c r="M44" s="554" t="s">
        <v>28</v>
      </c>
      <c r="N44" s="511" t="s">
        <v>26</v>
      </c>
      <c r="O44" s="554" t="s">
        <v>28</v>
      </c>
      <c r="P44" s="511" t="s">
        <v>26</v>
      </c>
      <c r="Q44" s="554" t="s">
        <v>28</v>
      </c>
      <c r="R44" s="511" t="s">
        <v>26</v>
      </c>
      <c r="S44" s="554" t="s">
        <v>28</v>
      </c>
      <c r="T44" s="555" t="s">
        <v>26</v>
      </c>
      <c r="U44" s="554" t="s">
        <v>28</v>
      </c>
      <c r="V44" s="513" t="s">
        <v>26</v>
      </c>
      <c r="W44" s="554" t="s">
        <v>28</v>
      </c>
      <c r="X44" s="513" t="s">
        <v>26</v>
      </c>
      <c r="Y44" s="554" t="s">
        <v>28</v>
      </c>
      <c r="Z44" s="513" t="s">
        <v>26</v>
      </c>
      <c r="AA44" s="554" t="s">
        <v>28</v>
      </c>
      <c r="AB44" s="552" t="s">
        <v>97</v>
      </c>
      <c r="AC44" s="6"/>
      <c r="AD44" s="98"/>
    </row>
    <row r="45" spans="1:37" x14ac:dyDescent="0.3">
      <c r="A45" s="202"/>
      <c r="B45" s="1170" t="s">
        <v>39</v>
      </c>
      <c r="C45" s="1171"/>
      <c r="D45" s="514">
        <v>1</v>
      </c>
      <c r="E45" s="520">
        <v>2</v>
      </c>
      <c r="F45" s="521">
        <v>3</v>
      </c>
      <c r="G45" s="515">
        <v>4</v>
      </c>
      <c r="H45" s="514">
        <v>5</v>
      </c>
      <c r="I45" s="520">
        <v>6</v>
      </c>
      <c r="J45" s="521">
        <v>7</v>
      </c>
      <c r="K45" s="515">
        <v>8</v>
      </c>
      <c r="L45" s="514">
        <v>9</v>
      </c>
      <c r="M45" s="515">
        <v>10</v>
      </c>
      <c r="N45" s="514">
        <v>11</v>
      </c>
      <c r="O45" s="515">
        <v>12</v>
      </c>
      <c r="P45" s="514">
        <v>13</v>
      </c>
      <c r="Q45" s="515">
        <v>14</v>
      </c>
      <c r="R45" s="514">
        <v>15</v>
      </c>
      <c r="S45" s="515">
        <v>16</v>
      </c>
      <c r="T45" s="520">
        <v>17</v>
      </c>
      <c r="U45" s="516">
        <v>18</v>
      </c>
      <c r="V45" s="516">
        <v>19</v>
      </c>
      <c r="W45" s="516">
        <v>20</v>
      </c>
      <c r="X45" s="516">
        <v>21</v>
      </c>
      <c r="Y45" s="516">
        <v>22</v>
      </c>
      <c r="Z45" s="516">
        <v>23</v>
      </c>
      <c r="AA45" s="516">
        <v>24</v>
      </c>
      <c r="AB45" s="556">
        <v>25</v>
      </c>
      <c r="AC45" s="6"/>
      <c r="AD45" s="98"/>
    </row>
    <row r="46" spans="1:37" ht="58.4" customHeight="1" x14ac:dyDescent="0.3">
      <c r="A46" s="215" t="s">
        <v>370</v>
      </c>
      <c r="B46" s="1172" t="s">
        <v>281</v>
      </c>
      <c r="C46" s="1173"/>
      <c r="D46" s="528">
        <f>ROUND((D30+F30+H30+J30+L30+N30+P30+R30+T30+V30+X30+Z30)/12,0)</f>
        <v>2454</v>
      </c>
      <c r="E46" s="529">
        <f>D46*$N$39</f>
        <v>331165.53019303066</v>
      </c>
      <c r="F46" s="528">
        <f>D46</f>
        <v>2454</v>
      </c>
      <c r="G46" s="529">
        <f>F46*$N$39</f>
        <v>331165.53019303066</v>
      </c>
      <c r="H46" s="528">
        <f>F46</f>
        <v>2454</v>
      </c>
      <c r="I46" s="529">
        <f>H46*$N$39</f>
        <v>331165.53019303066</v>
      </c>
      <c r="J46" s="528">
        <f>H46</f>
        <v>2454</v>
      </c>
      <c r="K46" s="529">
        <f>J46*$N$39</f>
        <v>331165.53019303066</v>
      </c>
      <c r="L46" s="528">
        <f>F46</f>
        <v>2454</v>
      </c>
      <c r="M46" s="529">
        <f>L46*$N$39</f>
        <v>331165.53019303066</v>
      </c>
      <c r="N46" s="528">
        <f>L46</f>
        <v>2454</v>
      </c>
      <c r="O46" s="529">
        <f>N46*$N$39</f>
        <v>331165.53019303066</v>
      </c>
      <c r="P46" s="528">
        <f>N46</f>
        <v>2454</v>
      </c>
      <c r="Q46" s="529">
        <f>P46*$N$39</f>
        <v>331165.53019303066</v>
      </c>
      <c r="R46" s="528">
        <f>P46</f>
        <v>2454</v>
      </c>
      <c r="S46" s="529">
        <f>R46*$N$39</f>
        <v>331165.53019303066</v>
      </c>
      <c r="T46" s="528">
        <f>R46</f>
        <v>2454</v>
      </c>
      <c r="U46" s="529">
        <f>T46*$N$39</f>
        <v>331165.53019303066</v>
      </c>
      <c r="V46" s="528">
        <f>T46</f>
        <v>2454</v>
      </c>
      <c r="W46" s="529">
        <f>V46*$N$39</f>
        <v>331165.53019303066</v>
      </c>
      <c r="X46" s="528">
        <f>V46</f>
        <v>2454</v>
      </c>
      <c r="Y46" s="529">
        <f>X46*$N$39</f>
        <v>331165.53019303066</v>
      </c>
      <c r="Z46" s="528">
        <f>X46</f>
        <v>2454</v>
      </c>
      <c r="AA46" s="529">
        <f>Z46*$N$39</f>
        <v>331165.53019303066</v>
      </c>
      <c r="AB46" s="566">
        <f>ROUND(I46+K46+M46+O46+Q46+S46+U46+W46+Y46+AA46+G46+E46,0)</f>
        <v>3973986</v>
      </c>
      <c r="AC46" s="6"/>
      <c r="AD46" s="98"/>
      <c r="AE46" s="244"/>
      <c r="AH46" s="7"/>
      <c r="AI46" s="7"/>
      <c r="AJ46" s="7"/>
      <c r="AK46" s="7"/>
    </row>
    <row r="47" spans="1:37" ht="38.15" customHeight="1" x14ac:dyDescent="0.3">
      <c r="A47" s="215" t="s">
        <v>374</v>
      </c>
      <c r="B47" s="1172" t="s">
        <v>283</v>
      </c>
      <c r="C47" s="1173"/>
      <c r="D47" s="528">
        <f>ROUND((D31+F31+H31+J31+L31+N31+P31+R31+T31+V31+X31+Z31)/12,0)</f>
        <v>338</v>
      </c>
      <c r="E47" s="529">
        <f>D47*Y39</f>
        <v>130745.1121687722</v>
      </c>
      <c r="F47" s="528">
        <f>D47</f>
        <v>338</v>
      </c>
      <c r="G47" s="529">
        <f>E47</f>
        <v>130745.1121687722</v>
      </c>
      <c r="H47" s="528">
        <f t="shared" ref="H47:H48" si="8">F47</f>
        <v>338</v>
      </c>
      <c r="I47" s="529">
        <f>G47</f>
        <v>130745.1121687722</v>
      </c>
      <c r="J47" s="528">
        <f t="shared" ref="J47:J48" si="9">H47</f>
        <v>338</v>
      </c>
      <c r="K47" s="529">
        <f>I47</f>
        <v>130745.1121687722</v>
      </c>
      <c r="L47" s="528">
        <f t="shared" ref="L47:L48" si="10">F47</f>
        <v>338</v>
      </c>
      <c r="M47" s="529">
        <f>K47</f>
        <v>130745.1121687722</v>
      </c>
      <c r="N47" s="528">
        <f t="shared" ref="N47:N48" si="11">L47</f>
        <v>338</v>
      </c>
      <c r="O47" s="529">
        <f>M47</f>
        <v>130745.1121687722</v>
      </c>
      <c r="P47" s="528">
        <f t="shared" ref="P47:P48" si="12">N47</f>
        <v>338</v>
      </c>
      <c r="Q47" s="529">
        <f t="shared" ref="Q47:Q48" si="13">O47</f>
        <v>130745.1121687722</v>
      </c>
      <c r="R47" s="528">
        <f t="shared" ref="R47:R48" si="14">P47</f>
        <v>338</v>
      </c>
      <c r="S47" s="529">
        <f t="shared" ref="S47:S48" si="15">Q47</f>
        <v>130745.1121687722</v>
      </c>
      <c r="T47" s="528">
        <f t="shared" ref="T47:T48" si="16">R47</f>
        <v>338</v>
      </c>
      <c r="U47" s="529">
        <f t="shared" ref="U47:U48" si="17">S47</f>
        <v>130745.1121687722</v>
      </c>
      <c r="V47" s="528">
        <f t="shared" ref="V47:V48" si="18">T47</f>
        <v>338</v>
      </c>
      <c r="W47" s="529">
        <f t="shared" ref="W47:W48" si="19">U47</f>
        <v>130745.1121687722</v>
      </c>
      <c r="X47" s="528">
        <f t="shared" ref="X47:X48" si="20">V47</f>
        <v>338</v>
      </c>
      <c r="Y47" s="529">
        <f t="shared" ref="Y47:Y48" si="21">W47</f>
        <v>130745.1121687722</v>
      </c>
      <c r="Z47" s="528">
        <f t="shared" ref="Z47:Z48" si="22">X47</f>
        <v>338</v>
      </c>
      <c r="AA47" s="529">
        <f t="shared" ref="AA47:AA48" si="23">Y47</f>
        <v>130745.1121687722</v>
      </c>
      <c r="AB47" s="566">
        <f>ROUND(I47+K47+M47+O47+Q47+S47+U47+W47+Y47+AA47+G47+E47,0)</f>
        <v>1568941</v>
      </c>
      <c r="AC47" s="6"/>
      <c r="AD47" s="98"/>
    </row>
    <row r="48" spans="1:37" ht="51.65" customHeight="1" thickBot="1" x14ac:dyDescent="0.35">
      <c r="A48" s="215" t="s">
        <v>375</v>
      </c>
      <c r="B48" s="1174" t="s">
        <v>284</v>
      </c>
      <c r="C48" s="1175"/>
      <c r="D48" s="567">
        <f>ROUND((D32+F32+H32+J32+L32+N32+P32+R32+T32+V32+X32+Z32)/12,0)</f>
        <v>2241</v>
      </c>
      <c r="E48" s="568">
        <f>D48*H69</f>
        <v>382211.6048590506</v>
      </c>
      <c r="F48" s="567">
        <f t="shared" ref="F48" si="24">D48</f>
        <v>2241</v>
      </c>
      <c r="G48" s="568">
        <f>E48</f>
        <v>382211.6048590506</v>
      </c>
      <c r="H48" s="567">
        <f t="shared" si="8"/>
        <v>2241</v>
      </c>
      <c r="I48" s="568">
        <f>G48</f>
        <v>382211.6048590506</v>
      </c>
      <c r="J48" s="567">
        <f t="shared" si="9"/>
        <v>2241</v>
      </c>
      <c r="K48" s="568">
        <f>I48</f>
        <v>382211.6048590506</v>
      </c>
      <c r="L48" s="567">
        <f t="shared" si="10"/>
        <v>2241</v>
      </c>
      <c r="M48" s="568">
        <f>K48</f>
        <v>382211.6048590506</v>
      </c>
      <c r="N48" s="567">
        <f t="shared" si="11"/>
        <v>2241</v>
      </c>
      <c r="O48" s="568">
        <f t="shared" ref="O48" si="25">M48</f>
        <v>382211.6048590506</v>
      </c>
      <c r="P48" s="567">
        <f t="shared" si="12"/>
        <v>2241</v>
      </c>
      <c r="Q48" s="568">
        <f t="shared" si="13"/>
        <v>382211.6048590506</v>
      </c>
      <c r="R48" s="567">
        <f t="shared" si="14"/>
        <v>2241</v>
      </c>
      <c r="S48" s="568">
        <f t="shared" si="15"/>
        <v>382211.6048590506</v>
      </c>
      <c r="T48" s="567">
        <f t="shared" si="16"/>
        <v>2241</v>
      </c>
      <c r="U48" s="568">
        <f t="shared" si="17"/>
        <v>382211.6048590506</v>
      </c>
      <c r="V48" s="567">
        <f t="shared" si="18"/>
        <v>2241</v>
      </c>
      <c r="W48" s="568">
        <f t="shared" si="19"/>
        <v>382211.6048590506</v>
      </c>
      <c r="X48" s="567">
        <f t="shared" si="20"/>
        <v>2241</v>
      </c>
      <c r="Y48" s="568">
        <f t="shared" si="21"/>
        <v>382211.6048590506</v>
      </c>
      <c r="Z48" s="567">
        <f t="shared" si="22"/>
        <v>2241</v>
      </c>
      <c r="AA48" s="568">
        <f t="shared" si="23"/>
        <v>382211.6048590506</v>
      </c>
      <c r="AB48" s="569">
        <f>ROUND(I48+K48+M48+O48+Q48+S48+U48+W48+Y48+AA48+G48+E48,0)</f>
        <v>4586539</v>
      </c>
      <c r="AD48" s="612">
        <f>D48+F48+H48+J48+L48+N48+P48+R48+T48+V48+X48+Z48</f>
        <v>26892</v>
      </c>
      <c r="AE48" s="613">
        <f>AB48/AD48</f>
        <v>170.5540309385691</v>
      </c>
    </row>
    <row r="49" spans="1:33" s="15" customFormat="1" ht="14.5" thickBot="1" x14ac:dyDescent="0.35">
      <c r="A49" s="262"/>
      <c r="B49" s="1189" t="s">
        <v>36</v>
      </c>
      <c r="C49" s="1190"/>
      <c r="D49" s="570"/>
      <c r="E49" s="571">
        <f>SUM(E46:E48)</f>
        <v>844122.24722085346</v>
      </c>
      <c r="F49" s="570"/>
      <c r="G49" s="571">
        <f>SUM(G46:G48)</f>
        <v>844122.24722085346</v>
      </c>
      <c r="H49" s="570"/>
      <c r="I49" s="571">
        <f>SUM(I46:I48)</f>
        <v>844122.24722085346</v>
      </c>
      <c r="J49" s="570"/>
      <c r="K49" s="571">
        <f>SUM(K46:K48)</f>
        <v>844122.24722085346</v>
      </c>
      <c r="L49" s="572"/>
      <c r="M49" s="573">
        <f>SUM(M46:M48)</f>
        <v>844122.24722085346</v>
      </c>
      <c r="N49" s="570"/>
      <c r="O49" s="571">
        <f>SUM(O46:O48)</f>
        <v>844122.24722085346</v>
      </c>
      <c r="P49" s="572"/>
      <c r="Q49" s="573">
        <f>SUM(Q46:Q48)</f>
        <v>844122.24722085346</v>
      </c>
      <c r="R49" s="570"/>
      <c r="S49" s="571">
        <f>SUM(S46:S48)</f>
        <v>844122.24722085346</v>
      </c>
      <c r="T49" s="570"/>
      <c r="U49" s="571">
        <f>SUM(U46:U48)</f>
        <v>844122.24722085346</v>
      </c>
      <c r="V49" s="570"/>
      <c r="W49" s="571">
        <f>SUM(W46:W48)</f>
        <v>844122.24722085346</v>
      </c>
      <c r="X49" s="570"/>
      <c r="Y49" s="571">
        <f>SUM(Y46:Y48)</f>
        <v>844122.24722085346</v>
      </c>
      <c r="Z49" s="570"/>
      <c r="AA49" s="571"/>
      <c r="AB49" s="574">
        <f>SUM(AB46:AB48)</f>
        <v>10129466</v>
      </c>
      <c r="AC49" s="245"/>
      <c r="AD49" s="614"/>
      <c r="AE49" s="614"/>
      <c r="AF49" s="17"/>
      <c r="AG49" s="17"/>
    </row>
    <row r="50" spans="1:33" s="33" customFormat="1" ht="21.65" customHeight="1" x14ac:dyDescent="0.3">
      <c r="A50" s="70"/>
      <c r="B50" s="1176" t="s">
        <v>282</v>
      </c>
      <c r="C50" s="1176"/>
      <c r="D50" s="1176"/>
      <c r="E50" s="1176"/>
      <c r="F50" s="1176"/>
      <c r="G50" s="1176"/>
      <c r="H50" s="1176"/>
      <c r="I50" s="1176"/>
      <c r="J50" s="1176"/>
      <c r="K50" s="1176"/>
      <c r="L50" s="1176"/>
      <c r="M50" s="1176"/>
      <c r="N50" s="1176"/>
      <c r="O50" s="1176"/>
      <c r="P50" s="1176"/>
      <c r="Q50" s="1176"/>
      <c r="R50" s="1176"/>
      <c r="S50" s="1176"/>
      <c r="T50" s="1176"/>
      <c r="U50" s="1176"/>
      <c r="V50" s="1176"/>
      <c r="W50" s="1176"/>
      <c r="X50" s="1176"/>
      <c r="Y50" s="1176"/>
      <c r="Z50" s="1176"/>
      <c r="AA50" s="1176"/>
      <c r="AB50" s="1176"/>
    </row>
    <row r="51" spans="1:33" s="576" customFormat="1" x14ac:dyDescent="0.3">
      <c r="B51" s="1199" t="s">
        <v>302</v>
      </c>
      <c r="C51" s="1199"/>
      <c r="D51" s="1199"/>
      <c r="E51" s="1199"/>
      <c r="F51" s="1199"/>
      <c r="G51" s="1199"/>
      <c r="H51" s="1199"/>
      <c r="I51" s="1199"/>
      <c r="J51" s="577"/>
    </row>
    <row r="52" spans="1:33" s="576" customFormat="1" ht="28" x14ac:dyDescent="0.3">
      <c r="B52" s="1200"/>
      <c r="C52" s="1200"/>
      <c r="D52" s="1200"/>
      <c r="E52" s="1200"/>
      <c r="F52" s="1200"/>
      <c r="G52" s="608" t="s">
        <v>285</v>
      </c>
      <c r="H52" s="609" t="s">
        <v>286</v>
      </c>
      <c r="J52" s="577"/>
    </row>
    <row r="53" spans="1:33" s="33" customFormat="1" x14ac:dyDescent="0.3">
      <c r="B53" s="1201" t="s">
        <v>287</v>
      </c>
      <c r="C53" s="1201"/>
      <c r="D53" s="1201"/>
      <c r="E53" s="1201"/>
      <c r="F53" s="1201"/>
      <c r="G53" s="606">
        <v>2022</v>
      </c>
      <c r="H53" s="578">
        <v>2023</v>
      </c>
      <c r="J53" s="579"/>
    </row>
    <row r="54" spans="1:33" s="576" customFormat="1" x14ac:dyDescent="0.3">
      <c r="B54" s="1201" t="s">
        <v>288</v>
      </c>
      <c r="C54" s="1201"/>
      <c r="D54" s="1201"/>
      <c r="E54" s="1201"/>
      <c r="F54" s="1201"/>
      <c r="G54" s="607">
        <v>754.74</v>
      </c>
      <c r="H54" s="580">
        <v>850.02</v>
      </c>
      <c r="J54" s="577"/>
    </row>
    <row r="55" spans="1:33" s="576" customFormat="1" hidden="1" x14ac:dyDescent="0.3">
      <c r="C55" s="581"/>
      <c r="D55" s="581"/>
      <c r="E55" s="581"/>
      <c r="G55" s="582">
        <f>ROUND(G54*0.22,0)</f>
        <v>166</v>
      </c>
      <c r="H55" s="583">
        <f>ROUND(H54*0.22,0)</f>
        <v>187</v>
      </c>
      <c r="I55" s="584"/>
      <c r="J55" s="577"/>
    </row>
    <row r="56" spans="1:33" s="576" customFormat="1" x14ac:dyDescent="0.3">
      <c r="C56" s="581"/>
      <c r="D56" s="581"/>
      <c r="E56" s="581"/>
      <c r="G56" s="33"/>
      <c r="H56" s="585"/>
      <c r="J56" s="577"/>
    </row>
    <row r="57" spans="1:33" s="576" customFormat="1" x14ac:dyDescent="0.3">
      <c r="B57" s="1202"/>
      <c r="C57" s="1204" t="s">
        <v>289</v>
      </c>
      <c r="D57" s="610"/>
      <c r="E57" s="586">
        <v>2023</v>
      </c>
      <c r="F57" s="587">
        <v>2024</v>
      </c>
      <c r="G57" s="587">
        <v>2025</v>
      </c>
      <c r="H57" s="588">
        <v>2026</v>
      </c>
      <c r="J57" s="577"/>
    </row>
    <row r="58" spans="1:33" s="576" customFormat="1" x14ac:dyDescent="0.3">
      <c r="B58" s="1203"/>
      <c r="C58" s="1204"/>
      <c r="D58" s="610"/>
      <c r="E58" s="589" t="s">
        <v>290</v>
      </c>
      <c r="F58" s="590" t="s">
        <v>290</v>
      </c>
      <c r="G58" s="590" t="s">
        <v>290</v>
      </c>
      <c r="H58" s="591" t="s">
        <v>290</v>
      </c>
      <c r="J58" s="577"/>
    </row>
    <row r="59" spans="1:33" s="576" customFormat="1" x14ac:dyDescent="0.3">
      <c r="B59" s="592" t="s">
        <v>291</v>
      </c>
      <c r="C59" s="593">
        <v>1</v>
      </c>
      <c r="D59" s="611"/>
      <c r="E59" s="594">
        <v>125</v>
      </c>
      <c r="F59" s="595">
        <v>137</v>
      </c>
      <c r="G59" s="596">
        <f>G55</f>
        <v>166</v>
      </c>
      <c r="H59" s="597">
        <f>H55</f>
        <v>187</v>
      </c>
      <c r="J59" s="577"/>
    </row>
    <row r="60" spans="1:33" s="576" customFormat="1" x14ac:dyDescent="0.3">
      <c r="B60" s="592" t="s">
        <v>292</v>
      </c>
      <c r="C60" s="593">
        <v>0.7</v>
      </c>
      <c r="D60" s="611"/>
      <c r="E60" s="598">
        <v>87.5</v>
      </c>
      <c r="F60" s="595">
        <f>ROUND(F59*C60,0)</f>
        <v>96</v>
      </c>
      <c r="G60" s="596">
        <f>ROUND(G59*C60,0)</f>
        <v>116</v>
      </c>
      <c r="H60" s="597">
        <f>ROUND(H59*C60,0)</f>
        <v>131</v>
      </c>
      <c r="J60" s="577"/>
    </row>
    <row r="61" spans="1:33" s="576" customFormat="1" x14ac:dyDescent="0.3">
      <c r="C61" s="581"/>
      <c r="D61" s="581"/>
      <c r="E61" s="581"/>
      <c r="F61" s="599"/>
      <c r="G61" s="600"/>
      <c r="H61" s="601"/>
      <c r="J61" s="577"/>
    </row>
    <row r="62" spans="1:33" s="576" customFormat="1" x14ac:dyDescent="0.3">
      <c r="C62" s="581"/>
      <c r="D62" s="581"/>
      <c r="E62" s="586">
        <v>2023</v>
      </c>
      <c r="F62" s="587">
        <v>2024</v>
      </c>
      <c r="G62" s="587">
        <v>2025</v>
      </c>
      <c r="H62" s="588">
        <v>2026</v>
      </c>
      <c r="J62" s="577"/>
    </row>
    <row r="63" spans="1:33" s="576" customFormat="1" x14ac:dyDescent="0.3">
      <c r="C63" s="581"/>
      <c r="D63" s="581"/>
      <c r="E63" s="602" t="s">
        <v>290</v>
      </c>
      <c r="F63" s="603" t="s">
        <v>290</v>
      </c>
      <c r="G63" s="603" t="s">
        <v>290</v>
      </c>
      <c r="H63" s="604" t="s">
        <v>290</v>
      </c>
      <c r="I63" s="605"/>
      <c r="J63" s="615" t="s">
        <v>293</v>
      </c>
      <c r="K63" s="616"/>
      <c r="L63" s="616"/>
      <c r="M63" s="616"/>
      <c r="N63" s="616"/>
      <c r="O63" s="616"/>
      <c r="P63" s="616"/>
      <c r="Q63" s="616"/>
      <c r="R63" s="616"/>
      <c r="S63" s="616"/>
    </row>
    <row r="64" spans="1:33" s="576" customFormat="1" ht="63.5" customHeight="1" x14ac:dyDescent="0.3">
      <c r="B64" s="1193" t="s">
        <v>294</v>
      </c>
      <c r="C64" s="1193"/>
      <c r="D64" s="623">
        <v>1</v>
      </c>
      <c r="E64" s="624">
        <f>E59*2.5</f>
        <v>312.5</v>
      </c>
      <c r="F64" s="624">
        <f>F59*2.5</f>
        <v>342.5</v>
      </c>
      <c r="G64" s="625">
        <f>G59*2.1</f>
        <v>348.6</v>
      </c>
      <c r="H64" s="626">
        <f>H59*2.1</f>
        <v>392.7</v>
      </c>
      <c r="I64" s="1194" t="s">
        <v>295</v>
      </c>
      <c r="J64" s="1195" t="s">
        <v>390</v>
      </c>
      <c r="K64" s="1195"/>
      <c r="L64" s="1195"/>
      <c r="M64" s="1195"/>
      <c r="N64" s="1195"/>
      <c r="O64" s="1195"/>
      <c r="P64" s="1195"/>
      <c r="Q64" s="1195"/>
      <c r="R64" s="1195"/>
      <c r="S64" s="1195"/>
    </row>
    <row r="65" spans="1:31" ht="79.5" customHeight="1" x14ac:dyDescent="0.3">
      <c r="A65" s="3"/>
      <c r="B65" s="1193" t="s">
        <v>296</v>
      </c>
      <c r="C65" s="1193"/>
      <c r="D65" s="623">
        <v>2</v>
      </c>
      <c r="E65" s="624">
        <f>(E59+E60)*2</f>
        <v>425</v>
      </c>
      <c r="F65" s="624">
        <f>(F59+F60)*2</f>
        <v>466</v>
      </c>
      <c r="G65" s="625">
        <f>(G59+G60)*1.7</f>
        <v>479.4</v>
      </c>
      <c r="H65" s="626">
        <f>(H59+H60)*1.7</f>
        <v>540.6</v>
      </c>
      <c r="I65" s="1194"/>
      <c r="J65" s="1195" t="s">
        <v>391</v>
      </c>
      <c r="K65" s="1195"/>
      <c r="L65" s="1195"/>
      <c r="M65" s="1195"/>
      <c r="N65" s="1195"/>
      <c r="O65" s="1195"/>
      <c r="P65" s="1195"/>
      <c r="Q65" s="1195"/>
      <c r="R65" s="1195"/>
      <c r="S65" s="1195"/>
      <c r="AD65" s="3"/>
      <c r="AE65" s="3"/>
    </row>
    <row r="66" spans="1:31" s="576" customFormat="1" ht="85.5" customHeight="1" x14ac:dyDescent="0.3">
      <c r="B66" s="1193" t="s">
        <v>297</v>
      </c>
      <c r="C66" s="1193"/>
      <c r="D66" s="623">
        <v>3</v>
      </c>
      <c r="E66" s="624">
        <f>(E59+E60+E60)*2</f>
        <v>600</v>
      </c>
      <c r="F66" s="624">
        <f>(F59+F60+F60)*2</f>
        <v>658</v>
      </c>
      <c r="G66" s="625">
        <f>(G59+G60+G60)*1.7</f>
        <v>676.6</v>
      </c>
      <c r="H66" s="626">
        <f>(H59+H60+H60)*1.7</f>
        <v>763.3</v>
      </c>
      <c r="I66" s="1194"/>
      <c r="J66" s="1195" t="s">
        <v>392</v>
      </c>
      <c r="K66" s="1195"/>
      <c r="L66" s="1195"/>
      <c r="M66" s="1195"/>
      <c r="N66" s="1195"/>
      <c r="O66" s="1195"/>
      <c r="P66" s="1195"/>
      <c r="Q66" s="1195"/>
      <c r="R66" s="1195"/>
      <c r="S66" s="1195"/>
    </row>
    <row r="67" spans="1:31" s="576" customFormat="1" ht="86.5" customHeight="1" x14ac:dyDescent="0.3">
      <c r="B67" s="1193" t="s">
        <v>298</v>
      </c>
      <c r="C67" s="1193"/>
      <c r="D67" s="623">
        <v>3</v>
      </c>
      <c r="E67" s="624">
        <f>(E59+E60+E60)*1.5</f>
        <v>450</v>
      </c>
      <c r="F67" s="624">
        <f>(F59+F60+F60)*1.5</f>
        <v>493.5</v>
      </c>
      <c r="G67" s="625">
        <f>(G59+G60+G60)*1.3</f>
        <v>517.4</v>
      </c>
      <c r="H67" s="626">
        <f>(H59+H60+H60)*1.3</f>
        <v>583.70000000000005</v>
      </c>
      <c r="I67" s="1194"/>
      <c r="J67" s="1195" t="s">
        <v>393</v>
      </c>
      <c r="K67" s="1195"/>
      <c r="L67" s="1195"/>
      <c r="M67" s="1195"/>
      <c r="N67" s="1195"/>
      <c r="O67" s="1195"/>
      <c r="P67" s="1195"/>
      <c r="Q67" s="1195"/>
      <c r="R67" s="1195"/>
      <c r="S67" s="1195"/>
    </row>
    <row r="68" spans="1:31" s="576" customFormat="1" x14ac:dyDescent="0.3">
      <c r="B68" s="1191" t="s">
        <v>300</v>
      </c>
      <c r="C68" s="1191"/>
      <c r="D68" s="1191"/>
      <c r="E68" s="617">
        <f>(E64+E65+E66+E67)/9</f>
        <v>198.61111111111111</v>
      </c>
      <c r="F68" s="617">
        <f t="shared" ref="F68:H68" si="26">(F64+F65+F66+F67)/9</f>
        <v>217.77777777777777</v>
      </c>
      <c r="G68" s="617">
        <f t="shared" si="26"/>
        <v>224.66666666666666</v>
      </c>
      <c r="H68" s="617">
        <f t="shared" si="26"/>
        <v>253.36666666666667</v>
      </c>
      <c r="J68" s="577"/>
    </row>
    <row r="69" spans="1:31" s="576" customFormat="1" x14ac:dyDescent="0.3">
      <c r="B69" s="1191" t="s">
        <v>299</v>
      </c>
      <c r="C69" s="1191"/>
      <c r="D69" s="1191"/>
      <c r="E69" s="617">
        <f>AE12</f>
        <v>133.42582486602768</v>
      </c>
      <c r="F69" s="617">
        <f>AE22</f>
        <v>148.79668586963558</v>
      </c>
      <c r="G69" s="618">
        <f>AE32</f>
        <v>151.23460508701473</v>
      </c>
      <c r="H69" s="618">
        <f>H68*H70/100</f>
        <v>170.55404054397616</v>
      </c>
      <c r="J69" s="577"/>
    </row>
    <row r="70" spans="1:31" s="576" customFormat="1" x14ac:dyDescent="0.3">
      <c r="B70" s="1192" t="s">
        <v>301</v>
      </c>
      <c r="C70" s="1192"/>
      <c r="D70" s="1192"/>
      <c r="E70" s="619">
        <f>E69*100/E68</f>
        <v>67.179436296181777</v>
      </c>
      <c r="F70" s="619">
        <f t="shared" ref="F70:G70" si="27">F69*100/F68</f>
        <v>68.325008817689806</v>
      </c>
      <c r="G70" s="619">
        <f t="shared" si="27"/>
        <v>67.315106121816655</v>
      </c>
      <c r="H70" s="620">
        <f>G70</f>
        <v>67.315106121816655</v>
      </c>
      <c r="J70" s="577"/>
    </row>
    <row r="71" spans="1:31" ht="23.15" customHeight="1" x14ac:dyDescent="0.3">
      <c r="B71" s="621"/>
      <c r="C71" s="622"/>
      <c r="D71" s="622"/>
      <c r="E71" s="622"/>
      <c r="F71" s="622"/>
      <c r="G71" s="622"/>
      <c r="H71" s="622"/>
      <c r="I71" s="364"/>
      <c r="J71" s="364"/>
      <c r="K71" s="364"/>
      <c r="L71" s="364"/>
      <c r="M71" s="364"/>
      <c r="N71" s="364"/>
      <c r="O71" s="364"/>
      <c r="P71" s="364"/>
      <c r="Q71" s="364"/>
      <c r="R71" s="364"/>
      <c r="S71" s="364"/>
      <c r="T71" s="364"/>
      <c r="U71" s="364"/>
      <c r="V71" s="364"/>
      <c r="W71" s="364"/>
      <c r="X71" s="364"/>
      <c r="Y71" s="364"/>
      <c r="Z71" s="364"/>
      <c r="AA71" s="364"/>
      <c r="AB71" s="385"/>
    </row>
    <row r="72" spans="1:31" ht="23.15" customHeight="1" x14ac:dyDescent="0.3">
      <c r="AB72" s="9"/>
    </row>
    <row r="73" spans="1:31" ht="14.5" customHeight="1" x14ac:dyDescent="0.3">
      <c r="A73" s="18"/>
      <c r="B73" s="1178" t="s">
        <v>12</v>
      </c>
      <c r="C73" s="1178"/>
      <c r="D73" s="1106" t="s">
        <v>82</v>
      </c>
      <c r="E73" s="1106"/>
      <c r="F73" s="1106" t="s">
        <v>82</v>
      </c>
      <c r="G73" s="1106"/>
      <c r="H73" s="1106" t="s">
        <v>82</v>
      </c>
      <c r="I73" s="1106"/>
      <c r="J73" s="1106" t="s">
        <v>82</v>
      </c>
      <c r="K73" s="1106"/>
      <c r="L73" s="1106" t="s">
        <v>82</v>
      </c>
      <c r="M73" s="1106"/>
      <c r="N73" s="1106" t="s">
        <v>82</v>
      </c>
      <c r="O73" s="1106"/>
      <c r="P73" s="1106" t="s">
        <v>82</v>
      </c>
      <c r="Q73" s="1106"/>
      <c r="R73" s="1106" t="s">
        <v>82</v>
      </c>
      <c r="S73" s="1106"/>
      <c r="T73" s="1135" t="s">
        <v>82</v>
      </c>
      <c r="U73" s="1135"/>
      <c r="V73" s="1135" t="s">
        <v>82</v>
      </c>
      <c r="W73" s="1135"/>
      <c r="X73" s="1135" t="s">
        <v>82</v>
      </c>
      <c r="Y73" s="1135"/>
      <c r="Z73" s="1135" t="s">
        <v>82</v>
      </c>
      <c r="AA73" s="1135"/>
      <c r="AB73" s="265" t="s">
        <v>82</v>
      </c>
    </row>
    <row r="74" spans="1:31" ht="56.5" customHeight="1" x14ac:dyDescent="0.3">
      <c r="A74" s="255"/>
      <c r="B74" s="1178" t="s">
        <v>13</v>
      </c>
      <c r="C74" s="1178"/>
      <c r="D74" s="1108" t="s">
        <v>87</v>
      </c>
      <c r="E74" s="1108"/>
      <c r="F74" s="1108" t="s">
        <v>88</v>
      </c>
      <c r="G74" s="1108"/>
      <c r="H74" s="1108" t="s">
        <v>14</v>
      </c>
      <c r="I74" s="1108"/>
      <c r="J74" s="1108" t="s">
        <v>15</v>
      </c>
      <c r="K74" s="1108"/>
      <c r="L74" s="1108" t="s">
        <v>16</v>
      </c>
      <c r="M74" s="1108"/>
      <c r="N74" s="1108" t="s">
        <v>17</v>
      </c>
      <c r="O74" s="1108"/>
      <c r="P74" s="1108" t="s">
        <v>18</v>
      </c>
      <c r="Q74" s="1108"/>
      <c r="R74" s="1108" t="s">
        <v>19</v>
      </c>
      <c r="S74" s="1108"/>
      <c r="T74" s="1108" t="s">
        <v>20</v>
      </c>
      <c r="U74" s="1108"/>
      <c r="V74" s="1108" t="s">
        <v>21</v>
      </c>
      <c r="W74" s="1108"/>
      <c r="X74" s="1108" t="s">
        <v>22</v>
      </c>
      <c r="Y74" s="1108"/>
      <c r="Z74" s="1108" t="s">
        <v>23</v>
      </c>
      <c r="AA74" s="1108"/>
      <c r="AB74" s="173" t="s">
        <v>36</v>
      </c>
    </row>
    <row r="75" spans="1:31" ht="15" customHeight="1" x14ac:dyDescent="0.3">
      <c r="A75" s="255"/>
      <c r="B75" s="1177" t="s">
        <v>32</v>
      </c>
      <c r="C75" s="1177"/>
      <c r="D75" s="264"/>
      <c r="E75" s="164" t="s">
        <v>24</v>
      </c>
      <c r="F75" s="264"/>
      <c r="G75" s="164" t="s">
        <v>24</v>
      </c>
      <c r="H75" s="264"/>
      <c r="I75" s="164" t="s">
        <v>24</v>
      </c>
      <c r="J75" s="264"/>
      <c r="K75" s="164" t="s">
        <v>24</v>
      </c>
      <c r="L75" s="264"/>
      <c r="M75" s="164" t="s">
        <v>24</v>
      </c>
      <c r="N75" s="264"/>
      <c r="O75" s="164" t="s">
        <v>24</v>
      </c>
      <c r="P75" s="264"/>
      <c r="Q75" s="164" t="s">
        <v>24</v>
      </c>
      <c r="R75" s="264"/>
      <c r="S75" s="164" t="s">
        <v>24</v>
      </c>
      <c r="T75" s="207"/>
      <c r="U75" s="206" t="s">
        <v>24</v>
      </c>
      <c r="V75" s="207"/>
      <c r="W75" s="206" t="s">
        <v>24</v>
      </c>
      <c r="X75" s="207"/>
      <c r="Y75" s="206" t="s">
        <v>24</v>
      </c>
      <c r="Z75" s="207"/>
      <c r="AA75" s="206" t="s">
        <v>24</v>
      </c>
      <c r="AB75" s="246" t="s">
        <v>24</v>
      </c>
    </row>
    <row r="76" spans="1:31" ht="65.5" customHeight="1" x14ac:dyDescent="0.3">
      <c r="A76" s="255"/>
      <c r="B76" s="247" t="s">
        <v>25</v>
      </c>
      <c r="C76" s="247" t="s">
        <v>55</v>
      </c>
      <c r="D76" s="247" t="s">
        <v>338</v>
      </c>
      <c r="E76" s="258" t="s">
        <v>27</v>
      </c>
      <c r="F76" s="247" t="s">
        <v>338</v>
      </c>
      <c r="G76" s="258" t="s">
        <v>27</v>
      </c>
      <c r="H76" s="247" t="s">
        <v>338</v>
      </c>
      <c r="I76" s="258" t="s">
        <v>27</v>
      </c>
      <c r="J76" s="247" t="s">
        <v>338</v>
      </c>
      <c r="K76" s="258" t="s">
        <v>27</v>
      </c>
      <c r="L76" s="247" t="s">
        <v>338</v>
      </c>
      <c r="M76" s="258" t="s">
        <v>27</v>
      </c>
      <c r="N76" s="247" t="s">
        <v>338</v>
      </c>
      <c r="O76" s="258" t="s">
        <v>27</v>
      </c>
      <c r="P76" s="247" t="s">
        <v>338</v>
      </c>
      <c r="Q76" s="258" t="s">
        <v>27</v>
      </c>
      <c r="R76" s="247" t="s">
        <v>338</v>
      </c>
      <c r="S76" s="258" t="s">
        <v>27</v>
      </c>
      <c r="T76" s="247" t="s">
        <v>338</v>
      </c>
      <c r="U76" s="258" t="s">
        <v>27</v>
      </c>
      <c r="V76" s="247" t="s">
        <v>338</v>
      </c>
      <c r="W76" s="258" t="s">
        <v>27</v>
      </c>
      <c r="X76" s="247" t="s">
        <v>338</v>
      </c>
      <c r="Y76" s="258" t="s">
        <v>27</v>
      </c>
      <c r="Z76" s="247" t="s">
        <v>338</v>
      </c>
      <c r="AA76" s="258" t="s">
        <v>27</v>
      </c>
      <c r="AB76" s="173" t="s">
        <v>27</v>
      </c>
    </row>
    <row r="77" spans="1:31" ht="14.5" customHeight="1" x14ac:dyDescent="0.3">
      <c r="A77" s="255"/>
      <c r="B77" s="248" t="s">
        <v>29</v>
      </c>
      <c r="C77" s="248" t="s">
        <v>57</v>
      </c>
      <c r="D77" s="249">
        <v>1</v>
      </c>
      <c r="E77" s="180">
        <v>2</v>
      </c>
      <c r="F77" s="249">
        <v>3</v>
      </c>
      <c r="G77" s="180">
        <v>4</v>
      </c>
      <c r="H77" s="249">
        <v>5</v>
      </c>
      <c r="I77" s="180">
        <v>6</v>
      </c>
      <c r="J77" s="249">
        <v>7</v>
      </c>
      <c r="K77" s="180">
        <v>8</v>
      </c>
      <c r="L77" s="249">
        <v>9</v>
      </c>
      <c r="M77" s="180">
        <v>10</v>
      </c>
      <c r="N77" s="249">
        <v>11</v>
      </c>
      <c r="O77" s="180">
        <v>12</v>
      </c>
      <c r="P77" s="249">
        <v>13</v>
      </c>
      <c r="Q77" s="180">
        <v>14</v>
      </c>
      <c r="R77" s="249">
        <v>15</v>
      </c>
      <c r="S77" s="180">
        <v>16</v>
      </c>
      <c r="T77" s="213">
        <v>17</v>
      </c>
      <c r="U77" s="213">
        <v>18</v>
      </c>
      <c r="V77" s="213">
        <v>19</v>
      </c>
      <c r="W77" s="213">
        <v>20</v>
      </c>
      <c r="X77" s="213">
        <v>21</v>
      </c>
      <c r="Y77" s="213">
        <v>22</v>
      </c>
      <c r="Z77" s="213">
        <v>23</v>
      </c>
      <c r="AA77" s="213">
        <v>24</v>
      </c>
      <c r="AB77" s="250">
        <v>25</v>
      </c>
    </row>
    <row r="78" spans="1:31" ht="30.65" customHeight="1" x14ac:dyDescent="0.3">
      <c r="A78" s="1181" t="s">
        <v>389</v>
      </c>
      <c r="B78" s="1180" t="s">
        <v>66</v>
      </c>
      <c r="C78" s="251" t="s">
        <v>67</v>
      </c>
      <c r="D78" s="252"/>
      <c r="E78" s="253"/>
      <c r="F78" s="252">
        <v>56</v>
      </c>
      <c r="G78" s="253">
        <v>3773.28</v>
      </c>
      <c r="H78" s="252">
        <v>49</v>
      </c>
      <c r="I78" s="253">
        <v>3301.62</v>
      </c>
      <c r="J78" s="252">
        <v>30</v>
      </c>
      <c r="K78" s="253">
        <v>2021.4</v>
      </c>
      <c r="L78" s="252"/>
      <c r="M78" s="253"/>
      <c r="N78" s="252">
        <v>44</v>
      </c>
      <c r="O78" s="253">
        <v>2964.72</v>
      </c>
      <c r="P78" s="252">
        <v>60</v>
      </c>
      <c r="Q78" s="253">
        <v>4883.3999999999996</v>
      </c>
      <c r="R78" s="252"/>
      <c r="S78" s="253"/>
      <c r="T78" s="252"/>
      <c r="U78" s="253"/>
      <c r="V78" s="252"/>
      <c r="W78" s="253"/>
      <c r="X78" s="252">
        <v>8</v>
      </c>
      <c r="Y78" s="253">
        <v>539.04</v>
      </c>
      <c r="Z78" s="252">
        <v>31</v>
      </c>
      <c r="AA78" s="253">
        <v>2088.7800000000002</v>
      </c>
      <c r="AB78" s="186">
        <f t="shared" ref="AB78:AB80" si="28">I78+K78+M78+O78+Q78+S78+U78+W78+Y78+AA78+G78+E78</f>
        <v>19572.240000000002</v>
      </c>
    </row>
    <row r="79" spans="1:31" ht="30.65" customHeight="1" x14ac:dyDescent="0.3">
      <c r="A79" s="1181"/>
      <c r="B79" s="1180"/>
      <c r="C79" s="251" t="s">
        <v>68</v>
      </c>
      <c r="D79" s="252"/>
      <c r="E79" s="253"/>
      <c r="F79" s="252"/>
      <c r="G79" s="253"/>
      <c r="H79" s="252">
        <v>19</v>
      </c>
      <c r="I79" s="253">
        <v>583.49</v>
      </c>
      <c r="J79" s="252"/>
      <c r="K79" s="253"/>
      <c r="L79" s="252"/>
      <c r="M79" s="253"/>
      <c r="N79" s="252"/>
      <c r="O79" s="253"/>
      <c r="P79" s="252"/>
      <c r="Q79" s="253"/>
      <c r="R79" s="252"/>
      <c r="S79" s="253"/>
      <c r="T79" s="252"/>
      <c r="U79" s="253"/>
      <c r="V79" s="252"/>
      <c r="W79" s="253"/>
      <c r="X79" s="252"/>
      <c r="Y79" s="253"/>
      <c r="Z79" s="252"/>
      <c r="AA79" s="253"/>
      <c r="AB79" s="186">
        <f t="shared" si="28"/>
        <v>583.49</v>
      </c>
    </row>
    <row r="80" spans="1:31" ht="58.4" customHeight="1" x14ac:dyDescent="0.3">
      <c r="A80" s="1181"/>
      <c r="B80" s="263" t="s">
        <v>194</v>
      </c>
      <c r="C80" s="251" t="s">
        <v>69</v>
      </c>
      <c r="D80" s="252"/>
      <c r="E80" s="253"/>
      <c r="F80" s="252"/>
      <c r="G80" s="253"/>
      <c r="H80" s="252">
        <v>37</v>
      </c>
      <c r="I80" s="253">
        <v>1379.73</v>
      </c>
      <c r="J80" s="252"/>
      <c r="K80" s="253"/>
      <c r="L80" s="252">
        <v>3</v>
      </c>
      <c r="M80" s="253">
        <v>111.87</v>
      </c>
      <c r="N80" s="252">
        <v>13</v>
      </c>
      <c r="O80" s="253">
        <v>484.77</v>
      </c>
      <c r="P80" s="252">
        <v>7</v>
      </c>
      <c r="Q80" s="253">
        <v>261.02999999999997</v>
      </c>
      <c r="R80" s="252"/>
      <c r="S80" s="253"/>
      <c r="T80" s="252"/>
      <c r="U80" s="253"/>
      <c r="V80" s="252"/>
      <c r="W80" s="253"/>
      <c r="X80" s="252"/>
      <c r="Y80" s="253"/>
      <c r="Z80" s="252">
        <v>34</v>
      </c>
      <c r="AA80" s="253">
        <v>1267.8599999999999</v>
      </c>
      <c r="AB80" s="186">
        <f t="shared" si="28"/>
        <v>3505.2599999999993</v>
      </c>
    </row>
    <row r="81" spans="1:31" s="15" customFormat="1" ht="14.5" customHeight="1" x14ac:dyDescent="0.3">
      <c r="A81" s="256"/>
      <c r="B81" s="1179" t="s">
        <v>36</v>
      </c>
      <c r="C81" s="1179"/>
      <c r="D81" s="70"/>
      <c r="E81" s="254">
        <f>E78+E79+E80</f>
        <v>0</v>
      </c>
      <c r="F81" s="254"/>
      <c r="G81" s="254">
        <f t="shared" ref="G81:AB81" si="29">G78+G79+G80</f>
        <v>3773.28</v>
      </c>
      <c r="H81" s="254"/>
      <c r="I81" s="254">
        <f t="shared" si="29"/>
        <v>5264.84</v>
      </c>
      <c r="J81" s="254"/>
      <c r="K81" s="254">
        <f t="shared" si="29"/>
        <v>2021.4</v>
      </c>
      <c r="L81" s="254"/>
      <c r="M81" s="254">
        <f t="shared" si="29"/>
        <v>111.87</v>
      </c>
      <c r="N81" s="254"/>
      <c r="O81" s="254">
        <f t="shared" si="29"/>
        <v>3449.49</v>
      </c>
      <c r="P81" s="254"/>
      <c r="Q81" s="254">
        <f t="shared" si="29"/>
        <v>5144.4299999999994</v>
      </c>
      <c r="R81" s="254"/>
      <c r="S81" s="254">
        <f t="shared" si="29"/>
        <v>0</v>
      </c>
      <c r="T81" s="254"/>
      <c r="U81" s="254">
        <f t="shared" si="29"/>
        <v>0</v>
      </c>
      <c r="V81" s="254"/>
      <c r="W81" s="254">
        <f t="shared" si="29"/>
        <v>0</v>
      </c>
      <c r="X81" s="254"/>
      <c r="Y81" s="254">
        <f t="shared" si="29"/>
        <v>539.04</v>
      </c>
      <c r="Z81" s="254"/>
      <c r="AA81" s="254">
        <f t="shared" si="29"/>
        <v>3356.6400000000003</v>
      </c>
      <c r="AB81" s="254">
        <f t="shared" si="29"/>
        <v>23660.99</v>
      </c>
      <c r="AD81" s="70"/>
      <c r="AE81" s="70"/>
    </row>
    <row r="82" spans="1:31" ht="14.5" customHeight="1" x14ac:dyDescent="0.3">
      <c r="A82" s="256"/>
      <c r="R82" s="12"/>
      <c r="S82" s="12"/>
      <c r="T82" s="12"/>
      <c r="U82" s="12"/>
      <c r="V82" s="10"/>
      <c r="W82" s="10"/>
      <c r="X82" s="10"/>
      <c r="Y82" s="10"/>
      <c r="Z82" s="10"/>
      <c r="AA82" s="10"/>
      <c r="AB82" s="10"/>
      <c r="AC82" s="15"/>
    </row>
    <row r="83" spans="1:31" ht="14.5" customHeight="1" x14ac:dyDescent="0.3">
      <c r="A83" s="257"/>
      <c r="B83" s="1178" t="s">
        <v>12</v>
      </c>
      <c r="C83" s="1178"/>
      <c r="D83" s="1106" t="s">
        <v>140</v>
      </c>
      <c r="E83" s="1106"/>
      <c r="F83" s="1106" t="s">
        <v>140</v>
      </c>
      <c r="G83" s="1106"/>
      <c r="H83" s="1106" t="s">
        <v>140</v>
      </c>
      <c r="I83" s="1106"/>
      <c r="J83" s="1106" t="s">
        <v>140</v>
      </c>
      <c r="K83" s="1106"/>
      <c r="L83" s="1106" t="s">
        <v>140</v>
      </c>
      <c r="M83" s="1106"/>
      <c r="N83" s="1106" t="s">
        <v>140</v>
      </c>
      <c r="O83" s="1106"/>
      <c r="P83" s="1106" t="s">
        <v>140</v>
      </c>
      <c r="Q83" s="1106"/>
      <c r="R83" s="1106" t="s">
        <v>140</v>
      </c>
      <c r="S83" s="1106"/>
      <c r="T83" s="1106" t="s">
        <v>140</v>
      </c>
      <c r="U83" s="1106"/>
      <c r="V83" s="1106" t="s">
        <v>140</v>
      </c>
      <c r="W83" s="1106"/>
      <c r="X83" s="1106" t="s">
        <v>140</v>
      </c>
      <c r="Y83" s="1106"/>
      <c r="Z83" s="1106" t="s">
        <v>140</v>
      </c>
      <c r="AA83" s="1106"/>
      <c r="AB83" s="398" t="s">
        <v>140</v>
      </c>
      <c r="AC83" s="15"/>
    </row>
    <row r="84" spans="1:31" ht="56.5" customHeight="1" x14ac:dyDescent="0.3">
      <c r="A84" s="255"/>
      <c r="B84" s="1178" t="s">
        <v>13</v>
      </c>
      <c r="C84" s="1178"/>
      <c r="D84" s="1108" t="s">
        <v>87</v>
      </c>
      <c r="E84" s="1108"/>
      <c r="F84" s="1108" t="s">
        <v>88</v>
      </c>
      <c r="G84" s="1108"/>
      <c r="H84" s="1108" t="s">
        <v>14</v>
      </c>
      <c r="I84" s="1108"/>
      <c r="J84" s="1108" t="s">
        <v>15</v>
      </c>
      <c r="K84" s="1108"/>
      <c r="L84" s="1108" t="s">
        <v>16</v>
      </c>
      <c r="M84" s="1108"/>
      <c r="N84" s="1108" t="s">
        <v>17</v>
      </c>
      <c r="O84" s="1108"/>
      <c r="P84" s="1108" t="s">
        <v>18</v>
      </c>
      <c r="Q84" s="1108"/>
      <c r="R84" s="1108" t="s">
        <v>19</v>
      </c>
      <c r="S84" s="1108"/>
      <c r="T84" s="1108" t="s">
        <v>20</v>
      </c>
      <c r="U84" s="1108"/>
      <c r="V84" s="1108" t="s">
        <v>21</v>
      </c>
      <c r="W84" s="1108"/>
      <c r="X84" s="1108" t="s">
        <v>22</v>
      </c>
      <c r="Y84" s="1108"/>
      <c r="Z84" s="1108" t="s">
        <v>23</v>
      </c>
      <c r="AA84" s="1108"/>
      <c r="AB84" s="173" t="s">
        <v>36</v>
      </c>
      <c r="AC84" s="15"/>
    </row>
    <row r="85" spans="1:31" ht="17.5" customHeight="1" x14ac:dyDescent="0.3">
      <c r="A85" s="255"/>
      <c r="B85" s="1177" t="s">
        <v>32</v>
      </c>
      <c r="C85" s="1177"/>
      <c r="D85" s="264"/>
      <c r="E85" s="164" t="s">
        <v>24</v>
      </c>
      <c r="F85" s="264"/>
      <c r="G85" s="164" t="s">
        <v>24</v>
      </c>
      <c r="H85" s="264"/>
      <c r="I85" s="164" t="s">
        <v>24</v>
      </c>
      <c r="J85" s="264"/>
      <c r="K85" s="164" t="s">
        <v>24</v>
      </c>
      <c r="L85" s="264"/>
      <c r="M85" s="164" t="s">
        <v>24</v>
      </c>
      <c r="N85" s="264"/>
      <c r="O85" s="164" t="s">
        <v>24</v>
      </c>
      <c r="P85" s="264"/>
      <c r="Q85" s="164" t="s">
        <v>24</v>
      </c>
      <c r="R85" s="264"/>
      <c r="S85" s="164" t="s">
        <v>24</v>
      </c>
      <c r="T85" s="207"/>
      <c r="U85" s="206" t="s">
        <v>24</v>
      </c>
      <c r="V85" s="207"/>
      <c r="W85" s="206" t="s">
        <v>24</v>
      </c>
      <c r="X85" s="207"/>
      <c r="Y85" s="206" t="s">
        <v>24</v>
      </c>
      <c r="Z85" s="207"/>
      <c r="AA85" s="206" t="s">
        <v>24</v>
      </c>
      <c r="AB85" s="246" t="s">
        <v>24</v>
      </c>
      <c r="AC85" s="15"/>
    </row>
    <row r="86" spans="1:31" ht="65.5" customHeight="1" x14ac:dyDescent="0.3">
      <c r="A86" s="255"/>
      <c r="B86" s="247" t="s">
        <v>25</v>
      </c>
      <c r="C86" s="247" t="s">
        <v>55</v>
      </c>
      <c r="D86" s="247" t="s">
        <v>338</v>
      </c>
      <c r="E86" s="258" t="s">
        <v>27</v>
      </c>
      <c r="F86" s="247" t="s">
        <v>338</v>
      </c>
      <c r="G86" s="258" t="s">
        <v>27</v>
      </c>
      <c r="H86" s="247" t="s">
        <v>338</v>
      </c>
      <c r="I86" s="258" t="s">
        <v>27</v>
      </c>
      <c r="J86" s="247" t="s">
        <v>338</v>
      </c>
      <c r="K86" s="258" t="s">
        <v>27</v>
      </c>
      <c r="L86" s="247" t="s">
        <v>338</v>
      </c>
      <c r="M86" s="258" t="s">
        <v>27</v>
      </c>
      <c r="N86" s="247" t="s">
        <v>338</v>
      </c>
      <c r="O86" s="258" t="s">
        <v>27</v>
      </c>
      <c r="P86" s="247" t="s">
        <v>338</v>
      </c>
      <c r="Q86" s="258" t="s">
        <v>27</v>
      </c>
      <c r="R86" s="247" t="s">
        <v>338</v>
      </c>
      <c r="S86" s="258" t="s">
        <v>27</v>
      </c>
      <c r="T86" s="247" t="s">
        <v>338</v>
      </c>
      <c r="U86" s="258" t="s">
        <v>27</v>
      </c>
      <c r="V86" s="247" t="s">
        <v>338</v>
      </c>
      <c r="W86" s="397" t="s">
        <v>27</v>
      </c>
      <c r="X86" s="247" t="s">
        <v>338</v>
      </c>
      <c r="Y86" s="397" t="s">
        <v>27</v>
      </c>
      <c r="Z86" s="247" t="s">
        <v>338</v>
      </c>
      <c r="AA86" s="397" t="s">
        <v>27</v>
      </c>
      <c r="AB86" s="173" t="s">
        <v>28</v>
      </c>
      <c r="AC86" s="15"/>
    </row>
    <row r="87" spans="1:31" ht="14.5" customHeight="1" x14ac:dyDescent="0.3">
      <c r="A87" s="255"/>
      <c r="B87" s="248" t="s">
        <v>29</v>
      </c>
      <c r="C87" s="248" t="s">
        <v>57</v>
      </c>
      <c r="D87" s="249">
        <v>1</v>
      </c>
      <c r="E87" s="180">
        <v>2</v>
      </c>
      <c r="F87" s="249">
        <v>3</v>
      </c>
      <c r="G87" s="180">
        <v>4</v>
      </c>
      <c r="H87" s="249">
        <v>5</v>
      </c>
      <c r="I87" s="180">
        <v>6</v>
      </c>
      <c r="J87" s="249">
        <v>7</v>
      </c>
      <c r="K87" s="180">
        <v>8</v>
      </c>
      <c r="L87" s="249">
        <v>9</v>
      </c>
      <c r="M87" s="180">
        <v>10</v>
      </c>
      <c r="N87" s="249">
        <v>11</v>
      </c>
      <c r="O87" s="180">
        <v>12</v>
      </c>
      <c r="P87" s="249">
        <v>13</v>
      </c>
      <c r="Q87" s="180">
        <v>14</v>
      </c>
      <c r="R87" s="249">
        <v>15</v>
      </c>
      <c r="S87" s="180">
        <v>16</v>
      </c>
      <c r="T87" s="213">
        <v>17</v>
      </c>
      <c r="U87" s="213">
        <v>18</v>
      </c>
      <c r="V87" s="213">
        <v>19</v>
      </c>
      <c r="W87" s="213">
        <v>20</v>
      </c>
      <c r="X87" s="213">
        <v>21</v>
      </c>
      <c r="Y87" s="213">
        <v>22</v>
      </c>
      <c r="Z87" s="213">
        <v>23</v>
      </c>
      <c r="AA87" s="213">
        <v>24</v>
      </c>
      <c r="AB87" s="250">
        <v>25</v>
      </c>
      <c r="AC87" s="15"/>
    </row>
    <row r="88" spans="1:31" ht="30.65" customHeight="1" x14ac:dyDescent="0.3">
      <c r="A88" s="1181" t="s">
        <v>389</v>
      </c>
      <c r="B88" s="1180" t="s">
        <v>66</v>
      </c>
      <c r="C88" s="251" t="s">
        <v>67</v>
      </c>
      <c r="D88" s="252">
        <v>17</v>
      </c>
      <c r="E88" s="400">
        <v>1145.46</v>
      </c>
      <c r="F88" s="252"/>
      <c r="G88" s="252"/>
      <c r="H88" s="252"/>
      <c r="I88" s="252"/>
      <c r="J88" s="252"/>
      <c r="K88" s="252"/>
      <c r="L88" s="252"/>
      <c r="M88" s="252"/>
      <c r="N88" s="252"/>
      <c r="O88" s="252"/>
      <c r="P88" s="252"/>
      <c r="Q88" s="252"/>
      <c r="R88" s="252"/>
      <c r="S88" s="252"/>
      <c r="T88" s="252"/>
      <c r="U88" s="252"/>
      <c r="V88" s="252"/>
      <c r="W88" s="252"/>
      <c r="X88" s="252"/>
      <c r="Y88" s="252"/>
      <c r="Z88" s="252"/>
      <c r="AA88" s="252"/>
      <c r="AB88" s="186">
        <f t="shared" ref="AB88:AB90" si="30">I88+K88+M88+O88+Q88+S88+U88+W88+Y88+AA88+G88+E88</f>
        <v>1145.46</v>
      </c>
      <c r="AC88" s="15"/>
    </row>
    <row r="89" spans="1:31" ht="30.65" customHeight="1" x14ac:dyDescent="0.3">
      <c r="A89" s="1181"/>
      <c r="B89" s="1180"/>
      <c r="C89" s="251" t="s">
        <v>68</v>
      </c>
      <c r="D89" s="252"/>
      <c r="E89" s="252"/>
      <c r="F89" s="252"/>
      <c r="G89" s="252"/>
      <c r="H89" s="252"/>
      <c r="I89" s="252"/>
      <c r="J89" s="252"/>
      <c r="K89" s="252"/>
      <c r="L89" s="252"/>
      <c r="M89" s="252"/>
      <c r="N89" s="252"/>
      <c r="O89" s="252"/>
      <c r="P89" s="252"/>
      <c r="Q89" s="252"/>
      <c r="R89" s="252"/>
      <c r="S89" s="252"/>
      <c r="T89" s="252"/>
      <c r="U89" s="252"/>
      <c r="V89" s="252"/>
      <c r="W89" s="252"/>
      <c r="X89" s="252"/>
      <c r="Y89" s="252"/>
      <c r="Z89" s="252"/>
      <c r="AA89" s="252"/>
      <c r="AB89" s="186">
        <f t="shared" si="30"/>
        <v>0</v>
      </c>
      <c r="AC89" s="15"/>
    </row>
    <row r="90" spans="1:31" ht="46" customHeight="1" x14ac:dyDescent="0.3">
      <c r="A90" s="1181"/>
      <c r="B90" s="263" t="s">
        <v>194</v>
      </c>
      <c r="C90" s="251" t="s">
        <v>69</v>
      </c>
      <c r="D90" s="252"/>
      <c r="E90" s="252"/>
      <c r="F90" s="252"/>
      <c r="G90" s="252"/>
      <c r="H90" s="252">
        <v>20</v>
      </c>
      <c r="I90" s="400">
        <v>745.8</v>
      </c>
      <c r="J90" s="252"/>
      <c r="K90" s="252"/>
      <c r="L90" s="252">
        <v>20</v>
      </c>
      <c r="M90" s="400">
        <v>745.8</v>
      </c>
      <c r="N90" s="252"/>
      <c r="O90" s="252"/>
      <c r="P90" s="252"/>
      <c r="Q90" s="252"/>
      <c r="R90" s="252"/>
      <c r="S90" s="252"/>
      <c r="T90" s="252"/>
      <c r="U90" s="252"/>
      <c r="V90" s="252">
        <v>18</v>
      </c>
      <c r="W90" s="252">
        <v>671.22</v>
      </c>
      <c r="X90" s="252"/>
      <c r="Y90" s="252"/>
      <c r="Z90" s="252">
        <v>32</v>
      </c>
      <c r="AA90" s="252">
        <v>1193.28</v>
      </c>
      <c r="AB90" s="186">
        <f t="shared" si="30"/>
        <v>3356.0999999999995</v>
      </c>
      <c r="AC90" s="15"/>
    </row>
    <row r="91" spans="1:31" s="15" customFormat="1" ht="14.5" customHeight="1" x14ac:dyDescent="0.3">
      <c r="A91" s="256"/>
      <c r="B91" s="1179" t="s">
        <v>36</v>
      </c>
      <c r="C91" s="1179"/>
      <c r="D91" s="70"/>
      <c r="E91" s="254">
        <f>E88+E89+E90</f>
        <v>1145.46</v>
      </c>
      <c r="F91" s="254"/>
      <c r="G91" s="254">
        <f t="shared" ref="G91" si="31">G88+G89+G90</f>
        <v>0</v>
      </c>
      <c r="H91" s="254"/>
      <c r="I91" s="254">
        <f t="shared" ref="I91" si="32">I88+I89+I90</f>
        <v>745.8</v>
      </c>
      <c r="J91" s="254"/>
      <c r="K91" s="254">
        <f t="shared" ref="K91" si="33">K88+K89+K90</f>
        <v>0</v>
      </c>
      <c r="L91" s="254"/>
      <c r="M91" s="254">
        <f t="shared" ref="M91" si="34">M88+M89+M90</f>
        <v>745.8</v>
      </c>
      <c r="N91" s="254"/>
      <c r="O91" s="254">
        <f t="shared" ref="O91" si="35">O88+O89+O90</f>
        <v>0</v>
      </c>
      <c r="P91" s="254"/>
      <c r="Q91" s="254">
        <f t="shared" ref="Q91" si="36">Q88+Q89+Q90</f>
        <v>0</v>
      </c>
      <c r="R91" s="254"/>
      <c r="S91" s="254">
        <f t="shared" ref="S91" si="37">S88+S89+S90</f>
        <v>0</v>
      </c>
      <c r="T91" s="254"/>
      <c r="U91" s="254">
        <f t="shared" ref="U91" si="38">U88+U89+U90</f>
        <v>0</v>
      </c>
      <c r="V91" s="254"/>
      <c r="W91" s="254">
        <f t="shared" ref="W91" si="39">W88+W89+W90</f>
        <v>671.22</v>
      </c>
      <c r="X91" s="254"/>
      <c r="Y91" s="254">
        <f t="shared" ref="Y91" si="40">Y88+Y89+Y90</f>
        <v>0</v>
      </c>
      <c r="Z91" s="254"/>
      <c r="AA91" s="254">
        <f t="shared" ref="AA91" si="41">AA88+AA89+AA90</f>
        <v>1193.28</v>
      </c>
      <c r="AB91" s="254">
        <f t="shared" ref="AB91" si="42">AB88+AB89+AB90</f>
        <v>4501.5599999999995</v>
      </c>
      <c r="AD91" s="70"/>
      <c r="AE91" s="70"/>
    </row>
    <row r="92" spans="1:31" ht="14.5" customHeight="1" x14ac:dyDescent="0.3">
      <c r="A92" s="256"/>
      <c r="R92" s="12"/>
      <c r="S92" s="12"/>
      <c r="T92" s="12"/>
      <c r="U92" s="12"/>
      <c r="V92" s="10"/>
      <c r="W92" s="10"/>
      <c r="X92" s="10"/>
      <c r="Y92" s="10"/>
      <c r="Z92" s="10"/>
      <c r="AA92" s="10"/>
      <c r="AB92" s="10"/>
    </row>
    <row r="93" spans="1:31" ht="14.5" customHeight="1" x14ac:dyDescent="0.3">
      <c r="A93" s="257"/>
      <c r="B93" s="1178" t="s">
        <v>12</v>
      </c>
      <c r="C93" s="1178"/>
      <c r="D93" s="1106" t="s">
        <v>189</v>
      </c>
      <c r="E93" s="1106"/>
      <c r="F93" s="1106" t="s">
        <v>189</v>
      </c>
      <c r="G93" s="1106"/>
      <c r="H93" s="1106" t="s">
        <v>189</v>
      </c>
      <c r="I93" s="1106"/>
      <c r="J93" s="1106" t="s">
        <v>189</v>
      </c>
      <c r="K93" s="1106"/>
      <c r="L93" s="1106" t="s">
        <v>189</v>
      </c>
      <c r="M93" s="1106"/>
      <c r="N93" s="1122" t="s">
        <v>189</v>
      </c>
      <c r="O93" s="1122"/>
      <c r="P93" s="1122" t="s">
        <v>189</v>
      </c>
      <c r="Q93" s="1122"/>
      <c r="R93" s="1122" t="s">
        <v>189</v>
      </c>
      <c r="S93" s="1122"/>
      <c r="T93" s="1122" t="s">
        <v>189</v>
      </c>
      <c r="U93" s="1122"/>
      <c r="V93" s="1123" t="s">
        <v>189</v>
      </c>
      <c r="W93" s="1123"/>
      <c r="X93" s="1123" t="s">
        <v>189</v>
      </c>
      <c r="Y93" s="1123"/>
      <c r="Z93" s="1123" t="s">
        <v>189</v>
      </c>
      <c r="AA93" s="1123"/>
      <c r="AB93" s="506" t="s">
        <v>189</v>
      </c>
      <c r="AC93" s="506" t="s">
        <v>303</v>
      </c>
    </row>
    <row r="94" spans="1:31" ht="56.5" customHeight="1" x14ac:dyDescent="0.3">
      <c r="A94" s="255"/>
      <c r="B94" s="1178" t="s">
        <v>13</v>
      </c>
      <c r="C94" s="1178"/>
      <c r="D94" s="1108" t="s">
        <v>87</v>
      </c>
      <c r="E94" s="1108"/>
      <c r="F94" s="1108" t="s">
        <v>88</v>
      </c>
      <c r="G94" s="1108"/>
      <c r="H94" s="1108" t="s">
        <v>14</v>
      </c>
      <c r="I94" s="1108"/>
      <c r="J94" s="1108" t="s">
        <v>15</v>
      </c>
      <c r="K94" s="1108"/>
      <c r="L94" s="1108" t="s">
        <v>16</v>
      </c>
      <c r="M94" s="1108"/>
      <c r="N94" s="1108" t="s">
        <v>17</v>
      </c>
      <c r="O94" s="1108"/>
      <c r="P94" s="1108" t="s">
        <v>18</v>
      </c>
      <c r="Q94" s="1108"/>
      <c r="R94" s="1108" t="s">
        <v>19</v>
      </c>
      <c r="S94" s="1108"/>
      <c r="T94" s="1108" t="s">
        <v>20</v>
      </c>
      <c r="U94" s="1108"/>
      <c r="V94" s="1123" t="s">
        <v>21</v>
      </c>
      <c r="W94" s="1123"/>
      <c r="X94" s="1123" t="s">
        <v>22</v>
      </c>
      <c r="Y94" s="1123"/>
      <c r="Z94" s="1123" t="s">
        <v>23</v>
      </c>
      <c r="AA94" s="1123"/>
      <c r="AB94" s="506" t="s">
        <v>36</v>
      </c>
      <c r="AC94" s="506" t="s">
        <v>36</v>
      </c>
    </row>
    <row r="95" spans="1:31" ht="15" customHeight="1" x14ac:dyDescent="0.3">
      <c r="A95" s="255"/>
      <c r="B95" s="1177" t="s">
        <v>32</v>
      </c>
      <c r="C95" s="1177"/>
      <c r="D95" s="375"/>
      <c r="E95" s="164" t="s">
        <v>24</v>
      </c>
      <c r="F95" s="375"/>
      <c r="G95" s="164" t="s">
        <v>24</v>
      </c>
      <c r="H95" s="375"/>
      <c r="I95" s="164" t="s">
        <v>24</v>
      </c>
      <c r="J95" s="375"/>
      <c r="K95" s="164" t="s">
        <v>24</v>
      </c>
      <c r="L95" s="375"/>
      <c r="M95" s="164" t="s">
        <v>24</v>
      </c>
      <c r="N95" s="814"/>
      <c r="O95" s="164" t="s">
        <v>24</v>
      </c>
      <c r="P95" s="814"/>
      <c r="Q95" s="164" t="s">
        <v>24</v>
      </c>
      <c r="R95" s="814"/>
      <c r="S95" s="164" t="s">
        <v>24</v>
      </c>
      <c r="T95" s="814"/>
      <c r="U95" s="164" t="s">
        <v>24</v>
      </c>
      <c r="V95" s="509"/>
      <c r="W95" s="510" t="s">
        <v>24</v>
      </c>
      <c r="X95" s="509"/>
      <c r="Y95" s="510" t="s">
        <v>24</v>
      </c>
      <c r="Z95" s="509"/>
      <c r="AA95" s="510" t="s">
        <v>24</v>
      </c>
      <c r="AB95" s="509" t="s">
        <v>24</v>
      </c>
      <c r="AC95" s="509" t="s">
        <v>24</v>
      </c>
    </row>
    <row r="96" spans="1:31" ht="65.5" customHeight="1" x14ac:dyDescent="0.3">
      <c r="A96" s="255"/>
      <c r="B96" s="247" t="s">
        <v>25</v>
      </c>
      <c r="C96" s="247" t="s">
        <v>55</v>
      </c>
      <c r="D96" s="247" t="s">
        <v>338</v>
      </c>
      <c r="E96" s="369" t="s">
        <v>27</v>
      </c>
      <c r="F96" s="247" t="s">
        <v>338</v>
      </c>
      <c r="G96" s="369" t="s">
        <v>27</v>
      </c>
      <c r="H96" s="247" t="s">
        <v>338</v>
      </c>
      <c r="I96" s="369" t="s">
        <v>27</v>
      </c>
      <c r="J96" s="247" t="s">
        <v>338</v>
      </c>
      <c r="K96" s="369" t="s">
        <v>27</v>
      </c>
      <c r="L96" s="247" t="s">
        <v>338</v>
      </c>
      <c r="M96" s="369" t="s">
        <v>27</v>
      </c>
      <c r="N96" s="247" t="s">
        <v>338</v>
      </c>
      <c r="O96" s="813" t="s">
        <v>27</v>
      </c>
      <c r="P96" s="247" t="s">
        <v>338</v>
      </c>
      <c r="Q96" s="813" t="s">
        <v>27</v>
      </c>
      <c r="R96" s="247" t="s">
        <v>338</v>
      </c>
      <c r="S96" s="813" t="s">
        <v>27</v>
      </c>
      <c r="T96" s="247" t="s">
        <v>338</v>
      </c>
      <c r="U96" s="813" t="s">
        <v>27</v>
      </c>
      <c r="V96" s="513" t="s">
        <v>56</v>
      </c>
      <c r="W96" s="506" t="s">
        <v>28</v>
      </c>
      <c r="X96" s="709" t="s">
        <v>56</v>
      </c>
      <c r="Y96" s="506" t="s">
        <v>28</v>
      </c>
      <c r="Z96" s="709" t="s">
        <v>56</v>
      </c>
      <c r="AA96" s="506" t="s">
        <v>28</v>
      </c>
      <c r="AB96" s="506" t="s">
        <v>28</v>
      </c>
      <c r="AC96" s="506" t="s">
        <v>28</v>
      </c>
    </row>
    <row r="97" spans="1:31" ht="14.5" customHeight="1" x14ac:dyDescent="0.3">
      <c r="A97" s="255"/>
      <c r="B97" s="248" t="s">
        <v>29</v>
      </c>
      <c r="C97" s="248" t="s">
        <v>57</v>
      </c>
      <c r="D97" s="249">
        <v>1</v>
      </c>
      <c r="E97" s="180">
        <v>2</v>
      </c>
      <c r="F97" s="249">
        <v>3</v>
      </c>
      <c r="G97" s="180">
        <v>4</v>
      </c>
      <c r="H97" s="249">
        <v>5</v>
      </c>
      <c r="I97" s="180">
        <v>6</v>
      </c>
      <c r="J97" s="249">
        <v>7</v>
      </c>
      <c r="K97" s="180">
        <v>8</v>
      </c>
      <c r="L97" s="249">
        <v>9</v>
      </c>
      <c r="M97" s="180">
        <v>10</v>
      </c>
      <c r="N97" s="249">
        <v>11</v>
      </c>
      <c r="O97" s="180">
        <v>12</v>
      </c>
      <c r="P97" s="249">
        <v>13</v>
      </c>
      <c r="Q97" s="180">
        <v>14</v>
      </c>
      <c r="R97" s="249">
        <v>15</v>
      </c>
      <c r="S97" s="180">
        <v>16</v>
      </c>
      <c r="T97" s="249">
        <v>17</v>
      </c>
      <c r="U97" s="180">
        <v>18</v>
      </c>
      <c r="V97" s="516">
        <v>19</v>
      </c>
      <c r="W97" s="516">
        <v>20</v>
      </c>
      <c r="X97" s="516">
        <v>21</v>
      </c>
      <c r="Y97" s="516">
        <v>22</v>
      </c>
      <c r="Z97" s="516">
        <v>23</v>
      </c>
      <c r="AA97" s="516">
        <v>24</v>
      </c>
      <c r="AB97" s="627">
        <v>25</v>
      </c>
      <c r="AC97" s="627">
        <v>26</v>
      </c>
    </row>
    <row r="98" spans="1:31" ht="30.65" customHeight="1" x14ac:dyDescent="0.3">
      <c r="A98" s="1181" t="s">
        <v>389</v>
      </c>
      <c r="B98" s="1180" t="s">
        <v>66</v>
      </c>
      <c r="C98" s="251" t="s">
        <v>67</v>
      </c>
      <c r="D98" s="252">
        <v>0</v>
      </c>
      <c r="E98" s="252">
        <v>0</v>
      </c>
      <c r="F98" s="252">
        <v>0</v>
      </c>
      <c r="G98" s="252">
        <v>0</v>
      </c>
      <c r="H98" s="252">
        <v>0</v>
      </c>
      <c r="I98" s="252">
        <v>0</v>
      </c>
      <c r="J98" s="252">
        <v>0</v>
      </c>
      <c r="K98" s="252">
        <v>0</v>
      </c>
      <c r="L98" s="252">
        <v>0</v>
      </c>
      <c r="M98" s="252">
        <v>0</v>
      </c>
      <c r="N98" s="252">
        <v>0</v>
      </c>
      <c r="O98" s="252">
        <v>0</v>
      </c>
      <c r="P98" s="252">
        <v>18</v>
      </c>
      <c r="Q98" s="252">
        <v>1431</v>
      </c>
      <c r="R98" s="252">
        <v>118</v>
      </c>
      <c r="S98" s="252">
        <v>11198</v>
      </c>
      <c r="T98" s="252">
        <v>0</v>
      </c>
      <c r="U98" s="252">
        <v>0</v>
      </c>
      <c r="V98" s="628">
        <v>0</v>
      </c>
      <c r="W98" s="628">
        <v>0</v>
      </c>
      <c r="X98" s="628">
        <v>0</v>
      </c>
      <c r="Y98" s="628">
        <v>0</v>
      </c>
      <c r="Z98" s="628">
        <v>0</v>
      </c>
      <c r="AA98" s="628">
        <v>0</v>
      </c>
      <c r="AB98" s="629">
        <f>I98+K98+M98+O98+Q98+S98+U98+W98+Y98+AA98+G98+E98</f>
        <v>12629</v>
      </c>
      <c r="AC98" s="630">
        <f>AB98</f>
        <v>12629</v>
      </c>
    </row>
    <row r="99" spans="1:31" ht="30.65" customHeight="1" x14ac:dyDescent="0.3">
      <c r="A99" s="1181"/>
      <c r="B99" s="1180"/>
      <c r="C99" s="251" t="s">
        <v>68</v>
      </c>
      <c r="D99" s="252">
        <v>0</v>
      </c>
      <c r="E99" s="252">
        <v>0</v>
      </c>
      <c r="F99" s="252">
        <v>0</v>
      </c>
      <c r="G99" s="252">
        <v>0</v>
      </c>
      <c r="H99" s="252">
        <v>0</v>
      </c>
      <c r="I99" s="252">
        <v>0</v>
      </c>
      <c r="J99" s="252">
        <v>0</v>
      </c>
      <c r="K99" s="252">
        <v>0</v>
      </c>
      <c r="L99" s="252">
        <v>0</v>
      </c>
      <c r="M99" s="252">
        <v>0</v>
      </c>
      <c r="N99" s="252">
        <v>0</v>
      </c>
      <c r="O99" s="252">
        <v>0</v>
      </c>
      <c r="P99" s="252">
        <v>0</v>
      </c>
      <c r="Q99" s="252">
        <v>0</v>
      </c>
      <c r="R99" s="252">
        <v>0</v>
      </c>
      <c r="S99" s="252">
        <v>0</v>
      </c>
      <c r="T99" s="252">
        <v>0</v>
      </c>
      <c r="U99" s="252">
        <v>0</v>
      </c>
      <c r="V99" s="628">
        <v>0</v>
      </c>
      <c r="W99" s="628">
        <v>0</v>
      </c>
      <c r="X99" s="628">
        <v>0</v>
      </c>
      <c r="Y99" s="628">
        <v>0</v>
      </c>
      <c r="Z99" s="628">
        <v>0</v>
      </c>
      <c r="AA99" s="628">
        <v>0</v>
      </c>
      <c r="AB99" s="629">
        <f t="shared" ref="AB99:AB100" si="43">I99+K99+M99+O99+Q99+S99+U99+W99+Y99+AA99+G99+E99</f>
        <v>0</v>
      </c>
      <c r="AC99" s="630">
        <f t="shared" ref="AC99:AC100" si="44">AB99</f>
        <v>0</v>
      </c>
    </row>
    <row r="100" spans="1:31" ht="46" customHeight="1" x14ac:dyDescent="0.3">
      <c r="A100" s="1181"/>
      <c r="B100" s="374" t="s">
        <v>194</v>
      </c>
      <c r="C100" s="251" t="s">
        <v>69</v>
      </c>
      <c r="D100" s="252">
        <v>0</v>
      </c>
      <c r="E100" s="252">
        <v>0</v>
      </c>
      <c r="F100" s="252">
        <v>0</v>
      </c>
      <c r="G100" s="252">
        <v>0</v>
      </c>
      <c r="H100" s="252">
        <v>0</v>
      </c>
      <c r="I100" s="252">
        <v>0</v>
      </c>
      <c r="J100" s="252">
        <v>0</v>
      </c>
      <c r="K100" s="252">
        <v>0</v>
      </c>
      <c r="L100" s="252">
        <v>0</v>
      </c>
      <c r="M100" s="252">
        <v>0</v>
      </c>
      <c r="N100" s="252">
        <v>0</v>
      </c>
      <c r="O100" s="252">
        <v>0</v>
      </c>
      <c r="P100" s="252">
        <v>10</v>
      </c>
      <c r="Q100" s="252">
        <v>410</v>
      </c>
      <c r="R100" s="252">
        <v>0</v>
      </c>
      <c r="S100" s="252">
        <v>0</v>
      </c>
      <c r="T100" s="252">
        <v>0</v>
      </c>
      <c r="U100" s="252">
        <v>0</v>
      </c>
      <c r="V100" s="628">
        <v>0</v>
      </c>
      <c r="W100" s="628">
        <v>0</v>
      </c>
      <c r="X100" s="628">
        <v>0</v>
      </c>
      <c r="Y100" s="628">
        <v>0</v>
      </c>
      <c r="Z100" s="628">
        <v>0</v>
      </c>
      <c r="AA100" s="628">
        <v>0</v>
      </c>
      <c r="AB100" s="629">
        <f t="shared" si="43"/>
        <v>410</v>
      </c>
      <c r="AC100" s="630">
        <f t="shared" si="44"/>
        <v>410</v>
      </c>
    </row>
    <row r="101" spans="1:31" s="15" customFormat="1" ht="14.5" customHeight="1" x14ac:dyDescent="0.3">
      <c r="A101" s="256"/>
      <c r="B101" s="1179" t="s">
        <v>36</v>
      </c>
      <c r="C101" s="1179"/>
      <c r="D101" s="386"/>
      <c r="E101" s="254">
        <f>E98+E99+E100</f>
        <v>0</v>
      </c>
      <c r="F101" s="254"/>
      <c r="G101" s="254">
        <f t="shared" ref="G101" si="45">G98+G99+G100</f>
        <v>0</v>
      </c>
      <c r="H101" s="254"/>
      <c r="I101" s="254">
        <f t="shared" ref="I101" si="46">I98+I99+I100</f>
        <v>0</v>
      </c>
      <c r="J101" s="254"/>
      <c r="K101" s="254">
        <f t="shared" ref="K101" si="47">K98+K99+K100</f>
        <v>0</v>
      </c>
      <c r="L101" s="254"/>
      <c r="M101" s="254">
        <f t="shared" ref="M101" si="48">M98+M99+M100</f>
        <v>0</v>
      </c>
      <c r="N101" s="831"/>
      <c r="O101" s="831">
        <f t="shared" ref="O101" si="49">O98+O99+O100</f>
        <v>0</v>
      </c>
      <c r="P101" s="831"/>
      <c r="Q101" s="831">
        <f t="shared" ref="Q101" si="50">Q98+Q99+Q100</f>
        <v>1841</v>
      </c>
      <c r="R101" s="831"/>
      <c r="S101" s="831">
        <f t="shared" ref="S101" si="51">S98+S99+S100</f>
        <v>11198</v>
      </c>
      <c r="T101" s="831"/>
      <c r="U101" s="831">
        <f t="shared" ref="U101" si="52">U98+U99+U100</f>
        <v>0</v>
      </c>
      <c r="V101" s="631"/>
      <c r="W101" s="631">
        <f t="shared" ref="W101" si="53">W98+W99+W100</f>
        <v>0</v>
      </c>
      <c r="X101" s="631"/>
      <c r="Y101" s="631">
        <f t="shared" ref="Y101" si="54">Y98+Y99+Y100</f>
        <v>0</v>
      </c>
      <c r="Z101" s="631"/>
      <c r="AA101" s="631">
        <f t="shared" ref="AA101:AC101" si="55">AA98+AA99+AA100</f>
        <v>0</v>
      </c>
      <c r="AB101" s="631">
        <f t="shared" si="55"/>
        <v>13039</v>
      </c>
      <c r="AC101" s="530">
        <f t="shared" si="55"/>
        <v>13039</v>
      </c>
      <c r="AD101" s="70"/>
      <c r="AE101" s="70"/>
    </row>
    <row r="102" spans="1:31" ht="65.5" customHeight="1" x14ac:dyDescent="0.3">
      <c r="A102" s="70"/>
      <c r="B102" s="1197" t="s">
        <v>339</v>
      </c>
      <c r="C102" s="1197"/>
      <c r="D102" s="1197"/>
      <c r="E102" s="1197"/>
      <c r="F102" s="1197"/>
      <c r="G102" s="1197"/>
      <c r="H102" s="1197"/>
      <c r="I102" s="1197"/>
      <c r="J102" s="1197"/>
      <c r="K102" s="1197"/>
      <c r="L102" s="1197"/>
      <c r="M102" s="1197"/>
      <c r="N102" s="1197"/>
      <c r="O102" s="1197"/>
      <c r="P102" s="1197"/>
      <c r="Q102" s="1197"/>
      <c r="R102" s="1197"/>
      <c r="S102" s="1197"/>
      <c r="T102" s="1197"/>
      <c r="U102" s="1197"/>
      <c r="V102" s="1197"/>
      <c r="W102" s="1197"/>
      <c r="X102" s="1197"/>
      <c r="Y102" s="1197"/>
      <c r="Z102" s="1197"/>
      <c r="AA102" s="1197"/>
      <c r="AB102" s="1197"/>
      <c r="AC102" s="1197"/>
    </row>
  </sheetData>
  <mergeCells count="236">
    <mergeCell ref="A1:AC1"/>
    <mergeCell ref="A2:AC2"/>
    <mergeCell ref="A3:AC3"/>
    <mergeCell ref="B51:I51"/>
    <mergeCell ref="B52:F52"/>
    <mergeCell ref="B53:F53"/>
    <mergeCell ref="B54:F54"/>
    <mergeCell ref="B57:B58"/>
    <mergeCell ref="C57:C58"/>
    <mergeCell ref="X41:Y41"/>
    <mergeCell ref="Z41:AA41"/>
    <mergeCell ref="N42:O42"/>
    <mergeCell ref="V16:W16"/>
    <mergeCell ref="X16:Y16"/>
    <mergeCell ref="R16:S16"/>
    <mergeCell ref="X42:Y42"/>
    <mergeCell ref="Z42:AA42"/>
    <mergeCell ref="B29:C29"/>
    <mergeCell ref="B30:C30"/>
    <mergeCell ref="B31:C31"/>
    <mergeCell ref="B32:C32"/>
    <mergeCell ref="B33:C33"/>
    <mergeCell ref="B23:C23"/>
    <mergeCell ref="P42:Q42"/>
    <mergeCell ref="B102:AC102"/>
    <mergeCell ref="H94:I94"/>
    <mergeCell ref="F94:G94"/>
    <mergeCell ref="D94:E94"/>
    <mergeCell ref="B94:C94"/>
    <mergeCell ref="Z93:AA93"/>
    <mergeCell ref="X93:Y93"/>
    <mergeCell ref="V93:W93"/>
    <mergeCell ref="T93:U93"/>
    <mergeCell ref="R93:S93"/>
    <mergeCell ref="P93:Q93"/>
    <mergeCell ref="N93:O93"/>
    <mergeCell ref="L93:M93"/>
    <mergeCell ref="J93:K93"/>
    <mergeCell ref="H93:I93"/>
    <mergeCell ref="F93:G93"/>
    <mergeCell ref="D93:E93"/>
    <mergeCell ref="Z94:AA94"/>
    <mergeCell ref="X94:Y94"/>
    <mergeCell ref="V94:W94"/>
    <mergeCell ref="T94:U94"/>
    <mergeCell ref="R94:S94"/>
    <mergeCell ref="P94:Q94"/>
    <mergeCell ref="L94:M94"/>
    <mergeCell ref="J94:K94"/>
    <mergeCell ref="L25:M25"/>
    <mergeCell ref="N25:O25"/>
    <mergeCell ref="P25:Q25"/>
    <mergeCell ref="R25:S25"/>
    <mergeCell ref="V25:W25"/>
    <mergeCell ref="X25:Y25"/>
    <mergeCell ref="Z25:AA25"/>
    <mergeCell ref="J64:S64"/>
    <mergeCell ref="J65:S65"/>
    <mergeCell ref="J66:S66"/>
    <mergeCell ref="J67:S67"/>
    <mergeCell ref="J42:K42"/>
    <mergeCell ref="L42:M42"/>
    <mergeCell ref="J84:K84"/>
    <mergeCell ref="L84:M84"/>
    <mergeCell ref="T74:U74"/>
    <mergeCell ref="V73:W73"/>
    <mergeCell ref="V74:W74"/>
    <mergeCell ref="P83:Q83"/>
    <mergeCell ref="R83:S83"/>
    <mergeCell ref="T84:U84"/>
    <mergeCell ref="V84:W84"/>
    <mergeCell ref="X84:Y84"/>
    <mergeCell ref="B101:C101"/>
    <mergeCell ref="B91:C91"/>
    <mergeCell ref="D42:E42"/>
    <mergeCell ref="F42:G42"/>
    <mergeCell ref="B93:C93"/>
    <mergeCell ref="B68:D68"/>
    <mergeCell ref="B69:D69"/>
    <mergeCell ref="B70:D70"/>
    <mergeCell ref="H42:I42"/>
    <mergeCell ref="D84:E84"/>
    <mergeCell ref="F84:G84"/>
    <mergeCell ref="H84:I84"/>
    <mergeCell ref="B64:C64"/>
    <mergeCell ref="I64:I67"/>
    <mergeCell ref="B65:C65"/>
    <mergeCell ref="B66:C66"/>
    <mergeCell ref="B67:C67"/>
    <mergeCell ref="B74:C74"/>
    <mergeCell ref="D74:E74"/>
    <mergeCell ref="F74:G74"/>
    <mergeCell ref="A78:A80"/>
    <mergeCell ref="R74:S74"/>
    <mergeCell ref="B75:C75"/>
    <mergeCell ref="R73:S73"/>
    <mergeCell ref="H74:I74"/>
    <mergeCell ref="J74:K74"/>
    <mergeCell ref="L74:M74"/>
    <mergeCell ref="N74:O74"/>
    <mergeCell ref="P74:Q74"/>
    <mergeCell ref="L73:M73"/>
    <mergeCell ref="N73:O73"/>
    <mergeCell ref="P73:Q73"/>
    <mergeCell ref="B73:C73"/>
    <mergeCell ref="D73:E73"/>
    <mergeCell ref="F73:G73"/>
    <mergeCell ref="H73:I73"/>
    <mergeCell ref="J73:K73"/>
    <mergeCell ref="A98:A100"/>
    <mergeCell ref="B98:B99"/>
    <mergeCell ref="B95:C95"/>
    <mergeCell ref="T25:U25"/>
    <mergeCell ref="D26:E26"/>
    <mergeCell ref="F26:G26"/>
    <mergeCell ref="H26:I26"/>
    <mergeCell ref="J26:K26"/>
    <mergeCell ref="L26:M26"/>
    <mergeCell ref="N26:O26"/>
    <mergeCell ref="P26:Q26"/>
    <mergeCell ref="R26:S26"/>
    <mergeCell ref="T26:U26"/>
    <mergeCell ref="B25:C28"/>
    <mergeCell ref="D25:E25"/>
    <mergeCell ref="F25:G25"/>
    <mergeCell ref="H25:I25"/>
    <mergeCell ref="J25:K25"/>
    <mergeCell ref="N94:O94"/>
    <mergeCell ref="A88:A90"/>
    <mergeCell ref="B88:B89"/>
    <mergeCell ref="B84:C84"/>
    <mergeCell ref="N84:O84"/>
    <mergeCell ref="B49:C49"/>
    <mergeCell ref="Z84:AA84"/>
    <mergeCell ref="B85:C85"/>
    <mergeCell ref="P84:Q84"/>
    <mergeCell ref="R84:S84"/>
    <mergeCell ref="X74:Y74"/>
    <mergeCell ref="Z73:AA73"/>
    <mergeCell ref="Z74:AA74"/>
    <mergeCell ref="B83:C83"/>
    <mergeCell ref="D83:E83"/>
    <mergeCell ref="B81:C81"/>
    <mergeCell ref="X83:Y83"/>
    <mergeCell ref="Z83:AA83"/>
    <mergeCell ref="F83:G83"/>
    <mergeCell ref="H83:I83"/>
    <mergeCell ref="J83:K83"/>
    <mergeCell ref="L83:M83"/>
    <mergeCell ref="N83:O83"/>
    <mergeCell ref="B78:B79"/>
    <mergeCell ref="X73:Y73"/>
    <mergeCell ref="R42:S42"/>
    <mergeCell ref="T42:U42"/>
    <mergeCell ref="V42:W42"/>
    <mergeCell ref="T73:U73"/>
    <mergeCell ref="T83:U83"/>
    <mergeCell ref="V83:W83"/>
    <mergeCell ref="B41:C44"/>
    <mergeCell ref="D41:E41"/>
    <mergeCell ref="F41:G41"/>
    <mergeCell ref="H41:I41"/>
    <mergeCell ref="J41:K41"/>
    <mergeCell ref="L41:M41"/>
    <mergeCell ref="N41:O41"/>
    <mergeCell ref="P41:Q41"/>
    <mergeCell ref="R41:S41"/>
    <mergeCell ref="T41:U41"/>
    <mergeCell ref="V41:W41"/>
    <mergeCell ref="B45:C45"/>
    <mergeCell ref="B46:C46"/>
    <mergeCell ref="B47:C47"/>
    <mergeCell ref="B48:C48"/>
    <mergeCell ref="B50:AB50"/>
    <mergeCell ref="V26:W26"/>
    <mergeCell ref="X26:Y26"/>
    <mergeCell ref="Z26:AA26"/>
    <mergeCell ref="E35:O35"/>
    <mergeCell ref="R35:Z35"/>
    <mergeCell ref="V15:W15"/>
    <mergeCell ref="X15:Y15"/>
    <mergeCell ref="L6:M6"/>
    <mergeCell ref="Z6:AA6"/>
    <mergeCell ref="Z15:AA15"/>
    <mergeCell ref="Z16:AA16"/>
    <mergeCell ref="R15:S15"/>
    <mergeCell ref="T15:U15"/>
    <mergeCell ref="T16:U16"/>
    <mergeCell ref="B5:C8"/>
    <mergeCell ref="B9:C9"/>
    <mergeCell ref="B10:C10"/>
    <mergeCell ref="B11:C11"/>
    <mergeCell ref="B12:C12"/>
    <mergeCell ref="F6:G6"/>
    <mergeCell ref="H6:I6"/>
    <mergeCell ref="B13:C13"/>
    <mergeCell ref="B4:AB4"/>
    <mergeCell ref="N6:O6"/>
    <mergeCell ref="P6:Q6"/>
    <mergeCell ref="R6:S6"/>
    <mergeCell ref="T6:U6"/>
    <mergeCell ref="V6:W6"/>
    <mergeCell ref="X6:Y6"/>
    <mergeCell ref="R5:S5"/>
    <mergeCell ref="T5:U5"/>
    <mergeCell ref="V5:W5"/>
    <mergeCell ref="X5:Y5"/>
    <mergeCell ref="Z5:AA5"/>
    <mergeCell ref="D6:E6"/>
    <mergeCell ref="D5:E5"/>
    <mergeCell ref="F5:G5"/>
    <mergeCell ref="H5:I5"/>
    <mergeCell ref="J5:K5"/>
    <mergeCell ref="L5:M5"/>
    <mergeCell ref="N5:O5"/>
    <mergeCell ref="P5:Q5"/>
    <mergeCell ref="J6:K6"/>
    <mergeCell ref="B19:C19"/>
    <mergeCell ref="B20:C20"/>
    <mergeCell ref="B21:C21"/>
    <mergeCell ref="B22:C22"/>
    <mergeCell ref="D16:E16"/>
    <mergeCell ref="F16:G16"/>
    <mergeCell ref="F15:G15"/>
    <mergeCell ref="H15:I15"/>
    <mergeCell ref="J15:K15"/>
    <mergeCell ref="L15:M15"/>
    <mergeCell ref="N15:O15"/>
    <mergeCell ref="P15:Q15"/>
    <mergeCell ref="H16:I16"/>
    <mergeCell ref="J16:K16"/>
    <mergeCell ref="L16:M16"/>
    <mergeCell ref="N16:O16"/>
    <mergeCell ref="B15:C18"/>
    <mergeCell ref="D15:E15"/>
    <mergeCell ref="P16:Q16"/>
  </mergeCells>
  <pageMargins left="0.31496062992126" right="0.31496062992126" top="0.74803149606299202" bottom="0.74803149606299202" header="0.31496062992126" footer="0.31496062992126"/>
  <pageSetup paperSize="9" scale="42"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0AE61-AA98-4C43-A1A2-4404A6F20353}">
  <dimension ref="A1:AE61"/>
  <sheetViews>
    <sheetView topLeftCell="E1" zoomScale="70" zoomScaleNormal="70" workbookViewId="0">
      <pane ySplit="3" topLeftCell="A37" activePane="bottomLeft" state="frozen"/>
      <selection activeCell="T50" sqref="T50"/>
      <selection pane="bottomLeft" activeCell="A34" sqref="A34:A37"/>
    </sheetView>
  </sheetViews>
  <sheetFormatPr defaultColWidth="8.54296875" defaultRowHeight="14" x14ac:dyDescent="0.3"/>
  <cols>
    <col min="1" max="1" width="39.1796875" style="33" customWidth="1"/>
    <col min="2" max="2" width="11.453125" style="33" customWidth="1"/>
    <col min="3" max="3" width="7.1796875" style="33" customWidth="1"/>
    <col min="4" max="4" width="12" style="33" customWidth="1"/>
    <col min="5" max="5" width="7.1796875" style="33" customWidth="1"/>
    <col min="6" max="6" width="12" style="33" customWidth="1"/>
    <col min="7" max="7" width="7.1796875" style="33" customWidth="1"/>
    <col min="8" max="8" width="12" style="33" customWidth="1"/>
    <col min="9" max="9" width="7.1796875" style="33" customWidth="1"/>
    <col min="10" max="10" width="12" style="33" customWidth="1"/>
    <col min="11" max="11" width="7.1796875" style="33" customWidth="1"/>
    <col min="12" max="12" width="12" style="33" customWidth="1"/>
    <col min="13" max="13" width="7.1796875" style="33" customWidth="1"/>
    <col min="14" max="14" width="12" style="33" customWidth="1"/>
    <col min="15" max="15" width="7.1796875" style="33" customWidth="1"/>
    <col min="16" max="16" width="12" style="33" customWidth="1"/>
    <col min="17" max="17" width="7.1796875" style="33" customWidth="1"/>
    <col min="18" max="18" width="12" style="33" customWidth="1"/>
    <col min="19" max="19" width="7.1796875" style="33" customWidth="1"/>
    <col min="20" max="20" width="12" style="33" customWidth="1"/>
    <col min="21" max="21" width="7.1796875" style="33" customWidth="1"/>
    <col min="22" max="22" width="12" style="33" customWidth="1"/>
    <col min="23" max="23" width="7.1796875" style="33" customWidth="1"/>
    <col min="24" max="24" width="12" style="33" customWidth="1"/>
    <col min="25" max="25" width="7.1796875" style="70" customWidth="1"/>
    <col min="26" max="27" width="12" style="33" customWidth="1"/>
    <col min="28" max="28" width="11.453125" style="33" hidden="1" customWidth="1"/>
    <col min="29" max="16384" width="8.54296875" style="33"/>
  </cols>
  <sheetData>
    <row r="1" spans="1:30" s="28" customFormat="1" ht="18" x14ac:dyDescent="0.35">
      <c r="A1" s="1096" t="s">
        <v>133</v>
      </c>
      <c r="B1" s="1096"/>
      <c r="C1" s="1096"/>
      <c r="D1" s="1096"/>
      <c r="E1" s="1096"/>
      <c r="F1" s="1096"/>
      <c r="G1" s="1096"/>
      <c r="H1" s="1096"/>
      <c r="I1" s="1096"/>
      <c r="J1" s="1096"/>
      <c r="K1" s="1096"/>
      <c r="L1" s="1096"/>
      <c r="M1" s="1096"/>
      <c r="N1" s="1096"/>
      <c r="O1" s="1096"/>
      <c r="P1" s="1096"/>
      <c r="Q1" s="1096"/>
      <c r="R1" s="1096"/>
      <c r="S1" s="1096"/>
      <c r="T1" s="1096"/>
      <c r="U1" s="1096"/>
      <c r="V1" s="1096"/>
      <c r="W1" s="1096"/>
      <c r="X1" s="1096"/>
      <c r="Y1" s="1096"/>
      <c r="Z1" s="1096"/>
      <c r="AA1" s="1096"/>
    </row>
    <row r="2" spans="1:30" s="28" customFormat="1" ht="18" x14ac:dyDescent="0.35">
      <c r="A2" s="1096" t="s">
        <v>243</v>
      </c>
      <c r="B2" s="1096"/>
      <c r="C2" s="1096"/>
      <c r="D2" s="1096"/>
      <c r="E2" s="1096"/>
      <c r="F2" s="1096"/>
      <c r="G2" s="1096"/>
      <c r="H2" s="1096"/>
      <c r="I2" s="1096"/>
      <c r="J2" s="1096"/>
      <c r="K2" s="1096"/>
      <c r="L2" s="1096"/>
      <c r="M2" s="1096"/>
      <c r="N2" s="1096"/>
      <c r="O2" s="1096"/>
      <c r="P2" s="1096"/>
      <c r="Q2" s="1096"/>
      <c r="R2" s="1096"/>
      <c r="S2" s="1096"/>
      <c r="T2" s="1096"/>
      <c r="U2" s="1096"/>
      <c r="V2" s="1096"/>
      <c r="W2" s="1096"/>
      <c r="X2" s="1096"/>
      <c r="Y2" s="1096"/>
      <c r="Z2" s="1096"/>
      <c r="AA2" s="1096"/>
    </row>
    <row r="3" spans="1:30" s="28" customFormat="1" ht="32.5" customHeight="1" x14ac:dyDescent="0.35">
      <c r="A3" s="1097" t="str">
        <f>Ietekme_LM_2026_!B156</f>
        <v>4.7. Ar ģimeni un bērna aprūpi saistīto valsts sociālo pabalstu nodrošināšana</v>
      </c>
      <c r="B3" s="1097"/>
      <c r="C3" s="1097"/>
      <c r="D3" s="1097"/>
      <c r="E3" s="1097"/>
      <c r="F3" s="1097"/>
      <c r="G3" s="1097"/>
      <c r="H3" s="1097"/>
      <c r="I3" s="1097"/>
      <c r="J3" s="1097"/>
      <c r="K3" s="1097"/>
      <c r="L3" s="1097"/>
      <c r="M3" s="1097"/>
      <c r="N3" s="1097"/>
      <c r="O3" s="1097"/>
      <c r="P3" s="1097"/>
      <c r="Q3" s="1097"/>
      <c r="R3" s="1097"/>
      <c r="S3" s="1097"/>
      <c r="T3" s="1097"/>
      <c r="U3" s="1097"/>
      <c r="V3" s="1097"/>
      <c r="W3" s="1097"/>
      <c r="X3" s="1097"/>
      <c r="Y3" s="1097"/>
      <c r="Z3" s="1097"/>
      <c r="AA3" s="1097"/>
    </row>
    <row r="4" spans="1:30" ht="17" thickBot="1" x14ac:dyDescent="0.4">
      <c r="A4" s="29" t="s">
        <v>175</v>
      </c>
      <c r="B4" s="30"/>
      <c r="C4" s="30"/>
      <c r="D4" s="30"/>
      <c r="E4" s="30"/>
      <c r="F4" s="30"/>
      <c r="G4" s="30"/>
      <c r="H4" s="30"/>
      <c r="I4" s="30"/>
      <c r="J4" s="30"/>
      <c r="K4" s="30"/>
      <c r="L4" s="30"/>
      <c r="M4" s="30"/>
      <c r="N4" s="30"/>
      <c r="O4" s="30"/>
      <c r="P4" s="30"/>
      <c r="Q4" s="32"/>
      <c r="R4" s="32"/>
      <c r="S4" s="32"/>
      <c r="T4" s="32"/>
      <c r="U4" s="32"/>
      <c r="V4" s="32"/>
      <c r="W4" s="32"/>
      <c r="X4" s="32"/>
      <c r="Y4" s="32"/>
      <c r="Z4" s="32"/>
      <c r="AA4" s="32"/>
    </row>
    <row r="5" spans="1:30" x14ac:dyDescent="0.3">
      <c r="A5" s="1016" t="s">
        <v>12</v>
      </c>
      <c r="B5" s="1017"/>
      <c r="C5" s="1009" t="s">
        <v>82</v>
      </c>
      <c r="D5" s="1010"/>
      <c r="E5" s="1009" t="s">
        <v>82</v>
      </c>
      <c r="F5" s="1010"/>
      <c r="G5" s="1009" t="s">
        <v>82</v>
      </c>
      <c r="H5" s="1010"/>
      <c r="I5" s="1009" t="s">
        <v>82</v>
      </c>
      <c r="J5" s="1010"/>
      <c r="K5" s="1009" t="s">
        <v>82</v>
      </c>
      <c r="L5" s="1010"/>
      <c r="M5" s="1009" t="s">
        <v>82</v>
      </c>
      <c r="N5" s="1010"/>
      <c r="O5" s="1009" t="s">
        <v>82</v>
      </c>
      <c r="P5" s="1010"/>
      <c r="Q5" s="1009" t="s">
        <v>82</v>
      </c>
      <c r="R5" s="1010"/>
      <c r="S5" s="1087" t="s">
        <v>82</v>
      </c>
      <c r="T5" s="1088"/>
      <c r="U5" s="1087" t="s">
        <v>82</v>
      </c>
      <c r="V5" s="1088"/>
      <c r="W5" s="1087" t="s">
        <v>82</v>
      </c>
      <c r="X5" s="1088"/>
      <c r="Y5" s="1087" t="s">
        <v>82</v>
      </c>
      <c r="Z5" s="1215"/>
      <c r="AA5" s="34" t="s">
        <v>82</v>
      </c>
    </row>
    <row r="6" spans="1:30" x14ac:dyDescent="0.3">
      <c r="A6" s="1014" t="s">
        <v>13</v>
      </c>
      <c r="B6" s="1015"/>
      <c r="C6" s="1003" t="s">
        <v>89</v>
      </c>
      <c r="D6" s="1004"/>
      <c r="E6" s="1003" t="s">
        <v>49</v>
      </c>
      <c r="F6" s="1004"/>
      <c r="G6" s="1003" t="s">
        <v>50</v>
      </c>
      <c r="H6" s="1004"/>
      <c r="I6" s="1005" t="s">
        <v>51</v>
      </c>
      <c r="J6" s="1006"/>
      <c r="K6" s="1003" t="s">
        <v>52</v>
      </c>
      <c r="L6" s="1004"/>
      <c r="M6" s="1003" t="s">
        <v>53</v>
      </c>
      <c r="N6" s="1004"/>
      <c r="O6" s="1003" t="s">
        <v>54</v>
      </c>
      <c r="P6" s="1004"/>
      <c r="Q6" s="1005" t="s">
        <v>81</v>
      </c>
      <c r="R6" s="1005"/>
      <c r="S6" s="1089" t="s">
        <v>90</v>
      </c>
      <c r="T6" s="1090"/>
      <c r="U6" s="1089" t="s">
        <v>91</v>
      </c>
      <c r="V6" s="1090"/>
      <c r="W6" s="1089" t="s">
        <v>92</v>
      </c>
      <c r="X6" s="1090"/>
      <c r="Y6" s="1089" t="s">
        <v>93</v>
      </c>
      <c r="Z6" s="1091"/>
      <c r="AA6" s="35" t="s">
        <v>36</v>
      </c>
    </row>
    <row r="7" spans="1:30" x14ac:dyDescent="0.3">
      <c r="A7" s="1007" t="s">
        <v>32</v>
      </c>
      <c r="B7" s="1008"/>
      <c r="C7" s="36"/>
      <c r="D7" s="37" t="s">
        <v>24</v>
      </c>
      <c r="E7" s="36"/>
      <c r="F7" s="37" t="s">
        <v>24</v>
      </c>
      <c r="G7" s="36"/>
      <c r="H7" s="37" t="s">
        <v>24</v>
      </c>
      <c r="I7" s="38"/>
      <c r="J7" s="38" t="s">
        <v>24</v>
      </c>
      <c r="K7" s="36"/>
      <c r="L7" s="37" t="s">
        <v>24</v>
      </c>
      <c r="M7" s="36"/>
      <c r="N7" s="37" t="s">
        <v>24</v>
      </c>
      <c r="O7" s="39"/>
      <c r="P7" s="37" t="s">
        <v>24</v>
      </c>
      <c r="Q7" s="38"/>
      <c r="R7" s="38" t="s">
        <v>24</v>
      </c>
      <c r="S7" s="40"/>
      <c r="T7" s="41" t="s">
        <v>24</v>
      </c>
      <c r="U7" s="40"/>
      <c r="V7" s="41" t="s">
        <v>24</v>
      </c>
      <c r="W7" s="40"/>
      <c r="X7" s="41" t="s">
        <v>24</v>
      </c>
      <c r="Y7" s="40"/>
      <c r="Z7" s="42" t="s">
        <v>24</v>
      </c>
      <c r="AA7" s="43" t="s">
        <v>24</v>
      </c>
    </row>
    <row r="8" spans="1:30" ht="52" x14ac:dyDescent="0.3">
      <c r="A8" s="44" t="s">
        <v>25</v>
      </c>
      <c r="B8" s="44" t="s">
        <v>55</v>
      </c>
      <c r="C8" s="45" t="s">
        <v>56</v>
      </c>
      <c r="D8" s="46" t="s">
        <v>27</v>
      </c>
      <c r="E8" s="45" t="s">
        <v>56</v>
      </c>
      <c r="F8" s="46" t="s">
        <v>27</v>
      </c>
      <c r="G8" s="45" t="s">
        <v>56</v>
      </c>
      <c r="H8" s="46" t="s">
        <v>27</v>
      </c>
      <c r="I8" s="45" t="s">
        <v>56</v>
      </c>
      <c r="J8" s="46" t="s">
        <v>27</v>
      </c>
      <c r="K8" s="45" t="s">
        <v>56</v>
      </c>
      <c r="L8" s="46" t="s">
        <v>27</v>
      </c>
      <c r="M8" s="45" t="s">
        <v>56</v>
      </c>
      <c r="N8" s="46" t="s">
        <v>27</v>
      </c>
      <c r="O8" s="45" t="s">
        <v>56</v>
      </c>
      <c r="P8" s="46" t="s">
        <v>27</v>
      </c>
      <c r="Q8" s="47" t="s">
        <v>56</v>
      </c>
      <c r="R8" s="48" t="s">
        <v>27</v>
      </c>
      <c r="S8" s="49" t="s">
        <v>56</v>
      </c>
      <c r="T8" s="48" t="s">
        <v>27</v>
      </c>
      <c r="U8" s="49" t="s">
        <v>56</v>
      </c>
      <c r="V8" s="48" t="s">
        <v>27</v>
      </c>
      <c r="W8" s="49" t="s">
        <v>56</v>
      </c>
      <c r="X8" s="48" t="s">
        <v>27</v>
      </c>
      <c r="Y8" s="49" t="s">
        <v>56</v>
      </c>
      <c r="Z8" s="48" t="s">
        <v>27</v>
      </c>
      <c r="AA8" s="76" t="s">
        <v>27</v>
      </c>
    </row>
    <row r="9" spans="1:30" s="87" customFormat="1" ht="10.5" x14ac:dyDescent="0.25">
      <c r="A9" s="77" t="s">
        <v>29</v>
      </c>
      <c r="B9" s="77" t="s">
        <v>57</v>
      </c>
      <c r="C9" s="78">
        <v>1</v>
      </c>
      <c r="D9" s="79">
        <v>2</v>
      </c>
      <c r="E9" s="78">
        <v>3</v>
      </c>
      <c r="F9" s="79">
        <v>4</v>
      </c>
      <c r="G9" s="80">
        <v>5</v>
      </c>
      <c r="H9" s="81">
        <v>6</v>
      </c>
      <c r="I9" s="78">
        <v>7</v>
      </c>
      <c r="J9" s="79">
        <v>8</v>
      </c>
      <c r="K9" s="78">
        <v>9</v>
      </c>
      <c r="L9" s="79">
        <v>10</v>
      </c>
      <c r="M9" s="78">
        <v>11</v>
      </c>
      <c r="N9" s="79">
        <v>12</v>
      </c>
      <c r="O9" s="80">
        <v>13</v>
      </c>
      <c r="P9" s="82">
        <v>14</v>
      </c>
      <c r="Q9" s="78">
        <v>15</v>
      </c>
      <c r="R9" s="79">
        <v>16</v>
      </c>
      <c r="S9" s="83">
        <v>17</v>
      </c>
      <c r="T9" s="84">
        <v>18</v>
      </c>
      <c r="U9" s="83">
        <v>19</v>
      </c>
      <c r="V9" s="84">
        <v>20</v>
      </c>
      <c r="W9" s="83">
        <v>21</v>
      </c>
      <c r="X9" s="84">
        <v>22</v>
      </c>
      <c r="Y9" s="83">
        <v>23</v>
      </c>
      <c r="Z9" s="85">
        <v>24</v>
      </c>
      <c r="AA9" s="86">
        <v>25</v>
      </c>
    </row>
    <row r="10" spans="1:30" ht="15.5" x14ac:dyDescent="0.3">
      <c r="A10" s="88" t="s">
        <v>212</v>
      </c>
      <c r="B10" s="89" t="s">
        <v>80</v>
      </c>
      <c r="C10" s="90">
        <v>16</v>
      </c>
      <c r="D10" s="75">
        <v>6738.72</v>
      </c>
      <c r="E10" s="90">
        <v>14</v>
      </c>
      <c r="F10" s="75">
        <v>5896.38</v>
      </c>
      <c r="G10" s="90">
        <v>9</v>
      </c>
      <c r="H10" s="75">
        <v>3790.53</v>
      </c>
      <c r="I10" s="90">
        <v>11</v>
      </c>
      <c r="J10" s="75">
        <v>4632.87</v>
      </c>
      <c r="K10" s="90">
        <v>13</v>
      </c>
      <c r="L10" s="75">
        <v>5475.21</v>
      </c>
      <c r="M10" s="90">
        <v>15</v>
      </c>
      <c r="N10" s="75">
        <v>6317.55</v>
      </c>
      <c r="O10" s="90">
        <v>14</v>
      </c>
      <c r="P10" s="75">
        <v>5896.38</v>
      </c>
      <c r="Q10" s="90">
        <v>13</v>
      </c>
      <c r="R10" s="75">
        <v>5475.21</v>
      </c>
      <c r="S10" s="91">
        <v>10</v>
      </c>
      <c r="T10" s="92">
        <v>4211.7</v>
      </c>
      <c r="U10" s="91">
        <v>20</v>
      </c>
      <c r="V10" s="92">
        <v>8423.4</v>
      </c>
      <c r="W10" s="91">
        <v>1</v>
      </c>
      <c r="X10" s="92">
        <v>421.17</v>
      </c>
      <c r="Y10" s="91">
        <v>6</v>
      </c>
      <c r="Z10" s="93">
        <v>2527.02</v>
      </c>
      <c r="AA10" s="94">
        <f t="shared" ref="AA10:AA13" si="0">F10+H10+J10+L10+N10+P10+R10+T10+V10+X10+Z10+D10</f>
        <v>59806.139999999992</v>
      </c>
      <c r="AD10" s="98"/>
    </row>
    <row r="11" spans="1:30" ht="15.5" x14ac:dyDescent="0.3">
      <c r="A11" s="88" t="s">
        <v>213</v>
      </c>
      <c r="B11" s="89" t="s">
        <v>80</v>
      </c>
      <c r="C11" s="90">
        <v>440</v>
      </c>
      <c r="D11" s="75">
        <v>58977.1700000001</v>
      </c>
      <c r="E11" s="90">
        <v>442</v>
      </c>
      <c r="F11" s="75">
        <v>60366.160000000105</v>
      </c>
      <c r="G11" s="90">
        <v>442</v>
      </c>
      <c r="H11" s="75">
        <v>62276.840000000098</v>
      </c>
      <c r="I11" s="90">
        <v>422</v>
      </c>
      <c r="J11" s="75">
        <v>52967.69</v>
      </c>
      <c r="K11" s="90">
        <v>354</v>
      </c>
      <c r="L11" s="75">
        <v>44654.41</v>
      </c>
      <c r="M11" s="90">
        <v>340</v>
      </c>
      <c r="N11" s="95">
        <v>46192.42</v>
      </c>
      <c r="O11" s="90">
        <v>345</v>
      </c>
      <c r="P11" s="96">
        <v>45946.31</v>
      </c>
      <c r="Q11" s="90">
        <v>349</v>
      </c>
      <c r="R11" s="97">
        <v>44223.710000000006</v>
      </c>
      <c r="S11" s="91">
        <v>345</v>
      </c>
      <c r="T11" s="92">
        <v>44695.71</v>
      </c>
      <c r="U11" s="91">
        <v>330</v>
      </c>
      <c r="V11" s="92">
        <v>41941.58</v>
      </c>
      <c r="W11" s="91">
        <v>326</v>
      </c>
      <c r="X11" s="92">
        <v>41426.199999999997</v>
      </c>
      <c r="Y11" s="91">
        <v>314</v>
      </c>
      <c r="Z11" s="93">
        <v>41756.93</v>
      </c>
      <c r="AA11" s="94">
        <f>F11+H11+J11+L11+N11+P11+R11+T11+V11+X11+Z11+D11</f>
        <v>585425.13000000035</v>
      </c>
      <c r="AB11" s="98"/>
      <c r="AC11" s="99"/>
      <c r="AD11" s="98"/>
    </row>
    <row r="12" spans="1:30" ht="15.5" x14ac:dyDescent="0.3">
      <c r="A12" s="88" t="s">
        <v>214</v>
      </c>
      <c r="B12" s="89" t="s">
        <v>80</v>
      </c>
      <c r="C12" s="90">
        <v>6266</v>
      </c>
      <c r="D12" s="75">
        <v>287442.84999999998</v>
      </c>
      <c r="E12" s="90">
        <v>6310</v>
      </c>
      <c r="F12" s="75">
        <v>302751.96999999997</v>
      </c>
      <c r="G12" s="90">
        <v>6285</v>
      </c>
      <c r="H12" s="75">
        <v>294062.08999999997</v>
      </c>
      <c r="I12" s="90">
        <v>5963</v>
      </c>
      <c r="J12" s="75">
        <v>277930.94</v>
      </c>
      <c r="K12" s="100">
        <v>5760</v>
      </c>
      <c r="L12" s="101">
        <v>265533.27</v>
      </c>
      <c r="M12" s="102">
        <v>5636</v>
      </c>
      <c r="N12" s="103">
        <v>257469.34</v>
      </c>
      <c r="O12" s="102">
        <v>5530</v>
      </c>
      <c r="P12" s="96">
        <v>256508.02</v>
      </c>
      <c r="Q12" s="104">
        <v>5504</v>
      </c>
      <c r="R12" s="97">
        <v>257059.06</v>
      </c>
      <c r="S12" s="91">
        <v>5502</v>
      </c>
      <c r="T12" s="92">
        <v>251141.28</v>
      </c>
      <c r="U12" s="91">
        <v>5319</v>
      </c>
      <c r="V12" s="92">
        <v>240407.27999999997</v>
      </c>
      <c r="W12" s="91">
        <v>5334</v>
      </c>
      <c r="X12" s="92">
        <v>245118.37</v>
      </c>
      <c r="Y12" s="91">
        <v>5321</v>
      </c>
      <c r="Z12" s="93">
        <v>236391.63</v>
      </c>
      <c r="AA12" s="94">
        <f t="shared" si="0"/>
        <v>3171816.1</v>
      </c>
      <c r="AB12" s="98"/>
      <c r="AC12" s="99"/>
      <c r="AD12" s="98"/>
    </row>
    <row r="13" spans="1:30" ht="16" thickBot="1" x14ac:dyDescent="0.35">
      <c r="A13" s="105" t="s">
        <v>215</v>
      </c>
      <c r="B13" s="106" t="s">
        <v>80</v>
      </c>
      <c r="C13" s="107">
        <v>2</v>
      </c>
      <c r="D13" s="108">
        <v>213.44</v>
      </c>
      <c r="E13" s="107">
        <v>2</v>
      </c>
      <c r="F13" s="108">
        <v>213.44</v>
      </c>
      <c r="G13" s="107">
        <v>2</v>
      </c>
      <c r="H13" s="108">
        <v>213.44</v>
      </c>
      <c r="I13" s="107">
        <v>2</v>
      </c>
      <c r="J13" s="108">
        <v>213.44</v>
      </c>
      <c r="K13" s="107">
        <v>2</v>
      </c>
      <c r="L13" s="108">
        <v>213.44</v>
      </c>
      <c r="M13" s="107">
        <v>2</v>
      </c>
      <c r="N13" s="108">
        <v>213.44</v>
      </c>
      <c r="O13" s="107">
        <v>2</v>
      </c>
      <c r="P13" s="109">
        <v>213.44</v>
      </c>
      <c r="Q13" s="107">
        <v>2</v>
      </c>
      <c r="R13" s="109">
        <v>213.44</v>
      </c>
      <c r="S13" s="110">
        <v>2</v>
      </c>
      <c r="T13" s="111">
        <v>213.44</v>
      </c>
      <c r="U13" s="110">
        <v>2</v>
      </c>
      <c r="V13" s="111">
        <v>213.44</v>
      </c>
      <c r="W13" s="110">
        <v>2</v>
      </c>
      <c r="X13" s="111">
        <v>213.44</v>
      </c>
      <c r="Y13" s="110">
        <v>2</v>
      </c>
      <c r="Z13" s="111">
        <v>213.44</v>
      </c>
      <c r="AA13" s="112">
        <f t="shared" si="0"/>
        <v>2561.2800000000002</v>
      </c>
      <c r="AD13" s="98"/>
    </row>
    <row r="14" spans="1:30" ht="14.5" thickBot="1" x14ac:dyDescent="0.35">
      <c r="A14" s="113" t="s">
        <v>36</v>
      </c>
      <c r="B14" s="114"/>
      <c r="C14" s="115"/>
      <c r="D14" s="116">
        <f>SUM(D10:D13)</f>
        <v>353372.18000000011</v>
      </c>
      <c r="E14" s="115"/>
      <c r="F14" s="116">
        <f>SUM(F10:F13)</f>
        <v>369227.95000000007</v>
      </c>
      <c r="G14" s="115"/>
      <c r="H14" s="116">
        <f>SUM(H10:H13)</f>
        <v>360342.90000000008</v>
      </c>
      <c r="I14" s="115"/>
      <c r="J14" s="116">
        <f>SUM(J10:J13)</f>
        <v>335744.94</v>
      </c>
      <c r="K14" s="115"/>
      <c r="L14" s="116">
        <f>SUM(L10:L13)</f>
        <v>315876.33</v>
      </c>
      <c r="M14" s="115"/>
      <c r="N14" s="116">
        <f>SUM(N10:N13)</f>
        <v>310192.75</v>
      </c>
      <c r="O14" s="115"/>
      <c r="P14" s="116">
        <f>SUM(P10:P13)</f>
        <v>308564.14999999997</v>
      </c>
      <c r="Q14" s="115"/>
      <c r="R14" s="116">
        <f>SUM(R10:R13)</f>
        <v>306971.42</v>
      </c>
      <c r="S14" s="117"/>
      <c r="T14" s="118">
        <f>SUM(T10:T13)</f>
        <v>300262.13</v>
      </c>
      <c r="U14" s="117"/>
      <c r="V14" s="118">
        <f>SUM(V10:V13)</f>
        <v>290985.69999999995</v>
      </c>
      <c r="W14" s="117"/>
      <c r="X14" s="118">
        <f>SUM(X10:X13)</f>
        <v>287179.18</v>
      </c>
      <c r="Y14" s="117"/>
      <c r="Z14" s="119">
        <f>SUM(Z10:Z13)</f>
        <v>280889.02</v>
      </c>
      <c r="AA14" s="120">
        <f>ROUND(SUM(AA10:AA13),0)</f>
        <v>3819609</v>
      </c>
      <c r="AD14" s="98"/>
    </row>
    <row r="15" spans="1:30" ht="16" customHeight="1" x14ac:dyDescent="0.3">
      <c r="A15" s="126"/>
      <c r="X15" s="98"/>
      <c r="Y15" s="129"/>
      <c r="Z15" s="98"/>
      <c r="AD15" s="98"/>
    </row>
    <row r="16" spans="1:30" ht="17" thickBot="1" x14ac:dyDescent="0.4">
      <c r="A16" s="29" t="s">
        <v>176</v>
      </c>
      <c r="B16" s="30"/>
      <c r="C16" s="32"/>
      <c r="D16" s="32"/>
      <c r="E16" s="32"/>
      <c r="F16" s="32"/>
      <c r="G16" s="32"/>
      <c r="H16" s="32"/>
      <c r="I16" s="32"/>
      <c r="J16" s="32"/>
      <c r="K16" s="32"/>
      <c r="L16" s="32"/>
      <c r="M16" s="32"/>
      <c r="N16" s="32"/>
      <c r="O16" s="32"/>
      <c r="P16" s="32"/>
      <c r="Q16" s="32"/>
      <c r="R16" s="32"/>
      <c r="S16" s="32"/>
      <c r="T16" s="32"/>
      <c r="U16" s="32"/>
      <c r="V16" s="32"/>
      <c r="W16" s="32"/>
      <c r="X16" s="32"/>
      <c r="Y16" s="32"/>
      <c r="Z16" s="32"/>
      <c r="AA16" s="32"/>
      <c r="AB16" s="32"/>
      <c r="AC16" s="32"/>
      <c r="AD16" s="98"/>
    </row>
    <row r="17" spans="1:31" x14ac:dyDescent="0.3">
      <c r="A17" s="1016" t="s">
        <v>12</v>
      </c>
      <c r="B17" s="1017"/>
      <c r="C17" s="1087" t="s">
        <v>140</v>
      </c>
      <c r="D17" s="1088"/>
      <c r="E17" s="1087" t="s">
        <v>140</v>
      </c>
      <c r="F17" s="1088"/>
      <c r="G17" s="1087" t="s">
        <v>140</v>
      </c>
      <c r="H17" s="1088"/>
      <c r="I17" s="1087" t="s">
        <v>140</v>
      </c>
      <c r="J17" s="1088"/>
      <c r="K17" s="1087" t="s">
        <v>140</v>
      </c>
      <c r="L17" s="1088"/>
      <c r="M17" s="1087" t="s">
        <v>140</v>
      </c>
      <c r="N17" s="1088"/>
      <c r="O17" s="1087" t="s">
        <v>140</v>
      </c>
      <c r="P17" s="1088"/>
      <c r="Q17" s="1087" t="s">
        <v>140</v>
      </c>
      <c r="R17" s="1088"/>
      <c r="S17" s="1087" t="s">
        <v>140</v>
      </c>
      <c r="T17" s="1088"/>
      <c r="U17" s="1087" t="s">
        <v>140</v>
      </c>
      <c r="V17" s="1088"/>
      <c r="W17" s="1087" t="s">
        <v>140</v>
      </c>
      <c r="X17" s="1088"/>
      <c r="Y17" s="1087" t="s">
        <v>140</v>
      </c>
      <c r="Z17" s="1088"/>
      <c r="AA17" s="34" t="s">
        <v>140</v>
      </c>
      <c r="AD17" s="98"/>
    </row>
    <row r="18" spans="1:31" x14ac:dyDescent="0.3">
      <c r="A18" s="1014" t="s">
        <v>13</v>
      </c>
      <c r="B18" s="1015"/>
      <c r="C18" s="1089" t="s">
        <v>89</v>
      </c>
      <c r="D18" s="1090"/>
      <c r="E18" s="1089" t="s">
        <v>49</v>
      </c>
      <c r="F18" s="1090"/>
      <c r="G18" s="1089" t="s">
        <v>50</v>
      </c>
      <c r="H18" s="1090"/>
      <c r="I18" s="1091" t="s">
        <v>51</v>
      </c>
      <c r="J18" s="1092"/>
      <c r="K18" s="1089" t="s">
        <v>52</v>
      </c>
      <c r="L18" s="1090"/>
      <c r="M18" s="1089" t="s">
        <v>53</v>
      </c>
      <c r="N18" s="1090"/>
      <c r="O18" s="1089" t="s">
        <v>54</v>
      </c>
      <c r="P18" s="1090"/>
      <c r="Q18" s="1091" t="s">
        <v>81</v>
      </c>
      <c r="R18" s="1091"/>
      <c r="S18" s="1089" t="s">
        <v>90</v>
      </c>
      <c r="T18" s="1090"/>
      <c r="U18" s="1089" t="s">
        <v>91</v>
      </c>
      <c r="V18" s="1090"/>
      <c r="W18" s="1089" t="s">
        <v>92</v>
      </c>
      <c r="X18" s="1090"/>
      <c r="Y18" s="1089" t="s">
        <v>93</v>
      </c>
      <c r="Z18" s="1091"/>
      <c r="AA18" s="35" t="s">
        <v>36</v>
      </c>
      <c r="AD18" s="98"/>
    </row>
    <row r="19" spans="1:31" x14ac:dyDescent="0.3">
      <c r="A19" s="1007" t="s">
        <v>32</v>
      </c>
      <c r="B19" s="1008"/>
      <c r="C19" s="121"/>
      <c r="D19" s="41" t="s">
        <v>24</v>
      </c>
      <c r="E19" s="121"/>
      <c r="F19" s="41" t="s">
        <v>24</v>
      </c>
      <c r="G19" s="121"/>
      <c r="H19" s="41" t="s">
        <v>24</v>
      </c>
      <c r="I19" s="42"/>
      <c r="J19" s="42" t="s">
        <v>24</v>
      </c>
      <c r="K19" s="121"/>
      <c r="L19" s="41" t="s">
        <v>24</v>
      </c>
      <c r="M19" s="121"/>
      <c r="N19" s="41" t="s">
        <v>24</v>
      </c>
      <c r="O19" s="40"/>
      <c r="P19" s="41" t="s">
        <v>24</v>
      </c>
      <c r="Q19" s="42"/>
      <c r="R19" s="42" t="s">
        <v>24</v>
      </c>
      <c r="S19" s="40"/>
      <c r="T19" s="41" t="s">
        <v>24</v>
      </c>
      <c r="U19" s="40"/>
      <c r="V19" s="41" t="s">
        <v>24</v>
      </c>
      <c r="W19" s="40"/>
      <c r="X19" s="41" t="s">
        <v>24</v>
      </c>
      <c r="Y19" s="40"/>
      <c r="Z19" s="42" t="s">
        <v>24</v>
      </c>
      <c r="AA19" s="43" t="s">
        <v>24</v>
      </c>
      <c r="AD19" s="98"/>
    </row>
    <row r="20" spans="1:31" ht="52" x14ac:dyDescent="0.3">
      <c r="A20" s="44" t="s">
        <v>25</v>
      </c>
      <c r="B20" s="44" t="s">
        <v>55</v>
      </c>
      <c r="C20" s="49" t="s">
        <v>56</v>
      </c>
      <c r="D20" s="46" t="s">
        <v>27</v>
      </c>
      <c r="E20" s="49" t="s">
        <v>56</v>
      </c>
      <c r="F20" s="46" t="s">
        <v>27</v>
      </c>
      <c r="G20" s="49" t="s">
        <v>56</v>
      </c>
      <c r="H20" s="46" t="s">
        <v>27</v>
      </c>
      <c r="I20" s="49" t="s">
        <v>56</v>
      </c>
      <c r="J20" s="46" t="s">
        <v>27</v>
      </c>
      <c r="K20" s="49" t="s">
        <v>56</v>
      </c>
      <c r="L20" s="46" t="s">
        <v>27</v>
      </c>
      <c r="M20" s="49" t="s">
        <v>56</v>
      </c>
      <c r="N20" s="46" t="s">
        <v>27</v>
      </c>
      <c r="O20" s="49" t="s">
        <v>56</v>
      </c>
      <c r="P20" s="46" t="s">
        <v>27</v>
      </c>
      <c r="Q20" s="128" t="s">
        <v>56</v>
      </c>
      <c r="R20" s="46" t="s">
        <v>27</v>
      </c>
      <c r="S20" s="49" t="s">
        <v>56</v>
      </c>
      <c r="T20" s="46" t="s">
        <v>27</v>
      </c>
      <c r="U20" s="49" t="s">
        <v>56</v>
      </c>
      <c r="V20" s="46" t="s">
        <v>27</v>
      </c>
      <c r="W20" s="49" t="s">
        <v>56</v>
      </c>
      <c r="X20" s="46" t="s">
        <v>27</v>
      </c>
      <c r="Y20" s="49" t="s">
        <v>56</v>
      </c>
      <c r="Z20" s="46" t="s">
        <v>27</v>
      </c>
      <c r="AA20" s="76" t="s">
        <v>27</v>
      </c>
      <c r="AD20" s="98"/>
    </row>
    <row r="21" spans="1:31" s="87" customFormat="1" x14ac:dyDescent="0.3">
      <c r="A21" s="77" t="s">
        <v>29</v>
      </c>
      <c r="B21" s="77" t="s">
        <v>57</v>
      </c>
      <c r="C21" s="83">
        <v>1</v>
      </c>
      <c r="D21" s="84">
        <v>2</v>
      </c>
      <c r="E21" s="83">
        <v>3</v>
      </c>
      <c r="F21" s="84">
        <v>4</v>
      </c>
      <c r="G21" s="122">
        <v>5</v>
      </c>
      <c r="H21" s="123">
        <v>6</v>
      </c>
      <c r="I21" s="83">
        <v>7</v>
      </c>
      <c r="J21" s="84">
        <v>8</v>
      </c>
      <c r="K21" s="83">
        <v>9</v>
      </c>
      <c r="L21" s="84">
        <v>10</v>
      </c>
      <c r="M21" s="83">
        <v>11</v>
      </c>
      <c r="N21" s="84">
        <v>12</v>
      </c>
      <c r="O21" s="122">
        <v>13</v>
      </c>
      <c r="P21" s="85">
        <v>14</v>
      </c>
      <c r="Q21" s="83">
        <v>15</v>
      </c>
      <c r="R21" s="84">
        <v>16</v>
      </c>
      <c r="S21" s="83">
        <v>17</v>
      </c>
      <c r="T21" s="84">
        <v>18</v>
      </c>
      <c r="U21" s="83">
        <v>19</v>
      </c>
      <c r="V21" s="84">
        <v>20</v>
      </c>
      <c r="W21" s="83">
        <v>21</v>
      </c>
      <c r="X21" s="84">
        <v>22</v>
      </c>
      <c r="Y21" s="83">
        <v>23</v>
      </c>
      <c r="Z21" s="85">
        <v>24</v>
      </c>
      <c r="AA21" s="86">
        <v>25</v>
      </c>
      <c r="AD21" s="98"/>
      <c r="AE21" s="33"/>
    </row>
    <row r="22" spans="1:31" x14ac:dyDescent="0.3">
      <c r="A22" s="88" t="s">
        <v>246</v>
      </c>
      <c r="B22" s="89" t="s">
        <v>80</v>
      </c>
      <c r="C22" s="124">
        <v>11</v>
      </c>
      <c r="D22" s="125">
        <v>4632.87</v>
      </c>
      <c r="E22" s="124">
        <v>11</v>
      </c>
      <c r="F22" s="125">
        <v>4632.87</v>
      </c>
      <c r="G22" s="124">
        <v>16</v>
      </c>
      <c r="H22" s="125">
        <v>6738.72</v>
      </c>
      <c r="I22" s="124">
        <v>9</v>
      </c>
      <c r="J22" s="125">
        <v>3790.53</v>
      </c>
      <c r="K22" s="124">
        <v>13</v>
      </c>
      <c r="L22" s="125">
        <v>5475.21</v>
      </c>
      <c r="M22" s="124">
        <v>9</v>
      </c>
      <c r="N22" s="125">
        <v>3790.53</v>
      </c>
      <c r="O22" s="124">
        <v>19</v>
      </c>
      <c r="P22" s="125">
        <v>8002.2300000000005</v>
      </c>
      <c r="Q22" s="124">
        <v>13</v>
      </c>
      <c r="R22" s="125">
        <v>5475.21</v>
      </c>
      <c r="S22" s="124">
        <v>17</v>
      </c>
      <c r="T22" s="125">
        <v>7159.8899999999994</v>
      </c>
      <c r="U22" s="124">
        <v>19</v>
      </c>
      <c r="V22" s="125">
        <v>8002.23</v>
      </c>
      <c r="W22" s="124">
        <v>10</v>
      </c>
      <c r="X22" s="125">
        <v>4211.7</v>
      </c>
      <c r="Y22" s="124">
        <v>5</v>
      </c>
      <c r="Z22" s="125">
        <v>2105.85</v>
      </c>
      <c r="AA22" s="94">
        <f>F22+H22+J22+L22+N22+P22+R22+T22+V22+X22+Z22+D22</f>
        <v>64017.84</v>
      </c>
      <c r="AB22" s="127"/>
      <c r="AD22" s="98"/>
    </row>
    <row r="23" spans="1:31" x14ac:dyDescent="0.3">
      <c r="A23" s="88" t="s">
        <v>247</v>
      </c>
      <c r="B23" s="89" t="s">
        <v>80</v>
      </c>
      <c r="C23" s="124">
        <v>304</v>
      </c>
      <c r="D23" s="125">
        <v>40387.800000000003</v>
      </c>
      <c r="E23" s="124">
        <v>297</v>
      </c>
      <c r="F23" s="125">
        <v>38332.479999999996</v>
      </c>
      <c r="G23" s="124">
        <v>288</v>
      </c>
      <c r="H23" s="125">
        <v>39618.880000000005</v>
      </c>
      <c r="I23" s="124">
        <v>290</v>
      </c>
      <c r="J23" s="125">
        <v>35175.81</v>
      </c>
      <c r="K23" s="124">
        <v>288</v>
      </c>
      <c r="L23" s="125">
        <v>39978.75</v>
      </c>
      <c r="M23" s="124">
        <v>285</v>
      </c>
      <c r="N23" s="125">
        <v>36069.11</v>
      </c>
      <c r="O23" s="124">
        <v>293</v>
      </c>
      <c r="P23" s="125">
        <v>39978.39</v>
      </c>
      <c r="Q23" s="124">
        <v>293</v>
      </c>
      <c r="R23" s="125">
        <v>38869.370000000003</v>
      </c>
      <c r="S23" s="124">
        <v>298</v>
      </c>
      <c r="T23" s="125">
        <v>39397.769999999997</v>
      </c>
      <c r="U23" s="124">
        <v>299</v>
      </c>
      <c r="V23" s="125">
        <v>40859.490000000005</v>
      </c>
      <c r="W23" s="124">
        <v>304</v>
      </c>
      <c r="X23" s="125">
        <v>42319.87</v>
      </c>
      <c r="Y23" s="124">
        <v>316</v>
      </c>
      <c r="Z23" s="125">
        <v>46194.92</v>
      </c>
      <c r="AA23" s="94">
        <f t="shared" ref="AA23:AA25" si="1">F23+H23+J23+L23+N23+P23+R23+T23+V23+X23+Z23+D23</f>
        <v>477182.63999999996</v>
      </c>
      <c r="AD23" s="98"/>
    </row>
    <row r="24" spans="1:31" x14ac:dyDescent="0.3">
      <c r="A24" s="88" t="s">
        <v>248</v>
      </c>
      <c r="B24" s="89" t="s">
        <v>80</v>
      </c>
      <c r="C24" s="124">
        <v>5351</v>
      </c>
      <c r="D24" s="125">
        <v>241564.42</v>
      </c>
      <c r="E24" s="124">
        <v>5347</v>
      </c>
      <c r="F24" s="125">
        <v>238600.46999999997</v>
      </c>
      <c r="G24" s="124">
        <v>5376</v>
      </c>
      <c r="H24" s="125">
        <v>223874.22000000102</v>
      </c>
      <c r="I24" s="124">
        <v>4976</v>
      </c>
      <c r="J24" s="125">
        <v>224798.29</v>
      </c>
      <c r="K24" s="124">
        <v>5000</v>
      </c>
      <c r="L24" s="125">
        <v>229781.41</v>
      </c>
      <c r="M24" s="124">
        <v>5022</v>
      </c>
      <c r="N24" s="125">
        <v>233434.02</v>
      </c>
      <c r="O24" s="124">
        <v>4965</v>
      </c>
      <c r="P24" s="125">
        <v>228176.05</v>
      </c>
      <c r="Q24" s="124">
        <v>5001</v>
      </c>
      <c r="R24" s="125">
        <v>227727.28</v>
      </c>
      <c r="S24" s="124">
        <v>5047</v>
      </c>
      <c r="T24" s="125">
        <v>229347.93</v>
      </c>
      <c r="U24" s="124">
        <v>4962</v>
      </c>
      <c r="V24" s="125">
        <v>228699.65999999997</v>
      </c>
      <c r="W24" s="124">
        <v>5060</v>
      </c>
      <c r="X24" s="125">
        <v>240425.36</v>
      </c>
      <c r="Y24" s="124">
        <v>5114</v>
      </c>
      <c r="Z24" s="125">
        <v>234985.37</v>
      </c>
      <c r="AA24" s="94">
        <f t="shared" si="1"/>
        <v>2781414.4800000009</v>
      </c>
      <c r="AB24" s="127"/>
      <c r="AD24" s="98"/>
    </row>
    <row r="25" spans="1:31" ht="14.5" thickBot="1" x14ac:dyDescent="0.35">
      <c r="A25" s="72" t="s">
        <v>249</v>
      </c>
      <c r="B25" s="73" t="s">
        <v>80</v>
      </c>
      <c r="C25" s="124">
        <v>2</v>
      </c>
      <c r="D25" s="125">
        <v>213.44</v>
      </c>
      <c r="E25" s="91">
        <f>C25</f>
        <v>2</v>
      </c>
      <c r="F25" s="125">
        <v>213.44</v>
      </c>
      <c r="G25" s="91">
        <f>E25</f>
        <v>2</v>
      </c>
      <c r="H25" s="125">
        <v>254.42</v>
      </c>
      <c r="I25" s="91">
        <v>1</v>
      </c>
      <c r="J25" s="125">
        <v>299.35000000000002</v>
      </c>
      <c r="K25" s="91">
        <v>1</v>
      </c>
      <c r="L25" s="125">
        <v>160</v>
      </c>
      <c r="M25" s="91">
        <v>1</v>
      </c>
      <c r="N25" s="125">
        <v>160</v>
      </c>
      <c r="O25" s="91">
        <v>1</v>
      </c>
      <c r="P25" s="125">
        <v>160</v>
      </c>
      <c r="Q25" s="91">
        <v>1</v>
      </c>
      <c r="R25" s="125">
        <v>160</v>
      </c>
      <c r="S25" s="91">
        <v>1</v>
      </c>
      <c r="T25" s="125">
        <v>160</v>
      </c>
      <c r="U25" s="91">
        <v>1</v>
      </c>
      <c r="V25" s="125">
        <v>160</v>
      </c>
      <c r="W25" s="91">
        <f>U25</f>
        <v>1</v>
      </c>
      <c r="X25" s="125">
        <v>160</v>
      </c>
      <c r="Y25" s="91">
        <f>W25</f>
        <v>1</v>
      </c>
      <c r="Z25" s="125">
        <v>160</v>
      </c>
      <c r="AA25" s="94">
        <f t="shared" si="1"/>
        <v>2260.65</v>
      </c>
      <c r="AD25" s="98"/>
    </row>
    <row r="26" spans="1:31" ht="14.5" thickBot="1" x14ac:dyDescent="0.35">
      <c r="A26" s="113" t="s">
        <v>36</v>
      </c>
      <c r="B26" s="114"/>
      <c r="C26" s="115"/>
      <c r="D26" s="116">
        <f>SUM(D22:D25)</f>
        <v>286798.53000000003</v>
      </c>
      <c r="E26" s="115"/>
      <c r="F26" s="116">
        <f>SUM(F22:F25)</f>
        <v>281779.25999999995</v>
      </c>
      <c r="G26" s="115"/>
      <c r="H26" s="116">
        <f>SUM(H22:H25)</f>
        <v>270486.24000000098</v>
      </c>
      <c r="I26" s="115"/>
      <c r="J26" s="116">
        <f>SUM(J22:J25)</f>
        <v>264063.98</v>
      </c>
      <c r="K26" s="115"/>
      <c r="L26" s="116">
        <f>SUM(L22:L25)</f>
        <v>275395.37</v>
      </c>
      <c r="M26" s="115"/>
      <c r="N26" s="116">
        <f>SUM(N22:N25)</f>
        <v>273453.65999999997</v>
      </c>
      <c r="O26" s="115"/>
      <c r="P26" s="116">
        <f>SUM(P22:P25)</f>
        <v>276316.67</v>
      </c>
      <c r="Q26" s="115"/>
      <c r="R26" s="116">
        <f>SUM(R22:R25)</f>
        <v>272231.86</v>
      </c>
      <c r="S26" s="117"/>
      <c r="T26" s="118">
        <f>SUM(T22:T25)</f>
        <v>276065.58999999997</v>
      </c>
      <c r="U26" s="117"/>
      <c r="V26" s="118">
        <f>SUM(V22:V25)</f>
        <v>277721.38</v>
      </c>
      <c r="W26" s="117"/>
      <c r="X26" s="118">
        <f>SUM(X22:X25)</f>
        <v>287116.93</v>
      </c>
      <c r="Y26" s="117"/>
      <c r="Z26" s="118">
        <f>SUM(Z22:Z25)</f>
        <v>283446.14</v>
      </c>
      <c r="AA26" s="423">
        <f>ROUND(SUM(AA22:AA25),0)</f>
        <v>3324876</v>
      </c>
      <c r="AD26" s="98"/>
    </row>
    <row r="27" spans="1:31" x14ac:dyDescent="0.3">
      <c r="AD27" s="98"/>
    </row>
    <row r="28" spans="1:31" ht="17" thickBot="1" x14ac:dyDescent="0.35">
      <c r="A28" s="29" t="s">
        <v>195</v>
      </c>
      <c r="B28" s="30"/>
      <c r="C28" s="371"/>
      <c r="D28" s="371"/>
      <c r="E28" s="371"/>
      <c r="F28" s="371"/>
      <c r="G28" s="371"/>
      <c r="H28" s="371"/>
      <c r="I28" s="371"/>
      <c r="J28" s="371"/>
      <c r="K28" s="371"/>
      <c r="L28" s="371"/>
      <c r="M28" s="371"/>
      <c r="N28" s="371"/>
      <c r="O28" s="371"/>
      <c r="P28" s="371"/>
      <c r="Q28" s="371"/>
      <c r="R28" s="371"/>
      <c r="S28" s="371"/>
      <c r="T28" s="371"/>
      <c r="U28" s="371"/>
      <c r="V28" s="371"/>
      <c r="W28" s="371"/>
      <c r="X28" s="371"/>
      <c r="Y28" s="371"/>
      <c r="Z28" s="371"/>
      <c r="AA28" s="371"/>
      <c r="AB28" s="371"/>
      <c r="AC28" s="371"/>
      <c r="AD28" s="98"/>
    </row>
    <row r="29" spans="1:31" x14ac:dyDescent="0.3">
      <c r="A29" s="1016" t="s">
        <v>12</v>
      </c>
      <c r="B29" s="1017"/>
      <c r="C29" s="1087" t="s">
        <v>189</v>
      </c>
      <c r="D29" s="1088"/>
      <c r="E29" s="1087" t="s">
        <v>189</v>
      </c>
      <c r="F29" s="1088"/>
      <c r="G29" s="1087" t="s">
        <v>189</v>
      </c>
      <c r="H29" s="1088"/>
      <c r="I29" s="1087" t="s">
        <v>189</v>
      </c>
      <c r="J29" s="1088"/>
      <c r="K29" s="1087" t="s">
        <v>189</v>
      </c>
      <c r="L29" s="1088"/>
      <c r="M29" s="1104" t="s">
        <v>189</v>
      </c>
      <c r="N29" s="1105"/>
      <c r="O29" s="1104" t="s">
        <v>189</v>
      </c>
      <c r="P29" s="1105"/>
      <c r="Q29" s="1104" t="s">
        <v>189</v>
      </c>
      <c r="R29" s="1105"/>
      <c r="S29" s="1104" t="s">
        <v>189</v>
      </c>
      <c r="T29" s="1105"/>
      <c r="U29" s="1054" t="s">
        <v>189</v>
      </c>
      <c r="V29" s="1055"/>
      <c r="W29" s="1054" t="s">
        <v>189</v>
      </c>
      <c r="X29" s="1055"/>
      <c r="Y29" s="1054" t="s">
        <v>189</v>
      </c>
      <c r="Z29" s="1055"/>
      <c r="AA29" s="451" t="s">
        <v>189</v>
      </c>
      <c r="AD29" s="98"/>
    </row>
    <row r="30" spans="1:31" x14ac:dyDescent="0.3">
      <c r="A30" s="1014" t="s">
        <v>13</v>
      </c>
      <c r="B30" s="1015"/>
      <c r="C30" s="1089" t="s">
        <v>89</v>
      </c>
      <c r="D30" s="1090"/>
      <c r="E30" s="1089" t="s">
        <v>49</v>
      </c>
      <c r="F30" s="1090"/>
      <c r="G30" s="1089" t="s">
        <v>50</v>
      </c>
      <c r="H30" s="1090"/>
      <c r="I30" s="1091" t="s">
        <v>51</v>
      </c>
      <c r="J30" s="1092"/>
      <c r="K30" s="1089" t="s">
        <v>52</v>
      </c>
      <c r="L30" s="1090"/>
      <c r="M30" s="1056" t="s">
        <v>53</v>
      </c>
      <c r="N30" s="1057"/>
      <c r="O30" s="1056" t="s">
        <v>54</v>
      </c>
      <c r="P30" s="1057"/>
      <c r="Q30" s="1058" t="s">
        <v>81</v>
      </c>
      <c r="R30" s="1058"/>
      <c r="S30" s="1056" t="s">
        <v>90</v>
      </c>
      <c r="T30" s="1057"/>
      <c r="U30" s="1062" t="s">
        <v>91</v>
      </c>
      <c r="V30" s="1063"/>
      <c r="W30" s="1062" t="s">
        <v>92</v>
      </c>
      <c r="X30" s="1063"/>
      <c r="Y30" s="1062" t="s">
        <v>93</v>
      </c>
      <c r="Z30" s="1060"/>
      <c r="AA30" s="452" t="s">
        <v>36</v>
      </c>
      <c r="AD30" s="98"/>
    </row>
    <row r="31" spans="1:31" x14ac:dyDescent="0.3">
      <c r="A31" s="1007" t="s">
        <v>32</v>
      </c>
      <c r="B31" s="1008"/>
      <c r="C31" s="121"/>
      <c r="D31" s="41" t="s">
        <v>24</v>
      </c>
      <c r="E31" s="121"/>
      <c r="F31" s="41" t="s">
        <v>24</v>
      </c>
      <c r="G31" s="121"/>
      <c r="H31" s="41" t="s">
        <v>24</v>
      </c>
      <c r="I31" s="42"/>
      <c r="J31" s="42" t="s">
        <v>24</v>
      </c>
      <c r="K31" s="121"/>
      <c r="L31" s="41" t="s">
        <v>24</v>
      </c>
      <c r="M31" s="786"/>
      <c r="N31" s="787" t="s">
        <v>24</v>
      </c>
      <c r="O31" s="794"/>
      <c r="P31" s="787" t="s">
        <v>24</v>
      </c>
      <c r="Q31" s="797"/>
      <c r="R31" s="797" t="s">
        <v>24</v>
      </c>
      <c r="S31" s="794"/>
      <c r="T31" s="787" t="s">
        <v>24</v>
      </c>
      <c r="U31" s="455"/>
      <c r="V31" s="454" t="s">
        <v>24</v>
      </c>
      <c r="W31" s="455"/>
      <c r="X31" s="454" t="s">
        <v>24</v>
      </c>
      <c r="Y31" s="455"/>
      <c r="Z31" s="456" t="s">
        <v>24</v>
      </c>
      <c r="AA31" s="457" t="s">
        <v>24</v>
      </c>
      <c r="AD31" s="98"/>
    </row>
    <row r="32" spans="1:31" ht="52" x14ac:dyDescent="0.3">
      <c r="A32" s="44" t="s">
        <v>25</v>
      </c>
      <c r="B32" s="44" t="s">
        <v>55</v>
      </c>
      <c r="C32" s="49" t="s">
        <v>56</v>
      </c>
      <c r="D32" s="46" t="s">
        <v>27</v>
      </c>
      <c r="E32" s="49" t="s">
        <v>56</v>
      </c>
      <c r="F32" s="46" t="s">
        <v>27</v>
      </c>
      <c r="G32" s="49" t="s">
        <v>56</v>
      </c>
      <c r="H32" s="46" t="s">
        <v>27</v>
      </c>
      <c r="I32" s="49" t="s">
        <v>56</v>
      </c>
      <c r="J32" s="46" t="s">
        <v>27</v>
      </c>
      <c r="K32" s="49" t="s">
        <v>56</v>
      </c>
      <c r="L32" s="46" t="s">
        <v>27</v>
      </c>
      <c r="M32" s="788" t="s">
        <v>56</v>
      </c>
      <c r="N32" s="46" t="s">
        <v>27</v>
      </c>
      <c r="O32" s="788" t="s">
        <v>56</v>
      </c>
      <c r="P32" s="46" t="s">
        <v>27</v>
      </c>
      <c r="Q32" s="798" t="s">
        <v>56</v>
      </c>
      <c r="R32" s="46" t="s">
        <v>27</v>
      </c>
      <c r="S32" s="788" t="s">
        <v>56</v>
      </c>
      <c r="T32" s="46" t="s">
        <v>27</v>
      </c>
      <c r="U32" s="458" t="s">
        <v>56</v>
      </c>
      <c r="V32" s="459" t="s">
        <v>28</v>
      </c>
      <c r="W32" s="458" t="s">
        <v>56</v>
      </c>
      <c r="X32" s="459" t="s">
        <v>28</v>
      </c>
      <c r="Y32" s="458" t="s">
        <v>56</v>
      </c>
      <c r="Z32" s="459" t="s">
        <v>28</v>
      </c>
      <c r="AA32" s="461" t="s">
        <v>28</v>
      </c>
      <c r="AD32" s="98"/>
    </row>
    <row r="33" spans="1:31" x14ac:dyDescent="0.3">
      <c r="A33" s="77" t="s">
        <v>29</v>
      </c>
      <c r="B33" s="77" t="s">
        <v>57</v>
      </c>
      <c r="C33" s="83">
        <v>1</v>
      </c>
      <c r="D33" s="84">
        <v>2</v>
      </c>
      <c r="E33" s="83">
        <v>3</v>
      </c>
      <c r="F33" s="84">
        <v>4</v>
      </c>
      <c r="G33" s="122">
        <v>5</v>
      </c>
      <c r="H33" s="123">
        <v>6</v>
      </c>
      <c r="I33" s="83">
        <v>7</v>
      </c>
      <c r="J33" s="84">
        <v>8</v>
      </c>
      <c r="K33" s="83">
        <v>9</v>
      </c>
      <c r="L33" s="84">
        <v>10</v>
      </c>
      <c r="M33" s="800">
        <v>11</v>
      </c>
      <c r="N33" s="801">
        <v>12</v>
      </c>
      <c r="O33" s="802">
        <v>13</v>
      </c>
      <c r="P33" s="803">
        <v>14</v>
      </c>
      <c r="Q33" s="800">
        <v>15</v>
      </c>
      <c r="R33" s="801">
        <v>16</v>
      </c>
      <c r="S33" s="800">
        <v>17</v>
      </c>
      <c r="T33" s="801">
        <v>18</v>
      </c>
      <c r="U33" s="476">
        <v>19</v>
      </c>
      <c r="V33" s="477">
        <v>20</v>
      </c>
      <c r="W33" s="476">
        <v>21</v>
      </c>
      <c r="X33" s="477">
        <v>22</v>
      </c>
      <c r="Y33" s="476">
        <v>23</v>
      </c>
      <c r="Z33" s="479">
        <v>24</v>
      </c>
      <c r="AA33" s="480">
        <v>25</v>
      </c>
      <c r="AD33" s="98"/>
    </row>
    <row r="34" spans="1:31" ht="15.5" x14ac:dyDescent="0.3">
      <c r="A34" s="88" t="s">
        <v>212</v>
      </c>
      <c r="B34" s="89" t="s">
        <v>80</v>
      </c>
      <c r="C34" s="124">
        <v>7</v>
      </c>
      <c r="D34" s="125">
        <v>2948.19</v>
      </c>
      <c r="E34" s="124">
        <v>9</v>
      </c>
      <c r="F34" s="125">
        <v>3790.53</v>
      </c>
      <c r="G34" s="124">
        <v>13</v>
      </c>
      <c r="H34" s="125">
        <v>5475.21</v>
      </c>
      <c r="I34" s="124">
        <v>8</v>
      </c>
      <c r="J34" s="125">
        <v>3369.36</v>
      </c>
      <c r="K34" s="124">
        <v>13</v>
      </c>
      <c r="L34" s="125">
        <v>5475.21</v>
      </c>
      <c r="M34" s="804">
        <v>6</v>
      </c>
      <c r="N34" s="793">
        <v>2527.02</v>
      </c>
      <c r="O34" s="804">
        <v>13</v>
      </c>
      <c r="P34" s="793">
        <v>5475.21</v>
      </c>
      <c r="Q34" s="804">
        <v>14</v>
      </c>
      <c r="R34" s="793">
        <v>5896.38</v>
      </c>
      <c r="S34" s="804">
        <v>12</v>
      </c>
      <c r="T34" s="793">
        <v>5054.04</v>
      </c>
      <c r="U34" s="481">
        <v>11</v>
      </c>
      <c r="V34" s="468">
        <f>U34*421.17</f>
        <v>4632.87</v>
      </c>
      <c r="W34" s="481">
        <f>U34</f>
        <v>11</v>
      </c>
      <c r="X34" s="468">
        <f>W34*421.17</f>
        <v>4632.87</v>
      </c>
      <c r="Y34" s="481">
        <f>W34</f>
        <v>11</v>
      </c>
      <c r="Z34" s="468">
        <f>Y34*421.17</f>
        <v>4632.87</v>
      </c>
      <c r="AA34" s="482">
        <f>ROUND(F34+H34+J34+L34+N34+P34+R34+T34+V34+X34+Z34+D34,)</f>
        <v>53910</v>
      </c>
      <c r="AD34" s="3"/>
    </row>
    <row r="35" spans="1:31" ht="15.5" x14ac:dyDescent="0.3">
      <c r="A35" s="440" t="s">
        <v>216</v>
      </c>
      <c r="B35" s="441" t="s">
        <v>80</v>
      </c>
      <c r="C35" s="442">
        <v>324</v>
      </c>
      <c r="D35" s="125">
        <v>44948.14</v>
      </c>
      <c r="E35" s="442">
        <v>327</v>
      </c>
      <c r="F35" s="125">
        <v>44241.509999999995</v>
      </c>
      <c r="G35" s="442">
        <v>323</v>
      </c>
      <c r="H35" s="125">
        <v>46739.1</v>
      </c>
      <c r="I35" s="442">
        <v>337</v>
      </c>
      <c r="J35" s="125">
        <v>45009.81</v>
      </c>
      <c r="K35" s="442">
        <v>330</v>
      </c>
      <c r="L35" s="125">
        <v>43479.74</v>
      </c>
      <c r="M35" s="804">
        <v>328</v>
      </c>
      <c r="N35" s="793">
        <v>47446.04</v>
      </c>
      <c r="O35" s="804">
        <v>331</v>
      </c>
      <c r="P35" s="793">
        <v>45015.19</v>
      </c>
      <c r="Q35" s="804">
        <v>330</v>
      </c>
      <c r="R35" s="793">
        <v>45928.87</v>
      </c>
      <c r="S35" s="804">
        <v>327</v>
      </c>
      <c r="T35" s="793">
        <v>44900.66</v>
      </c>
      <c r="U35" s="483">
        <f>ROUND(S35*1.01,0)</f>
        <v>330</v>
      </c>
      <c r="V35" s="468">
        <f>U35*138.6</f>
        <v>45738</v>
      </c>
      <c r="W35" s="483">
        <f>ROUND(U35*1.01,0)</f>
        <v>333</v>
      </c>
      <c r="X35" s="468">
        <f>W35*138.6</f>
        <v>46153.799999999996</v>
      </c>
      <c r="Y35" s="483">
        <f>ROUND(W35*1.01,0)</f>
        <v>336</v>
      </c>
      <c r="Z35" s="468">
        <f>Y35*138.6</f>
        <v>46569.599999999999</v>
      </c>
      <c r="AA35" s="482">
        <f t="shared" ref="AA35" si="2">ROUND(F35+H35+J35+L35+N35+P35+R35+T35+V35+X35+Z35+D35,)</f>
        <v>546170</v>
      </c>
      <c r="AB35" s="98">
        <f>Y35+W35+U35+S35+Q35+O35+M35+K35+G35+E35+C35+I35</f>
        <v>3956</v>
      </c>
      <c r="AD35" s="98"/>
    </row>
    <row r="36" spans="1:31" ht="15.5" x14ac:dyDescent="0.3">
      <c r="A36" s="88" t="s">
        <v>217</v>
      </c>
      <c r="B36" s="89" t="s">
        <v>80</v>
      </c>
      <c r="C36" s="124">
        <v>5195</v>
      </c>
      <c r="D36" s="125">
        <v>244783.57</v>
      </c>
      <c r="E36" s="124">
        <v>5263</v>
      </c>
      <c r="F36" s="125">
        <v>261031.81</v>
      </c>
      <c r="G36" s="124">
        <v>5314</v>
      </c>
      <c r="H36" s="125">
        <v>243563.07</v>
      </c>
      <c r="I36" s="124">
        <v>5218</v>
      </c>
      <c r="J36" s="125">
        <v>252890.53</v>
      </c>
      <c r="K36" s="124">
        <v>5196</v>
      </c>
      <c r="L36" s="125">
        <v>249229.75</v>
      </c>
      <c r="M36" s="804">
        <v>5187</v>
      </c>
      <c r="N36" s="793">
        <v>255471.09000000003</v>
      </c>
      <c r="O36" s="804">
        <v>5066</v>
      </c>
      <c r="P36" s="793">
        <v>246790.52999999997</v>
      </c>
      <c r="Q36" s="804">
        <v>5084</v>
      </c>
      <c r="R36" s="793">
        <v>247323.8</v>
      </c>
      <c r="S36" s="804">
        <v>5137</v>
      </c>
      <c r="T36" s="793">
        <v>258181.63999999998</v>
      </c>
      <c r="U36" s="481">
        <f>ROUND(S36*1.002,0)</f>
        <v>5147</v>
      </c>
      <c r="V36" s="468">
        <f>U36*47.95</f>
        <v>246798.65000000002</v>
      </c>
      <c r="W36" s="481">
        <f>ROUND(U36*1.002,0)</f>
        <v>5157</v>
      </c>
      <c r="X36" s="468">
        <f>W36*47.95</f>
        <v>247278.15000000002</v>
      </c>
      <c r="Y36" s="481">
        <f>ROUND(W36*1.002,0)</f>
        <v>5167</v>
      </c>
      <c r="Z36" s="468">
        <f>Y36*47.95</f>
        <v>247757.65000000002</v>
      </c>
      <c r="AA36" s="482">
        <f t="shared" ref="AA36:AA37" si="3">ROUND(F36+H36+J36+L36+N36+P36+R36+T36+V36+X36+Z36+D36,)</f>
        <v>3001100</v>
      </c>
      <c r="AD36" s="98"/>
    </row>
    <row r="37" spans="1:31" ht="16" thickBot="1" x14ac:dyDescent="0.35">
      <c r="A37" s="72" t="s">
        <v>218</v>
      </c>
      <c r="B37" s="73" t="s">
        <v>80</v>
      </c>
      <c r="C37" s="124">
        <v>1</v>
      </c>
      <c r="D37" s="125">
        <v>160</v>
      </c>
      <c r="E37" s="91">
        <f>C37</f>
        <v>1</v>
      </c>
      <c r="F37" s="125">
        <v>160</v>
      </c>
      <c r="G37" s="91">
        <f>E37</f>
        <v>1</v>
      </c>
      <c r="H37" s="125">
        <v>160</v>
      </c>
      <c r="I37" s="91">
        <f>G37</f>
        <v>1</v>
      </c>
      <c r="J37" s="125">
        <v>160</v>
      </c>
      <c r="K37" s="91">
        <f>I37</f>
        <v>1</v>
      </c>
      <c r="L37" s="125">
        <v>160</v>
      </c>
      <c r="M37" s="792">
        <f>K37</f>
        <v>1</v>
      </c>
      <c r="N37" s="793">
        <f>M37*160</f>
        <v>160</v>
      </c>
      <c r="O37" s="792">
        <f>M37</f>
        <v>1</v>
      </c>
      <c r="P37" s="793">
        <v>92.9</v>
      </c>
      <c r="Q37" s="792">
        <f>O37</f>
        <v>1</v>
      </c>
      <c r="R37" s="793">
        <v>227.1</v>
      </c>
      <c r="S37" s="792">
        <f>Q37</f>
        <v>1</v>
      </c>
      <c r="T37" s="793">
        <f>S37*160</f>
        <v>160</v>
      </c>
      <c r="U37" s="467">
        <f>S37</f>
        <v>1</v>
      </c>
      <c r="V37" s="468">
        <f>U37*160</f>
        <v>160</v>
      </c>
      <c r="W37" s="467">
        <f>U37</f>
        <v>1</v>
      </c>
      <c r="X37" s="468">
        <f>W37*160</f>
        <v>160</v>
      </c>
      <c r="Y37" s="467">
        <f>W37</f>
        <v>1</v>
      </c>
      <c r="Z37" s="468">
        <f>Y37*160</f>
        <v>160</v>
      </c>
      <c r="AA37" s="482">
        <f t="shared" si="3"/>
        <v>1920</v>
      </c>
      <c r="AD37" s="98"/>
    </row>
    <row r="38" spans="1:31" ht="14.5" thickBot="1" x14ac:dyDescent="0.35">
      <c r="A38" s="113" t="s">
        <v>36</v>
      </c>
      <c r="B38" s="114"/>
      <c r="C38" s="380"/>
      <c r="D38" s="116">
        <f>SUM(D34:D37)</f>
        <v>292839.90000000002</v>
      </c>
      <c r="E38" s="115"/>
      <c r="F38" s="116">
        <f>SUM(F34:F37)</f>
        <v>309223.84999999998</v>
      </c>
      <c r="G38" s="115"/>
      <c r="H38" s="116">
        <f>SUM(H34:H37)</f>
        <v>295937.38</v>
      </c>
      <c r="I38" s="115"/>
      <c r="J38" s="116">
        <f>SUM(J34:J37)</f>
        <v>301429.7</v>
      </c>
      <c r="K38" s="115"/>
      <c r="L38" s="116">
        <f>SUM(L34:L37)</f>
        <v>298344.7</v>
      </c>
      <c r="M38" s="734"/>
      <c r="N38" s="485">
        <f>SUM(N34:N37)</f>
        <v>305604.15000000002</v>
      </c>
      <c r="O38" s="734"/>
      <c r="P38" s="485">
        <f>SUM(P34:P37)</f>
        <v>297373.83</v>
      </c>
      <c r="Q38" s="734"/>
      <c r="R38" s="485">
        <f>SUM(R34:R37)</f>
        <v>299376.14999999997</v>
      </c>
      <c r="S38" s="734"/>
      <c r="T38" s="485">
        <f>SUM(T34:T37)</f>
        <v>308296.33999999997</v>
      </c>
      <c r="U38" s="484"/>
      <c r="V38" s="485">
        <f>SUM(V34:V37)</f>
        <v>297329.52</v>
      </c>
      <c r="W38" s="484"/>
      <c r="X38" s="485">
        <f>SUM(X34:X37)</f>
        <v>298224.82</v>
      </c>
      <c r="Y38" s="484"/>
      <c r="Z38" s="485">
        <f>SUM(Z34:Z37)</f>
        <v>299120.12</v>
      </c>
      <c r="AA38" s="486">
        <f>ROUND(SUM(AA34:AA37),0)</f>
        <v>3603100</v>
      </c>
      <c r="AD38" s="98"/>
    </row>
    <row r="39" spans="1:31" s="3" customFormat="1" ht="15.5" x14ac:dyDescent="0.3">
      <c r="A39" s="489" t="s">
        <v>326</v>
      </c>
      <c r="B39" s="490"/>
      <c r="C39" s="490"/>
      <c r="D39" s="490"/>
      <c r="E39" s="490"/>
      <c r="F39" s="490"/>
      <c r="G39" s="490"/>
      <c r="H39" s="490"/>
      <c r="I39" s="490"/>
      <c r="J39" s="490"/>
      <c r="K39" s="490"/>
      <c r="L39" s="490"/>
      <c r="M39" s="490"/>
      <c r="N39" s="490"/>
      <c r="O39" s="490"/>
      <c r="P39" s="490"/>
      <c r="Y39" s="15"/>
      <c r="AD39" s="98"/>
      <c r="AE39" s="33"/>
    </row>
    <row r="40" spans="1:31" s="3" customFormat="1" ht="15.5" x14ac:dyDescent="0.3">
      <c r="A40" s="489" t="s">
        <v>327</v>
      </c>
      <c r="B40" s="490"/>
      <c r="C40" s="490"/>
      <c r="D40" s="490"/>
      <c r="E40" s="490"/>
      <c r="F40" s="490"/>
      <c r="G40" s="490"/>
      <c r="H40" s="490"/>
      <c r="I40" s="490"/>
      <c r="J40" s="490"/>
      <c r="K40" s="490"/>
      <c r="L40" s="490"/>
      <c r="M40" s="490"/>
      <c r="N40" s="490"/>
      <c r="O40" s="490"/>
      <c r="P40" s="490"/>
      <c r="Y40" s="15"/>
      <c r="AD40" s="98"/>
      <c r="AE40" s="33"/>
    </row>
    <row r="41" spans="1:31" s="3" customFormat="1" ht="15.5" x14ac:dyDescent="0.3">
      <c r="A41" s="489" t="s">
        <v>330</v>
      </c>
      <c r="B41" s="490"/>
      <c r="C41" s="490"/>
      <c r="D41" s="490"/>
      <c r="E41" s="490"/>
      <c r="F41" s="490"/>
      <c r="G41" s="490"/>
      <c r="H41" s="490"/>
      <c r="I41" s="490"/>
      <c r="J41" s="490"/>
      <c r="K41" s="490"/>
      <c r="L41" s="490"/>
      <c r="M41" s="490"/>
      <c r="N41" s="490"/>
      <c r="O41" s="490"/>
      <c r="P41" s="490"/>
      <c r="Y41" s="15"/>
      <c r="AD41" s="98"/>
      <c r="AE41" s="33"/>
    </row>
    <row r="42" spans="1:31" s="364" customFormat="1" ht="15.5" x14ac:dyDescent="0.3">
      <c r="A42" s="489" t="s">
        <v>268</v>
      </c>
      <c r="B42" s="490"/>
      <c r="C42" s="490"/>
      <c r="D42" s="490"/>
      <c r="E42" s="490"/>
      <c r="F42" s="490"/>
      <c r="G42" s="490"/>
      <c r="H42" s="490"/>
      <c r="I42" s="490"/>
      <c r="J42" s="490"/>
      <c r="K42" s="490"/>
      <c r="L42" s="490"/>
      <c r="M42" s="490"/>
      <c r="N42" s="490"/>
      <c r="O42" s="490"/>
      <c r="P42" s="490"/>
      <c r="Y42" s="384"/>
      <c r="AD42" s="98"/>
      <c r="AE42" s="33"/>
    </row>
    <row r="43" spans="1:31" x14ac:dyDescent="0.3">
      <c r="AD43" s="98"/>
    </row>
    <row r="44" spans="1:31" ht="17" thickBot="1" x14ac:dyDescent="0.35">
      <c r="A44" s="29" t="s">
        <v>242</v>
      </c>
      <c r="B44" s="371"/>
      <c r="C44" s="371"/>
      <c r="D44" s="371"/>
      <c r="E44" s="371"/>
      <c r="F44" s="371"/>
      <c r="G44" s="371"/>
      <c r="H44" s="371"/>
      <c r="I44" s="371"/>
      <c r="J44" s="371"/>
      <c r="K44" s="371"/>
      <c r="L44" s="371"/>
      <c r="M44" s="371"/>
      <c r="N44" s="371"/>
      <c r="O44" s="371"/>
      <c r="P44" s="371"/>
      <c r="Q44" s="371"/>
      <c r="R44" s="371"/>
      <c r="S44" s="371"/>
      <c r="T44" s="371"/>
      <c r="U44" s="371"/>
      <c r="V44" s="371"/>
      <c r="W44" s="371"/>
      <c r="X44" s="371"/>
      <c r="Y44" s="371"/>
      <c r="Z44" s="371"/>
      <c r="AA44" s="371"/>
      <c r="AB44" s="371"/>
      <c r="AC44" s="371"/>
      <c r="AD44" s="98"/>
    </row>
    <row r="45" spans="1:31" s="364" customFormat="1" x14ac:dyDescent="0.3">
      <c r="A45" s="1116" t="s">
        <v>12</v>
      </c>
      <c r="B45" s="1117"/>
      <c r="C45" s="1054" t="s">
        <v>244</v>
      </c>
      <c r="D45" s="1055"/>
      <c r="E45" s="1054" t="s">
        <v>244</v>
      </c>
      <c r="F45" s="1055"/>
      <c r="G45" s="1054" t="s">
        <v>244</v>
      </c>
      <c r="H45" s="1055"/>
      <c r="I45" s="1054" t="s">
        <v>244</v>
      </c>
      <c r="J45" s="1055"/>
      <c r="K45" s="1054" t="s">
        <v>244</v>
      </c>
      <c r="L45" s="1055"/>
      <c r="M45" s="1054" t="s">
        <v>244</v>
      </c>
      <c r="N45" s="1055"/>
      <c r="O45" s="1054" t="s">
        <v>244</v>
      </c>
      <c r="P45" s="1055"/>
      <c r="Q45" s="1054" t="s">
        <v>244</v>
      </c>
      <c r="R45" s="1055"/>
      <c r="S45" s="1054" t="s">
        <v>244</v>
      </c>
      <c r="T45" s="1055"/>
      <c r="U45" s="1054" t="s">
        <v>244</v>
      </c>
      <c r="V45" s="1055"/>
      <c r="W45" s="1054" t="s">
        <v>244</v>
      </c>
      <c r="X45" s="1055"/>
      <c r="Y45" s="1054" t="s">
        <v>244</v>
      </c>
      <c r="Z45" s="1055"/>
      <c r="AA45" s="451" t="s">
        <v>244</v>
      </c>
      <c r="AD45" s="98"/>
      <c r="AE45" s="33"/>
    </row>
    <row r="46" spans="1:31" s="364" customFormat="1" x14ac:dyDescent="0.3">
      <c r="A46" s="1118" t="s">
        <v>13</v>
      </c>
      <c r="B46" s="1119"/>
      <c r="C46" s="1062" t="s">
        <v>89</v>
      </c>
      <c r="D46" s="1063"/>
      <c r="E46" s="1062" t="s">
        <v>49</v>
      </c>
      <c r="F46" s="1063"/>
      <c r="G46" s="1062" t="s">
        <v>50</v>
      </c>
      <c r="H46" s="1063"/>
      <c r="I46" s="1060" t="s">
        <v>51</v>
      </c>
      <c r="J46" s="1061"/>
      <c r="K46" s="1062" t="s">
        <v>52</v>
      </c>
      <c r="L46" s="1063"/>
      <c r="M46" s="1062" t="s">
        <v>53</v>
      </c>
      <c r="N46" s="1063"/>
      <c r="O46" s="1062" t="s">
        <v>54</v>
      </c>
      <c r="P46" s="1063"/>
      <c r="Q46" s="1060" t="s">
        <v>81</v>
      </c>
      <c r="R46" s="1060"/>
      <c r="S46" s="1062" t="s">
        <v>90</v>
      </c>
      <c r="T46" s="1063"/>
      <c r="U46" s="1062" t="s">
        <v>91</v>
      </c>
      <c r="V46" s="1063"/>
      <c r="W46" s="1062" t="s">
        <v>92</v>
      </c>
      <c r="X46" s="1063"/>
      <c r="Y46" s="1062" t="s">
        <v>93</v>
      </c>
      <c r="Z46" s="1060"/>
      <c r="AA46" s="452" t="s">
        <v>36</v>
      </c>
      <c r="AD46" s="98"/>
      <c r="AE46" s="33"/>
    </row>
    <row r="47" spans="1:31" s="364" customFormat="1" x14ac:dyDescent="0.3">
      <c r="A47" s="1120" t="s">
        <v>32</v>
      </c>
      <c r="B47" s="1121"/>
      <c r="C47" s="453"/>
      <c r="D47" s="454" t="s">
        <v>24</v>
      </c>
      <c r="E47" s="453"/>
      <c r="F47" s="454" t="s">
        <v>24</v>
      </c>
      <c r="G47" s="453"/>
      <c r="H47" s="454" t="s">
        <v>24</v>
      </c>
      <c r="I47" s="456"/>
      <c r="J47" s="456" t="s">
        <v>24</v>
      </c>
      <c r="K47" s="453"/>
      <c r="L47" s="454" t="s">
        <v>24</v>
      </c>
      <c r="M47" s="453"/>
      <c r="N47" s="454" t="s">
        <v>24</v>
      </c>
      <c r="O47" s="455"/>
      <c r="P47" s="454" t="s">
        <v>24</v>
      </c>
      <c r="Q47" s="456"/>
      <c r="R47" s="456" t="s">
        <v>24</v>
      </c>
      <c r="S47" s="455"/>
      <c r="T47" s="454" t="s">
        <v>24</v>
      </c>
      <c r="U47" s="455"/>
      <c r="V47" s="454" t="s">
        <v>24</v>
      </c>
      <c r="W47" s="455"/>
      <c r="X47" s="454" t="s">
        <v>24</v>
      </c>
      <c r="Y47" s="455"/>
      <c r="Z47" s="456" t="s">
        <v>24</v>
      </c>
      <c r="AA47" s="457" t="s">
        <v>24</v>
      </c>
      <c r="AD47" s="98"/>
      <c r="AE47" s="33"/>
    </row>
    <row r="48" spans="1:31" s="364" customFormat="1" ht="52" x14ac:dyDescent="0.3">
      <c r="A48" s="470" t="s">
        <v>25</v>
      </c>
      <c r="B48" s="470" t="s">
        <v>55</v>
      </c>
      <c r="C48" s="458" t="s">
        <v>56</v>
      </c>
      <c r="D48" s="459" t="s">
        <v>28</v>
      </c>
      <c r="E48" s="458" t="s">
        <v>56</v>
      </c>
      <c r="F48" s="459" t="s">
        <v>28</v>
      </c>
      <c r="G48" s="460" t="s">
        <v>56</v>
      </c>
      <c r="H48" s="459" t="s">
        <v>28</v>
      </c>
      <c r="I48" s="458" t="s">
        <v>56</v>
      </c>
      <c r="J48" s="459" t="s">
        <v>28</v>
      </c>
      <c r="K48" s="458" t="s">
        <v>56</v>
      </c>
      <c r="L48" s="459" t="s">
        <v>28</v>
      </c>
      <c r="M48" s="458" t="s">
        <v>56</v>
      </c>
      <c r="N48" s="459" t="s">
        <v>28</v>
      </c>
      <c r="O48" s="458" t="s">
        <v>56</v>
      </c>
      <c r="P48" s="459" t="s">
        <v>28</v>
      </c>
      <c r="Q48" s="460" t="s">
        <v>56</v>
      </c>
      <c r="R48" s="459" t="s">
        <v>28</v>
      </c>
      <c r="S48" s="458" t="s">
        <v>56</v>
      </c>
      <c r="T48" s="459" t="s">
        <v>28</v>
      </c>
      <c r="U48" s="458" t="s">
        <v>56</v>
      </c>
      <c r="V48" s="459" t="s">
        <v>28</v>
      </c>
      <c r="W48" s="458" t="s">
        <v>56</v>
      </c>
      <c r="X48" s="459" t="s">
        <v>28</v>
      </c>
      <c r="Y48" s="458" t="s">
        <v>56</v>
      </c>
      <c r="Z48" s="459" t="s">
        <v>28</v>
      </c>
      <c r="AA48" s="461" t="s">
        <v>28</v>
      </c>
      <c r="AD48" s="98"/>
      <c r="AE48" s="33"/>
    </row>
    <row r="49" spans="1:31" s="364" customFormat="1" x14ac:dyDescent="0.3">
      <c r="A49" s="491" t="s">
        <v>29</v>
      </c>
      <c r="B49" s="491" t="s">
        <v>57</v>
      </c>
      <c r="C49" s="476">
        <v>1</v>
      </c>
      <c r="D49" s="477">
        <v>2</v>
      </c>
      <c r="E49" s="476">
        <v>3</v>
      </c>
      <c r="F49" s="477">
        <v>4</v>
      </c>
      <c r="G49" s="478">
        <v>5</v>
      </c>
      <c r="H49" s="492">
        <v>6</v>
      </c>
      <c r="I49" s="476">
        <v>7</v>
      </c>
      <c r="J49" s="477">
        <v>8</v>
      </c>
      <c r="K49" s="476">
        <v>9</v>
      </c>
      <c r="L49" s="477">
        <v>10</v>
      </c>
      <c r="M49" s="476">
        <v>11</v>
      </c>
      <c r="N49" s="477">
        <v>12</v>
      </c>
      <c r="O49" s="478">
        <v>13</v>
      </c>
      <c r="P49" s="479">
        <v>14</v>
      </c>
      <c r="Q49" s="476">
        <v>15</v>
      </c>
      <c r="R49" s="477">
        <v>16</v>
      </c>
      <c r="S49" s="476">
        <v>17</v>
      </c>
      <c r="T49" s="477">
        <v>18</v>
      </c>
      <c r="U49" s="476">
        <v>19</v>
      </c>
      <c r="V49" s="477">
        <v>20</v>
      </c>
      <c r="W49" s="476">
        <v>21</v>
      </c>
      <c r="X49" s="477">
        <v>22</v>
      </c>
      <c r="Y49" s="476">
        <v>23</v>
      </c>
      <c r="Z49" s="479">
        <v>24</v>
      </c>
      <c r="AA49" s="480">
        <v>25</v>
      </c>
      <c r="AD49" s="98"/>
      <c r="AE49" s="33"/>
    </row>
    <row r="50" spans="1:31" s="364" customFormat="1" ht="15.5" x14ac:dyDescent="0.3">
      <c r="A50" s="493" t="s">
        <v>212</v>
      </c>
      <c r="B50" s="494" t="s">
        <v>80</v>
      </c>
      <c r="C50" s="481">
        <v>11</v>
      </c>
      <c r="D50" s="468">
        <f>C50*600</f>
        <v>6600</v>
      </c>
      <c r="E50" s="481">
        <f>C50</f>
        <v>11</v>
      </c>
      <c r="F50" s="468">
        <f>E50*600</f>
        <v>6600</v>
      </c>
      <c r="G50" s="481">
        <f>E50</f>
        <v>11</v>
      </c>
      <c r="H50" s="468">
        <f>G50*600</f>
        <v>6600</v>
      </c>
      <c r="I50" s="481">
        <f>G50</f>
        <v>11</v>
      </c>
      <c r="J50" s="468">
        <f>I50*600</f>
        <v>6600</v>
      </c>
      <c r="K50" s="481">
        <f>I50</f>
        <v>11</v>
      </c>
      <c r="L50" s="468">
        <f>K50*600</f>
        <v>6600</v>
      </c>
      <c r="M50" s="481">
        <f>K50</f>
        <v>11</v>
      </c>
      <c r="N50" s="468">
        <f>M50*600</f>
        <v>6600</v>
      </c>
      <c r="O50" s="481">
        <f>M50</f>
        <v>11</v>
      </c>
      <c r="P50" s="468">
        <f>O50*600</f>
        <v>6600</v>
      </c>
      <c r="Q50" s="481">
        <f>O50</f>
        <v>11</v>
      </c>
      <c r="R50" s="468">
        <f>Q50*600</f>
        <v>6600</v>
      </c>
      <c r="S50" s="481">
        <f>Q50</f>
        <v>11</v>
      </c>
      <c r="T50" s="468">
        <f>S50*600</f>
        <v>6600</v>
      </c>
      <c r="U50" s="481">
        <f>S50</f>
        <v>11</v>
      </c>
      <c r="V50" s="468">
        <f>U50*600</f>
        <v>6600</v>
      </c>
      <c r="W50" s="481">
        <f>U50</f>
        <v>11</v>
      </c>
      <c r="X50" s="468">
        <f>W50*600</f>
        <v>6600</v>
      </c>
      <c r="Y50" s="481">
        <f>W50</f>
        <v>11</v>
      </c>
      <c r="Z50" s="468">
        <f>Y50*600</f>
        <v>6600</v>
      </c>
      <c r="AA50" s="482">
        <f>ROUND(F50+H50+J50+L50+N50+P50+R50+T50+V50+X50+Z50+D50,)</f>
        <v>79200</v>
      </c>
      <c r="AD50" s="98"/>
      <c r="AE50" s="33"/>
    </row>
    <row r="51" spans="1:31" ht="15.5" x14ac:dyDescent="0.3">
      <c r="A51" s="495" t="s">
        <v>216</v>
      </c>
      <c r="B51" s="496" t="s">
        <v>80</v>
      </c>
      <c r="C51" s="483">
        <f>ROUND(Y35*1.01,0)</f>
        <v>339</v>
      </c>
      <c r="D51" s="468">
        <f>D52+D53</f>
        <v>72457.52</v>
      </c>
      <c r="E51" s="483">
        <f>ROUND(C51*1.01,0)</f>
        <v>342</v>
      </c>
      <c r="F51" s="468">
        <f>F52+F53</f>
        <v>73096.479999999996</v>
      </c>
      <c r="G51" s="483">
        <f>ROUND(E51*1.01,0)</f>
        <v>345</v>
      </c>
      <c r="H51" s="468">
        <f>H52+H53</f>
        <v>73735.44</v>
      </c>
      <c r="I51" s="483">
        <f>ROUND(G51*1.01,0)</f>
        <v>348</v>
      </c>
      <c r="J51" s="468">
        <f>J52+J53</f>
        <v>74374.399999999994</v>
      </c>
      <c r="K51" s="483">
        <f>ROUND(I51*1.01,0)</f>
        <v>351</v>
      </c>
      <c r="L51" s="468">
        <f>L52+L53</f>
        <v>75013.36</v>
      </c>
      <c r="M51" s="483">
        <f>ROUND(K51*1.01,0)</f>
        <v>355</v>
      </c>
      <c r="N51" s="468">
        <f>N52+N53</f>
        <v>75950.320000000007</v>
      </c>
      <c r="O51" s="483">
        <f>ROUND(M51*1.01,0)</f>
        <v>359</v>
      </c>
      <c r="P51" s="468">
        <f>P52+P53</f>
        <v>76887.28</v>
      </c>
      <c r="Q51" s="483">
        <f>ROUND(O51*1.01,0)</f>
        <v>363</v>
      </c>
      <c r="R51" s="468">
        <f>R52+R53</f>
        <v>77569.2</v>
      </c>
      <c r="S51" s="483">
        <f>ROUND(Q51*1.01,0)</f>
        <v>367</v>
      </c>
      <c r="T51" s="468">
        <f>T52+T53</f>
        <v>78506.16</v>
      </c>
      <c r="U51" s="483">
        <f>ROUND(S51*1.01,0)</f>
        <v>371</v>
      </c>
      <c r="V51" s="468">
        <f>V52+V53</f>
        <v>79443.12</v>
      </c>
      <c r="W51" s="483">
        <f>ROUND(U51*1.01,0)</f>
        <v>375</v>
      </c>
      <c r="X51" s="468">
        <f>X52+X53</f>
        <v>80125.039999999994</v>
      </c>
      <c r="Y51" s="483">
        <f>ROUND(W51*1.01,0)</f>
        <v>379</v>
      </c>
      <c r="Z51" s="468">
        <f>Z52+Z53</f>
        <v>81062</v>
      </c>
      <c r="AA51" s="482">
        <f>ROUND(F51+H51+J51+L51+N51+P51+R51+T51+V51+X51+Z51+D51,)</f>
        <v>918220</v>
      </c>
      <c r="AB51" s="98"/>
      <c r="AD51" s="98"/>
    </row>
    <row r="52" spans="1:31" s="815" customFormat="1" x14ac:dyDescent="0.3">
      <c r="A52" s="497" t="s">
        <v>266</v>
      </c>
      <c r="B52" s="498" t="s">
        <v>80</v>
      </c>
      <c r="C52" s="499">
        <f>ROUND(C51*0.67,0)</f>
        <v>227</v>
      </c>
      <c r="D52" s="500">
        <f>C52*298</f>
        <v>67646</v>
      </c>
      <c r="E52" s="499">
        <f>ROUND(E51*0.67,0)</f>
        <v>229</v>
      </c>
      <c r="F52" s="500">
        <f>E52*298</f>
        <v>68242</v>
      </c>
      <c r="G52" s="499">
        <f>ROUND(G51*0.67,0)</f>
        <v>231</v>
      </c>
      <c r="H52" s="500">
        <f>G52*298</f>
        <v>68838</v>
      </c>
      <c r="I52" s="499">
        <f>ROUND(I51*0.67,0)</f>
        <v>233</v>
      </c>
      <c r="J52" s="500">
        <f>I52*298</f>
        <v>69434</v>
      </c>
      <c r="K52" s="499">
        <f>ROUND(K51*0.67,0)</f>
        <v>235</v>
      </c>
      <c r="L52" s="500">
        <f>K52*298</f>
        <v>70030</v>
      </c>
      <c r="M52" s="499">
        <f>ROUND(M51*0.67,0)</f>
        <v>238</v>
      </c>
      <c r="N52" s="500">
        <f>M52*298</f>
        <v>70924</v>
      </c>
      <c r="O52" s="499">
        <f>ROUND(O51*0.67,0)</f>
        <v>241</v>
      </c>
      <c r="P52" s="500">
        <f>O52*298</f>
        <v>71818</v>
      </c>
      <c r="Q52" s="499">
        <f>ROUND(Q51*0.67,0)</f>
        <v>243</v>
      </c>
      <c r="R52" s="500">
        <f>Q52*298</f>
        <v>72414</v>
      </c>
      <c r="S52" s="499">
        <f>ROUND(S51*0.67,0)</f>
        <v>246</v>
      </c>
      <c r="T52" s="500">
        <f>S52*298</f>
        <v>73308</v>
      </c>
      <c r="U52" s="499">
        <f>ROUND(U51*0.67,0)</f>
        <v>249</v>
      </c>
      <c r="V52" s="500">
        <f>U52*298</f>
        <v>74202</v>
      </c>
      <c r="W52" s="499">
        <f>ROUND(W51*0.67,0)</f>
        <v>251</v>
      </c>
      <c r="X52" s="500">
        <f>W52*298</f>
        <v>74798</v>
      </c>
      <c r="Y52" s="499">
        <f>ROUND(Y51*0.67,0)</f>
        <v>254</v>
      </c>
      <c r="Z52" s="500">
        <f>Y52*298</f>
        <v>75692</v>
      </c>
      <c r="AA52" s="501" t="s">
        <v>32</v>
      </c>
      <c r="AB52" s="443"/>
      <c r="AD52" s="98"/>
      <c r="AE52" s="33"/>
    </row>
    <row r="53" spans="1:31" s="444" customFormat="1" x14ac:dyDescent="0.3">
      <c r="A53" s="497" t="s">
        <v>267</v>
      </c>
      <c r="B53" s="498" t="s">
        <v>80</v>
      </c>
      <c r="C53" s="499">
        <f>ROUND(C51*0.33,0)</f>
        <v>112</v>
      </c>
      <c r="D53" s="500">
        <f>C53*42.96</f>
        <v>4811.5200000000004</v>
      </c>
      <c r="E53" s="499">
        <f>ROUND(E51*0.33,0)</f>
        <v>113</v>
      </c>
      <c r="F53" s="500">
        <f>E53*42.96</f>
        <v>4854.4800000000005</v>
      </c>
      <c r="G53" s="499">
        <f>ROUND(G51*0.33,0)</f>
        <v>114</v>
      </c>
      <c r="H53" s="500">
        <f>G53*42.96</f>
        <v>4897.4400000000005</v>
      </c>
      <c r="I53" s="499">
        <f>ROUND(I51*0.33,0)</f>
        <v>115</v>
      </c>
      <c r="J53" s="500">
        <f>I53*42.96</f>
        <v>4940.4000000000005</v>
      </c>
      <c r="K53" s="499">
        <f>ROUND(K51*0.33,0)</f>
        <v>116</v>
      </c>
      <c r="L53" s="500">
        <f>K53*42.96</f>
        <v>4983.3599999999997</v>
      </c>
      <c r="M53" s="499">
        <f>ROUND(M51*0.33,0)</f>
        <v>117</v>
      </c>
      <c r="N53" s="500">
        <f>M53*42.96</f>
        <v>5026.32</v>
      </c>
      <c r="O53" s="499">
        <f>ROUND(O51*0.33,0)</f>
        <v>118</v>
      </c>
      <c r="P53" s="500">
        <f>O53*42.96</f>
        <v>5069.28</v>
      </c>
      <c r="Q53" s="499">
        <f>ROUND(Q51*0.33,0)</f>
        <v>120</v>
      </c>
      <c r="R53" s="500">
        <f>Q53*42.96</f>
        <v>5155.2</v>
      </c>
      <c r="S53" s="499">
        <f>ROUND(S51*0.33,0)</f>
        <v>121</v>
      </c>
      <c r="T53" s="500">
        <f>S53*42.96</f>
        <v>5198.16</v>
      </c>
      <c r="U53" s="499">
        <f>ROUND(U51*0.33,0)</f>
        <v>122</v>
      </c>
      <c r="V53" s="500">
        <f>U53*42.96</f>
        <v>5241.12</v>
      </c>
      <c r="W53" s="499">
        <f>ROUND(W51*0.33,0)</f>
        <v>124</v>
      </c>
      <c r="X53" s="500">
        <f>W53*42.96</f>
        <v>5327.04</v>
      </c>
      <c r="Y53" s="499">
        <f>ROUND(Y51*0.33,0)</f>
        <v>125</v>
      </c>
      <c r="Z53" s="500">
        <f>Y53*42.96</f>
        <v>5370</v>
      </c>
      <c r="AA53" s="501" t="s">
        <v>32</v>
      </c>
      <c r="AB53" s="443"/>
      <c r="AD53" s="98"/>
      <c r="AE53" s="33"/>
    </row>
    <row r="54" spans="1:31" s="364" customFormat="1" ht="15.5" x14ac:dyDescent="0.3">
      <c r="A54" s="493" t="s">
        <v>217</v>
      </c>
      <c r="B54" s="494" t="s">
        <v>80</v>
      </c>
      <c r="C54" s="481">
        <f>ROUND(Y36*1.002,0)</f>
        <v>5177</v>
      </c>
      <c r="D54" s="468">
        <f>C54*47.95</f>
        <v>248237.15000000002</v>
      </c>
      <c r="E54" s="481">
        <f>ROUND(C54*1.002,0)</f>
        <v>5187</v>
      </c>
      <c r="F54" s="468">
        <f>E54*47.95</f>
        <v>248716.65000000002</v>
      </c>
      <c r="G54" s="481">
        <f>ROUND(E54*1.002,0)</f>
        <v>5197</v>
      </c>
      <c r="H54" s="468">
        <f>G54*47.95</f>
        <v>249196.15000000002</v>
      </c>
      <c r="I54" s="481">
        <f>ROUND(G54*1.002,0)</f>
        <v>5207</v>
      </c>
      <c r="J54" s="468">
        <f>I54*47.95</f>
        <v>249675.65000000002</v>
      </c>
      <c r="K54" s="481">
        <f>ROUND(I54*1.002,0)</f>
        <v>5217</v>
      </c>
      <c r="L54" s="468">
        <f>K54*47.95</f>
        <v>250155.15000000002</v>
      </c>
      <c r="M54" s="481">
        <f>ROUND(K54*1.002,0)</f>
        <v>5227</v>
      </c>
      <c r="N54" s="468">
        <f>M54*47.95</f>
        <v>250634.65000000002</v>
      </c>
      <c r="O54" s="481">
        <f>ROUND(M54*1.002,0)</f>
        <v>5237</v>
      </c>
      <c r="P54" s="468">
        <f>O54*47.95</f>
        <v>251114.15000000002</v>
      </c>
      <c r="Q54" s="481">
        <f>ROUND(O54*1.002,0)</f>
        <v>5247</v>
      </c>
      <c r="R54" s="468">
        <f>Q54*47.95</f>
        <v>251593.65000000002</v>
      </c>
      <c r="S54" s="481">
        <f>ROUND(Q54*1.002,0)</f>
        <v>5257</v>
      </c>
      <c r="T54" s="468">
        <f>S54*47.95</f>
        <v>252073.15000000002</v>
      </c>
      <c r="U54" s="481">
        <f>ROUND(S54*1.002,0)</f>
        <v>5268</v>
      </c>
      <c r="V54" s="468">
        <f>U54*47.95</f>
        <v>252600.6</v>
      </c>
      <c r="W54" s="481">
        <f>ROUND(U54*1.002,0)</f>
        <v>5279</v>
      </c>
      <c r="X54" s="468">
        <f>W54*47.95</f>
        <v>253128.05000000002</v>
      </c>
      <c r="Y54" s="481">
        <f>ROUND(W54*1.002,0)</f>
        <v>5290</v>
      </c>
      <c r="Z54" s="468">
        <f>Y54*47.95</f>
        <v>253655.50000000003</v>
      </c>
      <c r="AA54" s="482">
        <f t="shared" ref="AA54:AA55" si="4">ROUND(F54+H54+J54+L54+N54+P54+R54+T54+V54+X54+Z54+D54,)</f>
        <v>3010781</v>
      </c>
      <c r="AD54" s="98"/>
      <c r="AE54" s="33"/>
    </row>
    <row r="55" spans="1:31" s="364" customFormat="1" ht="16" thickBot="1" x14ac:dyDescent="0.35">
      <c r="A55" s="473" t="s">
        <v>218</v>
      </c>
      <c r="B55" s="474" t="s">
        <v>80</v>
      </c>
      <c r="C55" s="481">
        <v>1</v>
      </c>
      <c r="D55" s="468">
        <f>C55*160</f>
        <v>160</v>
      </c>
      <c r="E55" s="467">
        <f>C55</f>
        <v>1</v>
      </c>
      <c r="F55" s="468">
        <f>E55*160</f>
        <v>160</v>
      </c>
      <c r="G55" s="467">
        <f>E55</f>
        <v>1</v>
      </c>
      <c r="H55" s="468">
        <f>G55*160</f>
        <v>160</v>
      </c>
      <c r="I55" s="467">
        <f>G55</f>
        <v>1</v>
      </c>
      <c r="J55" s="468">
        <f>I55*160</f>
        <v>160</v>
      </c>
      <c r="K55" s="467">
        <f>I55</f>
        <v>1</v>
      </c>
      <c r="L55" s="468">
        <f>K55*160</f>
        <v>160</v>
      </c>
      <c r="M55" s="467">
        <f>K55</f>
        <v>1</v>
      </c>
      <c r="N55" s="468">
        <f>M55*160</f>
        <v>160</v>
      </c>
      <c r="O55" s="467">
        <f>M55</f>
        <v>1</v>
      </c>
      <c r="P55" s="468">
        <f>O55*160</f>
        <v>160</v>
      </c>
      <c r="Q55" s="467">
        <f>O55</f>
        <v>1</v>
      </c>
      <c r="R55" s="468">
        <f>Q55*160</f>
        <v>160</v>
      </c>
      <c r="S55" s="467">
        <f>Q55</f>
        <v>1</v>
      </c>
      <c r="T55" s="468">
        <f>S55*160</f>
        <v>160</v>
      </c>
      <c r="U55" s="467">
        <f>S55</f>
        <v>1</v>
      </c>
      <c r="V55" s="468">
        <f>U55*160</f>
        <v>160</v>
      </c>
      <c r="W55" s="467">
        <f>U55</f>
        <v>1</v>
      </c>
      <c r="X55" s="468">
        <f>W55*160</f>
        <v>160</v>
      </c>
      <c r="Y55" s="467">
        <f>W55</f>
        <v>1</v>
      </c>
      <c r="Z55" s="468">
        <f>Y55*160</f>
        <v>160</v>
      </c>
      <c r="AA55" s="482">
        <f t="shared" si="4"/>
        <v>1920</v>
      </c>
      <c r="AD55" s="98"/>
      <c r="AE55" s="33"/>
    </row>
    <row r="56" spans="1:31" s="364" customFormat="1" ht="14.5" thickBot="1" x14ac:dyDescent="0.35">
      <c r="A56" s="502" t="s">
        <v>36</v>
      </c>
      <c r="B56" s="503"/>
      <c r="C56" s="484"/>
      <c r="D56" s="485">
        <f>D50+D51+D54+D55</f>
        <v>327454.67000000004</v>
      </c>
      <c r="E56" s="484"/>
      <c r="F56" s="485">
        <f>F50+F51+F54+F55</f>
        <v>328573.13</v>
      </c>
      <c r="G56" s="484"/>
      <c r="H56" s="485">
        <f>H50+H51+H54+H55</f>
        <v>329691.59000000003</v>
      </c>
      <c r="I56" s="484"/>
      <c r="J56" s="485">
        <f>J50+J51+J54+J55</f>
        <v>330810.05000000005</v>
      </c>
      <c r="K56" s="484"/>
      <c r="L56" s="485">
        <f>L50+L51+L54+L55</f>
        <v>331928.51</v>
      </c>
      <c r="M56" s="484"/>
      <c r="N56" s="485">
        <f>N50+N51+N54+N55</f>
        <v>333344.97000000003</v>
      </c>
      <c r="O56" s="484"/>
      <c r="P56" s="485">
        <f>P50+P51+P54+P55</f>
        <v>334761.43000000005</v>
      </c>
      <c r="Q56" s="484"/>
      <c r="R56" s="485">
        <f>R50+R51+R54+R55</f>
        <v>335922.85000000003</v>
      </c>
      <c r="S56" s="484"/>
      <c r="T56" s="485">
        <f>T50+T51+T54+T55</f>
        <v>337339.31000000006</v>
      </c>
      <c r="U56" s="484"/>
      <c r="V56" s="485">
        <f>V50+V51+V54+V55</f>
        <v>338803.72</v>
      </c>
      <c r="W56" s="484"/>
      <c r="X56" s="485">
        <f>X50+X51+X54+X55</f>
        <v>340013.09</v>
      </c>
      <c r="Y56" s="484"/>
      <c r="Z56" s="485">
        <f>Z50+Z51+Z54+Z55</f>
        <v>341477.5</v>
      </c>
      <c r="AA56" s="486">
        <f>ROUND(SUM(AA50:AA55),0)</f>
        <v>4010121</v>
      </c>
      <c r="AD56" s="98"/>
      <c r="AE56" s="33"/>
    </row>
    <row r="57" spans="1:31" s="3" customFormat="1" ht="15.5" x14ac:dyDescent="0.3">
      <c r="A57" s="489" t="s">
        <v>329</v>
      </c>
      <c r="B57" s="490"/>
      <c r="C57" s="490"/>
      <c r="D57" s="490"/>
      <c r="E57" s="490"/>
      <c r="F57" s="490"/>
      <c r="G57" s="490"/>
      <c r="H57" s="490"/>
      <c r="I57" s="490"/>
      <c r="J57" s="490"/>
      <c r="K57" s="490"/>
      <c r="L57" s="490"/>
      <c r="M57" s="490"/>
      <c r="N57" s="490"/>
      <c r="O57" s="490"/>
      <c r="P57" s="490"/>
      <c r="Q57" s="490"/>
      <c r="R57" s="490"/>
      <c r="S57" s="490"/>
      <c r="T57" s="490"/>
      <c r="U57" s="490"/>
      <c r="V57" s="490"/>
      <c r="W57" s="490"/>
      <c r="X57" s="490"/>
      <c r="Y57" s="504"/>
      <c r="Z57" s="490"/>
      <c r="AA57" s="505"/>
      <c r="AD57" s="98"/>
      <c r="AE57" s="33"/>
    </row>
    <row r="58" spans="1:31" s="3" customFormat="1" ht="31" customHeight="1" x14ac:dyDescent="0.3">
      <c r="A58" s="1216" t="s">
        <v>328</v>
      </c>
      <c r="B58" s="1216"/>
      <c r="C58" s="1216"/>
      <c r="D58" s="1216"/>
      <c r="E58" s="1216"/>
      <c r="F58" s="1216"/>
      <c r="G58" s="1216"/>
      <c r="H58" s="1216"/>
      <c r="I58" s="1216"/>
      <c r="J58" s="1216"/>
      <c r="K58" s="1216"/>
      <c r="L58" s="1216"/>
      <c r="M58" s="1216"/>
      <c r="N58" s="1216"/>
      <c r="O58" s="1216"/>
      <c r="P58" s="1216"/>
      <c r="Q58" s="1216"/>
      <c r="R58" s="1216"/>
      <c r="S58" s="1216"/>
      <c r="T58" s="1216"/>
      <c r="U58" s="1216"/>
      <c r="V58" s="1216"/>
      <c r="W58" s="1216"/>
      <c r="X58" s="1216"/>
      <c r="Y58" s="1216"/>
      <c r="Z58" s="1216"/>
      <c r="AA58" s="1216"/>
      <c r="AC58" s="6"/>
      <c r="AD58" s="98"/>
      <c r="AE58" s="33"/>
    </row>
    <row r="59" spans="1:31" s="3" customFormat="1" ht="15.5" x14ac:dyDescent="0.3">
      <c r="A59" s="489" t="s">
        <v>331</v>
      </c>
      <c r="B59" s="490"/>
      <c r="C59" s="490"/>
      <c r="D59" s="490"/>
      <c r="E59" s="490"/>
      <c r="F59" s="490"/>
      <c r="G59" s="490"/>
      <c r="H59" s="490"/>
      <c r="I59" s="490"/>
      <c r="J59" s="490"/>
      <c r="K59" s="490"/>
      <c r="L59" s="490"/>
      <c r="M59" s="490"/>
      <c r="N59" s="490"/>
      <c r="O59" s="490"/>
      <c r="P59" s="490"/>
      <c r="Y59" s="15"/>
      <c r="AD59" s="98"/>
      <c r="AE59" s="33"/>
    </row>
    <row r="60" spans="1:31" s="3" customFormat="1" ht="15.5" x14ac:dyDescent="0.3">
      <c r="A60" s="489" t="s">
        <v>269</v>
      </c>
      <c r="B60" s="490"/>
      <c r="C60" s="490"/>
      <c r="D60" s="490"/>
      <c r="E60" s="490"/>
      <c r="F60" s="490"/>
      <c r="G60" s="490"/>
      <c r="H60" s="490"/>
      <c r="I60" s="490"/>
      <c r="J60" s="490"/>
      <c r="K60" s="490"/>
      <c r="L60" s="490"/>
      <c r="M60" s="490"/>
      <c r="N60" s="490"/>
      <c r="O60" s="490"/>
      <c r="P60" s="490"/>
      <c r="Q60" s="490"/>
      <c r="R60" s="490"/>
      <c r="S60" s="490"/>
      <c r="T60" s="490"/>
      <c r="U60" s="490"/>
      <c r="V60" s="490"/>
      <c r="W60" s="490"/>
      <c r="X60" s="490"/>
      <c r="Y60" s="504"/>
      <c r="Z60" s="490"/>
      <c r="AA60" s="490"/>
    </row>
    <row r="61" spans="1:31" s="3" customFormat="1" x14ac:dyDescent="0.3">
      <c r="Y61" s="15"/>
    </row>
  </sheetData>
  <mergeCells count="112">
    <mergeCell ref="A58:AA58"/>
    <mergeCell ref="A47:B47"/>
    <mergeCell ref="U45:V45"/>
    <mergeCell ref="W45:X45"/>
    <mergeCell ref="Y45:Z45"/>
    <mergeCell ref="A46:B46"/>
    <mergeCell ref="C46:D46"/>
    <mergeCell ref="E46:F46"/>
    <mergeCell ref="G46:H46"/>
    <mergeCell ref="I46:J46"/>
    <mergeCell ref="K46:L46"/>
    <mergeCell ref="M46:N46"/>
    <mergeCell ref="O46:P46"/>
    <mergeCell ref="Q46:R46"/>
    <mergeCell ref="S46:T46"/>
    <mergeCell ref="U46:V46"/>
    <mergeCell ref="W46:X46"/>
    <mergeCell ref="Y46:Z46"/>
    <mergeCell ref="K45:L45"/>
    <mergeCell ref="M45:N45"/>
    <mergeCell ref="O45:P45"/>
    <mergeCell ref="Q45:R45"/>
    <mergeCell ref="S45:T45"/>
    <mergeCell ref="A45:B45"/>
    <mergeCell ref="C45:D45"/>
    <mergeCell ref="W18:X18"/>
    <mergeCell ref="Y18:Z18"/>
    <mergeCell ref="K18:L18"/>
    <mergeCell ref="S18:T18"/>
    <mergeCell ref="U18:V18"/>
    <mergeCell ref="E45:F45"/>
    <mergeCell ref="G45:H45"/>
    <mergeCell ref="I45:J45"/>
    <mergeCell ref="Y29:Z29"/>
    <mergeCell ref="K30:L30"/>
    <mergeCell ref="M30:N30"/>
    <mergeCell ref="O30:P30"/>
    <mergeCell ref="W30:X30"/>
    <mergeCell ref="S30:T30"/>
    <mergeCell ref="U30:V30"/>
    <mergeCell ref="K29:L29"/>
    <mergeCell ref="M29:N29"/>
    <mergeCell ref="O29:P29"/>
    <mergeCell ref="Q29:R29"/>
    <mergeCell ref="S29:T29"/>
    <mergeCell ref="Q30:R30"/>
    <mergeCell ref="Y30:Z30"/>
    <mergeCell ref="U29:V29"/>
    <mergeCell ref="W29:X29"/>
    <mergeCell ref="O17:P17"/>
    <mergeCell ref="M17:N17"/>
    <mergeCell ref="Q5:R5"/>
    <mergeCell ref="M6:N6"/>
    <mergeCell ref="O6:P6"/>
    <mergeCell ref="Y17:Z17"/>
    <mergeCell ref="U17:V17"/>
    <mergeCell ref="I17:J17"/>
    <mergeCell ref="Q17:R17"/>
    <mergeCell ref="S17:T17"/>
    <mergeCell ref="W17:X17"/>
    <mergeCell ref="A1:AA1"/>
    <mergeCell ref="A2:AA2"/>
    <mergeCell ref="Y6:Z6"/>
    <mergeCell ref="U6:V6"/>
    <mergeCell ref="W6:X6"/>
    <mergeCell ref="S5:T5"/>
    <mergeCell ref="U5:V5"/>
    <mergeCell ref="W5:X5"/>
    <mergeCell ref="Y5:Z5"/>
    <mergeCell ref="A3:AA3"/>
    <mergeCell ref="A5:B5"/>
    <mergeCell ref="C5:D5"/>
    <mergeCell ref="S6:T6"/>
    <mergeCell ref="A6:B6"/>
    <mergeCell ref="E5:F5"/>
    <mergeCell ref="G5:H5"/>
    <mergeCell ref="I5:J5"/>
    <mergeCell ref="M5:N5"/>
    <mergeCell ref="K5:L5"/>
    <mergeCell ref="O5:P5"/>
    <mergeCell ref="Q6:R6"/>
    <mergeCell ref="A17:B17"/>
    <mergeCell ref="C17:D17"/>
    <mergeCell ref="E17:F17"/>
    <mergeCell ref="K6:L6"/>
    <mergeCell ref="E6:F6"/>
    <mergeCell ref="G6:H6"/>
    <mergeCell ref="I6:J6"/>
    <mergeCell ref="K17:L17"/>
    <mergeCell ref="A7:B7"/>
    <mergeCell ref="C6:D6"/>
    <mergeCell ref="G17:H17"/>
    <mergeCell ref="A31:B31"/>
    <mergeCell ref="A19:B19"/>
    <mergeCell ref="Q18:R18"/>
    <mergeCell ref="M18:N18"/>
    <mergeCell ref="O18:P18"/>
    <mergeCell ref="A29:B29"/>
    <mergeCell ref="C29:D29"/>
    <mergeCell ref="E29:F29"/>
    <mergeCell ref="G29:H29"/>
    <mergeCell ref="I29:J29"/>
    <mergeCell ref="A18:B18"/>
    <mergeCell ref="C18:D18"/>
    <mergeCell ref="E18:F18"/>
    <mergeCell ref="G18:H18"/>
    <mergeCell ref="I18:J18"/>
    <mergeCell ref="A30:B30"/>
    <mergeCell ref="C30:D30"/>
    <mergeCell ref="E30:F30"/>
    <mergeCell ref="G30:H30"/>
    <mergeCell ref="I30:J30"/>
  </mergeCells>
  <pageMargins left="0.31496062992126" right="0.31496062992126" top="0.74803149606299202" bottom="0.74803149606299202" header="0.31496062992126" footer="0.31496062992126"/>
  <pageSetup paperSize="9" scale="48"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434D8-5FE4-4697-B367-2EBF0D62A455}">
  <dimension ref="A1:AE69"/>
  <sheetViews>
    <sheetView zoomScale="50" zoomScaleNormal="50" workbookViewId="0">
      <pane ySplit="4" topLeftCell="A44" activePane="bottomLeft" state="frozen"/>
      <selection activeCell="T50" sqref="T50"/>
      <selection pane="bottomLeft" activeCell="Z49" sqref="Z49"/>
    </sheetView>
  </sheetViews>
  <sheetFormatPr defaultColWidth="8.81640625" defaultRowHeight="14" x14ac:dyDescent="0.3"/>
  <cols>
    <col min="1" max="1" width="45.1796875" style="3" customWidth="1"/>
    <col min="2" max="25" width="8.81640625" style="3"/>
    <col min="26" max="27" width="13.81640625" style="3" customWidth="1"/>
    <col min="28" max="30" width="8.81640625" style="3"/>
    <col min="31" max="31" width="13.1796875" style="3" customWidth="1"/>
    <col min="32" max="16384" width="8.81640625" style="3"/>
  </cols>
  <sheetData>
    <row r="1" spans="1:30" ht="18" x14ac:dyDescent="0.3">
      <c r="A1" s="1096" t="s">
        <v>132</v>
      </c>
      <c r="B1" s="1096"/>
      <c r="C1" s="1096"/>
      <c r="D1" s="1096"/>
      <c r="E1" s="1096"/>
      <c r="F1" s="1096"/>
      <c r="G1" s="1096"/>
      <c r="H1" s="1096"/>
      <c r="I1" s="1096"/>
      <c r="J1" s="1096"/>
      <c r="K1" s="1096"/>
      <c r="L1" s="1096"/>
      <c r="M1" s="1096"/>
      <c r="N1" s="1096"/>
      <c r="O1" s="1096"/>
      <c r="P1" s="1096"/>
      <c r="Q1" s="1096"/>
      <c r="R1" s="1096"/>
      <c r="S1" s="1096"/>
      <c r="T1" s="1096"/>
      <c r="U1" s="1096"/>
      <c r="V1" s="1096"/>
      <c r="W1" s="1096"/>
      <c r="X1" s="1096"/>
      <c r="Y1" s="1096"/>
      <c r="Z1" s="1096"/>
      <c r="AA1" s="1096"/>
    </row>
    <row r="2" spans="1:30" ht="18" x14ac:dyDescent="0.3">
      <c r="A2" s="1096" t="s">
        <v>243</v>
      </c>
      <c r="B2" s="1096"/>
      <c r="C2" s="1096"/>
      <c r="D2" s="1096"/>
      <c r="E2" s="1096"/>
      <c r="F2" s="1096"/>
      <c r="G2" s="1096"/>
      <c r="H2" s="1096"/>
      <c r="I2" s="1096"/>
      <c r="J2" s="1096"/>
      <c r="K2" s="1096"/>
      <c r="L2" s="1096"/>
      <c r="M2" s="1096"/>
      <c r="N2" s="1096"/>
      <c r="O2" s="1096"/>
      <c r="P2" s="1096"/>
      <c r="Q2" s="1096"/>
      <c r="R2" s="1096"/>
      <c r="S2" s="1096"/>
      <c r="T2" s="1096"/>
      <c r="U2" s="1096"/>
      <c r="V2" s="1096"/>
      <c r="W2" s="1096"/>
      <c r="X2" s="1096"/>
      <c r="Y2" s="1096"/>
      <c r="Z2" s="1096"/>
      <c r="AA2" s="1096"/>
    </row>
    <row r="3" spans="1:30" ht="52.75" customHeight="1" x14ac:dyDescent="0.3">
      <c r="A3" s="1220" t="str">
        <f>Ietekme_LM_2026_!B168</f>
        <v>4.8. Cita veida atbalsta sniegšana, pamatojoties uz individuālo vajadzību izvērtējumu, tai skaitā sociālās aprūpes pakalpojuma nodrošināšana dzīvesvietā un pārvietošanās atbalsts, tai skaitā ar specializēto transportu, Ukrainas civiliedzīvotājiem ar smagiem vai ļoti smagiem funkcionāliem traucējumiem, kuri ierobežo personas spējas patstāvīgi pārvietoties un sevi aprūpēt</v>
      </c>
      <c r="B3" s="1220"/>
      <c r="C3" s="1220"/>
      <c r="D3" s="1220"/>
      <c r="E3" s="1220"/>
      <c r="F3" s="1220"/>
      <c r="G3" s="1220"/>
      <c r="H3" s="1220"/>
      <c r="I3" s="1220"/>
      <c r="J3" s="1220"/>
      <c r="K3" s="1220"/>
      <c r="L3" s="1220"/>
      <c r="M3" s="1220"/>
      <c r="N3" s="1220"/>
      <c r="O3" s="1220"/>
      <c r="P3" s="1220"/>
      <c r="Q3" s="1220"/>
      <c r="R3" s="1220"/>
      <c r="S3" s="1220"/>
      <c r="T3" s="1220"/>
      <c r="U3" s="1220"/>
      <c r="V3" s="1220"/>
      <c r="W3" s="1220"/>
      <c r="X3" s="1220"/>
      <c r="Y3" s="1220"/>
      <c r="Z3" s="1220"/>
      <c r="AA3" s="1220"/>
    </row>
    <row r="4" spans="1:30" s="379" customFormat="1" ht="40.4" customHeight="1" x14ac:dyDescent="0.4">
      <c r="A4" s="1216" t="s">
        <v>271</v>
      </c>
      <c r="B4" s="1216"/>
      <c r="C4" s="1216"/>
      <c r="D4" s="1216"/>
      <c r="E4" s="1216"/>
      <c r="F4" s="1216"/>
      <c r="G4" s="1216"/>
      <c r="H4" s="1216"/>
      <c r="I4" s="1216"/>
      <c r="J4" s="1216"/>
      <c r="K4" s="1216"/>
      <c r="L4" s="1216"/>
      <c r="M4" s="1216"/>
      <c r="N4" s="1216"/>
      <c r="O4" s="1216"/>
      <c r="P4" s="1216"/>
      <c r="Q4" s="1216"/>
      <c r="R4" s="1216"/>
      <c r="S4" s="1216"/>
      <c r="T4" s="1216"/>
      <c r="U4" s="1216"/>
      <c r="V4" s="1216"/>
      <c r="W4" s="1216"/>
      <c r="X4" s="1216"/>
      <c r="Y4" s="1216"/>
      <c r="Z4" s="1216"/>
      <c r="AA4" s="1216"/>
    </row>
    <row r="5" spans="1:30" x14ac:dyDescent="0.3">
      <c r="A5" s="523" t="s">
        <v>187</v>
      </c>
      <c r="B5" s="33"/>
      <c r="C5" s="33"/>
      <c r="D5" s="33"/>
      <c r="E5" s="33"/>
      <c r="F5" s="33"/>
      <c r="G5" s="33"/>
      <c r="H5" s="33"/>
      <c r="I5" s="33"/>
      <c r="J5" s="33"/>
      <c r="K5" s="33"/>
      <c r="L5" s="33"/>
      <c r="M5" s="33"/>
      <c r="N5" s="33"/>
      <c r="O5" s="33"/>
      <c r="P5" s="33"/>
      <c r="Q5" s="33"/>
      <c r="R5" s="33"/>
      <c r="S5" s="33"/>
      <c r="T5" s="33"/>
      <c r="U5" s="33"/>
      <c r="V5" s="33"/>
      <c r="W5" s="33"/>
      <c r="X5" s="33"/>
      <c r="Y5" s="33"/>
      <c r="Z5" s="33"/>
    </row>
    <row r="6" spans="1:30" x14ac:dyDescent="0.3">
      <c r="A6" s="1107" t="s">
        <v>38</v>
      </c>
      <c r="B6" s="1106" t="s">
        <v>82</v>
      </c>
      <c r="C6" s="1106"/>
      <c r="D6" s="1106" t="s">
        <v>82</v>
      </c>
      <c r="E6" s="1106"/>
      <c r="F6" s="1106" t="s">
        <v>82</v>
      </c>
      <c r="G6" s="1106"/>
      <c r="H6" s="1106" t="s">
        <v>82</v>
      </c>
      <c r="I6" s="1106"/>
      <c r="J6" s="1106" t="s">
        <v>82</v>
      </c>
      <c r="K6" s="1106"/>
      <c r="L6" s="1106" t="s">
        <v>82</v>
      </c>
      <c r="M6" s="1106"/>
      <c r="N6" s="1106" t="s">
        <v>82</v>
      </c>
      <c r="O6" s="1106"/>
      <c r="P6" s="1106" t="s">
        <v>82</v>
      </c>
      <c r="Q6" s="1106"/>
      <c r="R6" s="1122" t="s">
        <v>82</v>
      </c>
      <c r="S6" s="1122"/>
      <c r="T6" s="1122" t="s">
        <v>82</v>
      </c>
      <c r="U6" s="1122"/>
      <c r="V6" s="1122" t="s">
        <v>82</v>
      </c>
      <c r="W6" s="1122"/>
      <c r="X6" s="1122" t="s">
        <v>82</v>
      </c>
      <c r="Y6" s="1217"/>
      <c r="Z6" s="450" t="s">
        <v>82</v>
      </c>
    </row>
    <row r="7" spans="1:30" ht="14.5" customHeight="1" x14ac:dyDescent="0.3">
      <c r="A7" s="1107"/>
      <c r="B7" s="1108" t="s">
        <v>87</v>
      </c>
      <c r="C7" s="1108"/>
      <c r="D7" s="1108" t="s">
        <v>88</v>
      </c>
      <c r="E7" s="1108"/>
      <c r="F7" s="1108" t="s">
        <v>14</v>
      </c>
      <c r="G7" s="1108"/>
      <c r="H7" s="1108" t="s">
        <v>15</v>
      </c>
      <c r="I7" s="1108"/>
      <c r="J7" s="1158" t="s">
        <v>16</v>
      </c>
      <c r="K7" s="1159"/>
      <c r="L7" s="1108" t="s">
        <v>17</v>
      </c>
      <c r="M7" s="1108"/>
      <c r="N7" s="1158" t="s">
        <v>18</v>
      </c>
      <c r="O7" s="1159"/>
      <c r="P7" s="1108" t="s">
        <v>19</v>
      </c>
      <c r="Q7" s="1108"/>
      <c r="R7" s="1108" t="s">
        <v>20</v>
      </c>
      <c r="S7" s="1108"/>
      <c r="T7" s="1108" t="s">
        <v>21</v>
      </c>
      <c r="U7" s="1108"/>
      <c r="V7" s="1108" t="s">
        <v>22</v>
      </c>
      <c r="W7" s="1108"/>
      <c r="X7" s="1108" t="s">
        <v>23</v>
      </c>
      <c r="Y7" s="1159"/>
      <c r="Z7" s="173" t="s">
        <v>36</v>
      </c>
    </row>
    <row r="8" spans="1:30" x14ac:dyDescent="0.3">
      <c r="A8" s="1107"/>
      <c r="B8" s="159"/>
      <c r="C8" s="160" t="s">
        <v>24</v>
      </c>
      <c r="D8" s="161"/>
      <c r="E8" s="162" t="s">
        <v>24</v>
      </c>
      <c r="F8" s="159"/>
      <c r="G8" s="160" t="s">
        <v>24</v>
      </c>
      <c r="H8" s="161"/>
      <c r="I8" s="162" t="s">
        <v>24</v>
      </c>
      <c r="J8" s="159"/>
      <c r="K8" s="162" t="s">
        <v>24</v>
      </c>
      <c r="L8" s="159"/>
      <c r="M8" s="162" t="s">
        <v>24</v>
      </c>
      <c r="N8" s="159"/>
      <c r="O8" s="162" t="s">
        <v>24</v>
      </c>
      <c r="P8" s="159"/>
      <c r="Q8" s="162" t="s">
        <v>24</v>
      </c>
      <c r="R8" s="163"/>
      <c r="S8" s="190" t="s">
        <v>24</v>
      </c>
      <c r="T8" s="165"/>
      <c r="U8" s="190" t="s">
        <v>24</v>
      </c>
      <c r="V8" s="165"/>
      <c r="W8" s="190" t="s">
        <v>24</v>
      </c>
      <c r="X8" s="165"/>
      <c r="Y8" s="195" t="s">
        <v>24</v>
      </c>
      <c r="Z8" s="166" t="s">
        <v>24</v>
      </c>
    </row>
    <row r="9" spans="1:30" ht="60.65" customHeight="1" x14ac:dyDescent="0.3">
      <c r="A9" s="1107"/>
      <c r="B9" s="167" t="s">
        <v>26</v>
      </c>
      <c r="C9" s="168" t="s">
        <v>27</v>
      </c>
      <c r="D9" s="169" t="s">
        <v>26</v>
      </c>
      <c r="E9" s="170" t="s">
        <v>27</v>
      </c>
      <c r="F9" s="167" t="s">
        <v>26</v>
      </c>
      <c r="G9" s="168" t="s">
        <v>27</v>
      </c>
      <c r="H9" s="169" t="s">
        <v>26</v>
      </c>
      <c r="I9" s="170" t="s">
        <v>27</v>
      </c>
      <c r="J9" s="167" t="s">
        <v>26</v>
      </c>
      <c r="K9" s="170" t="s">
        <v>27</v>
      </c>
      <c r="L9" s="167" t="s">
        <v>26</v>
      </c>
      <c r="M9" s="170" t="s">
        <v>27</v>
      </c>
      <c r="N9" s="167" t="s">
        <v>26</v>
      </c>
      <c r="O9" s="170" t="s">
        <v>27</v>
      </c>
      <c r="P9" s="167" t="s">
        <v>26</v>
      </c>
      <c r="Q9" s="170" t="s">
        <v>27</v>
      </c>
      <c r="R9" s="449" t="s">
        <v>26</v>
      </c>
      <c r="S9" s="170" t="s">
        <v>27</v>
      </c>
      <c r="T9" s="171" t="s">
        <v>26</v>
      </c>
      <c r="U9" s="170" t="s">
        <v>27</v>
      </c>
      <c r="V9" s="171" t="s">
        <v>26</v>
      </c>
      <c r="W9" s="170" t="s">
        <v>27</v>
      </c>
      <c r="X9" s="171" t="s">
        <v>26</v>
      </c>
      <c r="Y9" s="172" t="s">
        <v>27</v>
      </c>
      <c r="Z9" s="173" t="s">
        <v>190</v>
      </c>
    </row>
    <row r="10" spans="1:30" x14ac:dyDescent="0.3">
      <c r="A10" s="174" t="s">
        <v>39</v>
      </c>
      <c r="B10" s="196">
        <v>1</v>
      </c>
      <c r="C10" s="179">
        <v>2</v>
      </c>
      <c r="D10" s="197">
        <v>3</v>
      </c>
      <c r="E10" s="198">
        <v>4</v>
      </c>
      <c r="F10" s="196">
        <v>5</v>
      </c>
      <c r="G10" s="179">
        <v>6</v>
      </c>
      <c r="H10" s="197">
        <v>7</v>
      </c>
      <c r="I10" s="198">
        <v>8</v>
      </c>
      <c r="J10" s="196">
        <v>9</v>
      </c>
      <c r="K10" s="198">
        <v>10</v>
      </c>
      <c r="L10" s="196">
        <v>11</v>
      </c>
      <c r="M10" s="198">
        <v>12</v>
      </c>
      <c r="N10" s="196">
        <v>13</v>
      </c>
      <c r="O10" s="198">
        <v>14</v>
      </c>
      <c r="P10" s="196">
        <v>15</v>
      </c>
      <c r="Q10" s="198">
        <v>16</v>
      </c>
      <c r="R10" s="179">
        <v>17</v>
      </c>
      <c r="S10" s="198">
        <v>18</v>
      </c>
      <c r="T10" s="181">
        <v>19</v>
      </c>
      <c r="U10" s="198">
        <v>20</v>
      </c>
      <c r="V10" s="181">
        <v>21</v>
      </c>
      <c r="W10" s="198">
        <v>22</v>
      </c>
      <c r="X10" s="181">
        <v>23</v>
      </c>
      <c r="Y10" s="199">
        <v>24</v>
      </c>
      <c r="Z10" s="182">
        <v>25</v>
      </c>
    </row>
    <row r="11" spans="1:30" ht="52.4" customHeight="1" x14ac:dyDescent="0.3">
      <c r="A11" s="183" t="s">
        <v>40</v>
      </c>
      <c r="B11" s="184">
        <v>573</v>
      </c>
      <c r="C11" s="187">
        <v>50357.46</v>
      </c>
      <c r="D11" s="184">
        <v>657</v>
      </c>
      <c r="E11" s="187">
        <v>60892.600000000006</v>
      </c>
      <c r="F11" s="184">
        <v>715</v>
      </c>
      <c r="G11" s="187">
        <v>80793.959999999992</v>
      </c>
      <c r="H11" s="184">
        <v>660</v>
      </c>
      <c r="I11" s="187">
        <v>77020.940000000017</v>
      </c>
      <c r="J11" s="185">
        <v>540</v>
      </c>
      <c r="K11" s="188">
        <v>61048.880000000012</v>
      </c>
      <c r="L11" s="184">
        <v>507</v>
      </c>
      <c r="M11" s="187">
        <v>75253.58</v>
      </c>
      <c r="N11" s="185">
        <v>475</v>
      </c>
      <c r="O11" s="188">
        <v>76579.880000000019</v>
      </c>
      <c r="P11" s="184">
        <v>804</v>
      </c>
      <c r="Q11" s="188">
        <v>91966.489999999991</v>
      </c>
      <c r="R11" s="525">
        <v>696</v>
      </c>
      <c r="S11" s="188">
        <v>82765.310000000012</v>
      </c>
      <c r="T11" s="525">
        <v>573</v>
      </c>
      <c r="U11" s="188">
        <v>83864.289999999994</v>
      </c>
      <c r="V11" s="525">
        <v>473</v>
      </c>
      <c r="W11" s="188">
        <v>74808</v>
      </c>
      <c r="X11" s="525">
        <v>499</v>
      </c>
      <c r="Y11" s="188">
        <v>78327.81</v>
      </c>
      <c r="Z11" s="189">
        <f t="shared" ref="Z11:Z17" si="0">G11+I11+K11+M11+O11+Q11+S11+U11+W11+Y11+E11+C11</f>
        <v>893679.20000000007</v>
      </c>
      <c r="AB11" s="6"/>
      <c r="AC11" s="6"/>
      <c r="AD11" s="6"/>
    </row>
    <row r="12" spans="1:30" ht="52.4" customHeight="1" x14ac:dyDescent="0.3">
      <c r="A12" s="183" t="s">
        <v>41</v>
      </c>
      <c r="B12" s="184">
        <v>5</v>
      </c>
      <c r="C12" s="187">
        <v>1146.28</v>
      </c>
      <c r="D12" s="184">
        <v>6</v>
      </c>
      <c r="E12" s="187">
        <v>1437.05</v>
      </c>
      <c r="F12" s="184">
        <v>8</v>
      </c>
      <c r="G12" s="187">
        <v>1524.47</v>
      </c>
      <c r="H12" s="184">
        <v>7</v>
      </c>
      <c r="I12" s="187">
        <v>1701.9</v>
      </c>
      <c r="J12" s="185">
        <v>5</v>
      </c>
      <c r="K12" s="188">
        <v>1273.94</v>
      </c>
      <c r="L12" s="184">
        <v>9</v>
      </c>
      <c r="M12" s="187">
        <v>3780.06</v>
      </c>
      <c r="N12" s="185">
        <v>8</v>
      </c>
      <c r="O12" s="188">
        <v>1760.17</v>
      </c>
      <c r="P12" s="184">
        <v>8</v>
      </c>
      <c r="Q12" s="187">
        <v>2788.94</v>
      </c>
      <c r="R12" s="525">
        <v>8</v>
      </c>
      <c r="S12" s="187">
        <v>2346.73</v>
      </c>
      <c r="T12" s="525">
        <v>8</v>
      </c>
      <c r="U12" s="187">
        <v>2420.8500000000004</v>
      </c>
      <c r="V12" s="525">
        <v>7</v>
      </c>
      <c r="W12" s="187">
        <v>1917.13</v>
      </c>
      <c r="X12" s="525">
        <v>8</v>
      </c>
      <c r="Y12" s="188">
        <v>2325.9700000000003</v>
      </c>
      <c r="Z12" s="189">
        <f t="shared" si="0"/>
        <v>24423.489999999998</v>
      </c>
      <c r="AD12" s="6"/>
    </row>
    <row r="13" spans="1:30" ht="52.4" customHeight="1" x14ac:dyDescent="0.3">
      <c r="A13" s="183" t="s">
        <v>30</v>
      </c>
      <c r="B13" s="184">
        <v>0</v>
      </c>
      <c r="C13" s="187">
        <v>0</v>
      </c>
      <c r="D13" s="184">
        <v>0</v>
      </c>
      <c r="E13" s="187">
        <v>0</v>
      </c>
      <c r="F13" s="184">
        <v>0</v>
      </c>
      <c r="G13" s="187">
        <v>0</v>
      </c>
      <c r="H13" s="184">
        <v>0</v>
      </c>
      <c r="I13" s="187">
        <v>0</v>
      </c>
      <c r="J13" s="185">
        <v>0</v>
      </c>
      <c r="K13" s="188">
        <v>0</v>
      </c>
      <c r="L13" s="184">
        <v>0</v>
      </c>
      <c r="M13" s="187">
        <v>0</v>
      </c>
      <c r="N13" s="185">
        <v>1</v>
      </c>
      <c r="O13" s="188">
        <v>125</v>
      </c>
      <c r="P13" s="184">
        <v>0</v>
      </c>
      <c r="Q13" s="188">
        <v>0</v>
      </c>
      <c r="R13" s="525">
        <v>0</v>
      </c>
      <c r="S13" s="188">
        <v>0</v>
      </c>
      <c r="T13" s="525">
        <v>0</v>
      </c>
      <c r="U13" s="188">
        <v>0</v>
      </c>
      <c r="V13" s="525">
        <v>0</v>
      </c>
      <c r="W13" s="188">
        <v>0</v>
      </c>
      <c r="X13" s="525">
        <v>1</v>
      </c>
      <c r="Y13" s="188">
        <v>200</v>
      </c>
      <c r="Z13" s="189">
        <f t="shared" si="0"/>
        <v>325</v>
      </c>
      <c r="AD13" s="6"/>
    </row>
    <row r="14" spans="1:30" ht="52.4" customHeight="1" x14ac:dyDescent="0.3">
      <c r="A14" s="183" t="s">
        <v>31</v>
      </c>
      <c r="B14" s="184">
        <v>0</v>
      </c>
      <c r="C14" s="187">
        <v>0</v>
      </c>
      <c r="D14" s="184">
        <v>6</v>
      </c>
      <c r="E14" s="187">
        <v>1657.28</v>
      </c>
      <c r="F14" s="184">
        <v>4</v>
      </c>
      <c r="G14" s="187">
        <v>242</v>
      </c>
      <c r="H14" s="184">
        <v>4</v>
      </c>
      <c r="I14" s="187">
        <v>864.38</v>
      </c>
      <c r="J14" s="185">
        <v>2</v>
      </c>
      <c r="K14" s="188">
        <v>1083.2</v>
      </c>
      <c r="L14" s="184">
        <v>2</v>
      </c>
      <c r="M14" s="187">
        <v>4205.6000000000004</v>
      </c>
      <c r="N14" s="185">
        <v>2</v>
      </c>
      <c r="O14" s="188">
        <v>270</v>
      </c>
      <c r="P14" s="184">
        <v>1</v>
      </c>
      <c r="Q14" s="188">
        <v>162</v>
      </c>
      <c r="R14" s="525">
        <v>1</v>
      </c>
      <c r="S14" s="188">
        <v>111.87</v>
      </c>
      <c r="T14" s="525">
        <v>1</v>
      </c>
      <c r="U14" s="188">
        <v>372.9</v>
      </c>
      <c r="V14" s="525">
        <v>1</v>
      </c>
      <c r="W14" s="188">
        <v>134.24</v>
      </c>
      <c r="X14" s="525">
        <v>1</v>
      </c>
      <c r="Y14" s="188">
        <v>447.48</v>
      </c>
      <c r="Z14" s="189">
        <f t="shared" si="0"/>
        <v>9550.9500000000007</v>
      </c>
      <c r="AD14" s="6"/>
    </row>
    <row r="15" spans="1:30" ht="52.4" customHeight="1" x14ac:dyDescent="0.3">
      <c r="A15" s="183" t="s">
        <v>42</v>
      </c>
      <c r="B15" s="184">
        <v>1</v>
      </c>
      <c r="C15" s="187">
        <v>713</v>
      </c>
      <c r="D15" s="184">
        <v>1</v>
      </c>
      <c r="E15" s="187">
        <v>902.1</v>
      </c>
      <c r="F15" s="184">
        <v>1</v>
      </c>
      <c r="G15" s="187">
        <v>814.8</v>
      </c>
      <c r="H15" s="184">
        <v>1</v>
      </c>
      <c r="I15" s="187">
        <v>902.1</v>
      </c>
      <c r="J15" s="185">
        <v>0</v>
      </c>
      <c r="K15" s="188">
        <v>0</v>
      </c>
      <c r="L15" s="184">
        <v>1</v>
      </c>
      <c r="M15" s="187">
        <v>420</v>
      </c>
      <c r="N15" s="185">
        <v>0</v>
      </c>
      <c r="O15" s="188">
        <v>0</v>
      </c>
      <c r="P15" s="184">
        <v>0</v>
      </c>
      <c r="Q15" s="188">
        <v>0</v>
      </c>
      <c r="R15" s="525">
        <v>0</v>
      </c>
      <c r="S15" s="188">
        <v>0</v>
      </c>
      <c r="T15" s="525">
        <v>0</v>
      </c>
      <c r="U15" s="188">
        <v>0</v>
      </c>
      <c r="V15" s="525">
        <v>0</v>
      </c>
      <c r="W15" s="188">
        <v>0</v>
      </c>
      <c r="X15" s="525">
        <v>0</v>
      </c>
      <c r="Y15" s="188">
        <v>0</v>
      </c>
      <c r="Z15" s="189">
        <f t="shared" si="0"/>
        <v>3752</v>
      </c>
      <c r="AD15" s="6"/>
    </row>
    <row r="16" spans="1:30" ht="52.4" customHeight="1" x14ac:dyDescent="0.3">
      <c r="A16" s="183" t="s">
        <v>43</v>
      </c>
      <c r="B16" s="184">
        <v>8</v>
      </c>
      <c r="C16" s="187">
        <v>9667.9000000000015</v>
      </c>
      <c r="D16" s="184">
        <v>11</v>
      </c>
      <c r="E16" s="187">
        <v>11290.470000000001</v>
      </c>
      <c r="F16" s="184">
        <v>13</v>
      </c>
      <c r="G16" s="187">
        <v>13814.070000000002</v>
      </c>
      <c r="H16" s="184">
        <v>13</v>
      </c>
      <c r="I16" s="187">
        <v>16908.62</v>
      </c>
      <c r="J16" s="185">
        <v>15</v>
      </c>
      <c r="K16" s="188">
        <v>17091.38</v>
      </c>
      <c r="L16" s="184">
        <v>19</v>
      </c>
      <c r="M16" s="187">
        <v>26343.069999999996</v>
      </c>
      <c r="N16" s="185">
        <v>20</v>
      </c>
      <c r="O16" s="188">
        <v>24703.349999999995</v>
      </c>
      <c r="P16" s="184">
        <v>19</v>
      </c>
      <c r="Q16" s="188">
        <v>23612.55</v>
      </c>
      <c r="R16" s="525">
        <v>24</v>
      </c>
      <c r="S16" s="188">
        <v>28754.999999999996</v>
      </c>
      <c r="T16" s="525">
        <v>23</v>
      </c>
      <c r="U16" s="188">
        <v>26894.54</v>
      </c>
      <c r="V16" s="525">
        <v>22</v>
      </c>
      <c r="W16" s="188">
        <v>27116.83</v>
      </c>
      <c r="X16" s="525">
        <v>23</v>
      </c>
      <c r="Y16" s="188">
        <v>29775.09</v>
      </c>
      <c r="Z16" s="189">
        <f t="shared" si="0"/>
        <v>255972.86999999997</v>
      </c>
      <c r="AD16" s="6"/>
    </row>
    <row r="17" spans="1:30" ht="97" customHeight="1" x14ac:dyDescent="0.3">
      <c r="A17" s="183" t="s">
        <v>191</v>
      </c>
      <c r="B17" s="184" t="s">
        <v>32</v>
      </c>
      <c r="C17" s="187">
        <f>92333.29-11084.2</f>
        <v>81249.09</v>
      </c>
      <c r="D17" s="184" t="s">
        <v>32</v>
      </c>
      <c r="E17" s="187">
        <f>94416.37-13378.26</f>
        <v>81038.11</v>
      </c>
      <c r="F17" s="184" t="s">
        <v>32</v>
      </c>
      <c r="G17" s="187">
        <f>97920.83-14922.86</f>
        <v>82997.97</v>
      </c>
      <c r="H17" s="184" t="s">
        <v>32</v>
      </c>
      <c r="I17" s="187">
        <f>116011.74-15359.09</f>
        <v>100652.65000000001</v>
      </c>
      <c r="J17" s="185" t="s">
        <v>32</v>
      </c>
      <c r="K17" s="188">
        <f>95675.24-16443.34</f>
        <v>79231.900000000009</v>
      </c>
      <c r="L17" s="184" t="s">
        <v>32</v>
      </c>
      <c r="M17" s="187">
        <f>131764.19-16585.19</f>
        <v>115179</v>
      </c>
      <c r="N17" s="185" t="s">
        <v>32</v>
      </c>
      <c r="O17" s="188">
        <f>134089.47-18761.48</f>
        <v>115327.99</v>
      </c>
      <c r="P17" s="184" t="s">
        <v>32</v>
      </c>
      <c r="Q17" s="188">
        <f>99450.75-19920.96</f>
        <v>79529.790000000008</v>
      </c>
      <c r="R17" s="525" t="s">
        <v>32</v>
      </c>
      <c r="S17" s="188">
        <f>79094.55-21712.56</f>
        <v>57381.990000000005</v>
      </c>
      <c r="T17" s="525" t="str">
        <f t="shared" ref="T17:X17" si="1">R17</f>
        <v>x</v>
      </c>
      <c r="U17" s="188">
        <f>100267.35-22409.94</f>
        <v>77857.41</v>
      </c>
      <c r="V17" s="525" t="str">
        <f t="shared" si="1"/>
        <v>x</v>
      </c>
      <c r="W17" s="188">
        <f>100099.74-22923.54</f>
        <v>77176.200000000012</v>
      </c>
      <c r="X17" s="525" t="str">
        <f t="shared" si="1"/>
        <v>x</v>
      </c>
      <c r="Y17" s="188">
        <f>107856.85-22946.02</f>
        <v>84910.83</v>
      </c>
      <c r="Z17" s="189">
        <f t="shared" si="0"/>
        <v>1032532.93</v>
      </c>
      <c r="AA17" s="534"/>
      <c r="AD17" s="6"/>
    </row>
    <row r="18" spans="1:30" x14ac:dyDescent="0.3">
      <c r="A18" s="378"/>
      <c r="B18" s="378"/>
      <c r="C18" s="378"/>
      <c r="D18" s="378"/>
      <c r="E18" s="378"/>
      <c r="F18" s="378"/>
      <c r="G18" s="378"/>
      <c r="H18" s="378"/>
      <c r="I18" s="378"/>
      <c r="J18" s="378"/>
      <c r="K18" s="378"/>
      <c r="L18" s="378"/>
      <c r="M18" s="378"/>
      <c r="N18" s="378"/>
      <c r="O18" s="378"/>
      <c r="P18" s="33"/>
      <c r="Q18" s="33"/>
      <c r="R18" s="33"/>
      <c r="S18" s="33"/>
      <c r="T18" s="33"/>
      <c r="U18" s="33"/>
      <c r="V18" s="33"/>
      <c r="W18" s="33"/>
      <c r="X18" s="33"/>
      <c r="Y18" s="33"/>
      <c r="Z18" s="243">
        <f>SUM(Z11:Z17)</f>
        <v>2220236.44</v>
      </c>
    </row>
    <row r="20" spans="1:30" x14ac:dyDescent="0.3">
      <c r="A20" s="1107" t="s">
        <v>38</v>
      </c>
      <c r="B20" s="1122" t="s">
        <v>140</v>
      </c>
      <c r="C20" s="1122"/>
      <c r="D20" s="1122" t="s">
        <v>140</v>
      </c>
      <c r="E20" s="1122"/>
      <c r="F20" s="1122" t="s">
        <v>140</v>
      </c>
      <c r="G20" s="1122"/>
      <c r="H20" s="1122" t="s">
        <v>140</v>
      </c>
      <c r="I20" s="1122"/>
      <c r="J20" s="1122" t="s">
        <v>140</v>
      </c>
      <c r="K20" s="1122"/>
      <c r="L20" s="1122" t="s">
        <v>140</v>
      </c>
      <c r="M20" s="1122"/>
      <c r="N20" s="1122" t="s">
        <v>140</v>
      </c>
      <c r="O20" s="1122"/>
      <c r="P20" s="1122" t="s">
        <v>140</v>
      </c>
      <c r="Q20" s="1122"/>
      <c r="R20" s="1122" t="s">
        <v>140</v>
      </c>
      <c r="S20" s="1122"/>
      <c r="T20" s="1122" t="s">
        <v>140</v>
      </c>
      <c r="U20" s="1122"/>
      <c r="V20" s="1122" t="s">
        <v>140</v>
      </c>
      <c r="W20" s="1122"/>
      <c r="X20" s="1122" t="s">
        <v>140</v>
      </c>
      <c r="Y20" s="1122"/>
      <c r="Z20" s="450" t="s">
        <v>140</v>
      </c>
    </row>
    <row r="21" spans="1:30" ht="14.5" customHeight="1" x14ac:dyDescent="0.3">
      <c r="A21" s="1107"/>
      <c r="B21" s="1122" t="s">
        <v>87</v>
      </c>
      <c r="C21" s="1122"/>
      <c r="D21" s="1122" t="s">
        <v>88</v>
      </c>
      <c r="E21" s="1122"/>
      <c r="F21" s="1122" t="s">
        <v>14</v>
      </c>
      <c r="G21" s="1122"/>
      <c r="H21" s="1122" t="s">
        <v>15</v>
      </c>
      <c r="I21" s="1122"/>
      <c r="J21" s="1218" t="s">
        <v>16</v>
      </c>
      <c r="K21" s="1217"/>
      <c r="L21" s="1122" t="s">
        <v>17</v>
      </c>
      <c r="M21" s="1122"/>
      <c r="N21" s="1218" t="s">
        <v>18</v>
      </c>
      <c r="O21" s="1217"/>
      <c r="P21" s="1122" t="s">
        <v>19</v>
      </c>
      <c r="Q21" s="1122"/>
      <c r="R21" s="1218" t="s">
        <v>20</v>
      </c>
      <c r="S21" s="1122"/>
      <c r="T21" s="1122" t="s">
        <v>21</v>
      </c>
      <c r="U21" s="1122"/>
      <c r="V21" s="1122" t="s">
        <v>22</v>
      </c>
      <c r="W21" s="1122"/>
      <c r="X21" s="1122" t="s">
        <v>23</v>
      </c>
      <c r="Y21" s="1122"/>
      <c r="Z21" s="173" t="s">
        <v>36</v>
      </c>
    </row>
    <row r="22" spans="1:30" x14ac:dyDescent="0.3">
      <c r="A22" s="1107"/>
      <c r="B22" s="191"/>
      <c r="C22" s="192" t="s">
        <v>24</v>
      </c>
      <c r="D22" s="193"/>
      <c r="E22" s="194" t="s">
        <v>24</v>
      </c>
      <c r="F22" s="191"/>
      <c r="G22" s="192" t="s">
        <v>24</v>
      </c>
      <c r="H22" s="193"/>
      <c r="I22" s="194" t="s">
        <v>24</v>
      </c>
      <c r="J22" s="191"/>
      <c r="K22" s="194" t="s">
        <v>24</v>
      </c>
      <c r="L22" s="191"/>
      <c r="M22" s="194" t="s">
        <v>24</v>
      </c>
      <c r="N22" s="191"/>
      <c r="O22" s="194" t="s">
        <v>24</v>
      </c>
      <c r="P22" s="191"/>
      <c r="Q22" s="194" t="s">
        <v>24</v>
      </c>
      <c r="R22" s="163"/>
      <c r="S22" s="190" t="s">
        <v>24</v>
      </c>
      <c r="T22" s="165"/>
      <c r="U22" s="190" t="s">
        <v>24</v>
      </c>
      <c r="V22" s="165"/>
      <c r="W22" s="190" t="s">
        <v>24</v>
      </c>
      <c r="X22" s="165"/>
      <c r="Y22" s="190" t="s">
        <v>24</v>
      </c>
      <c r="Z22" s="166" t="s">
        <v>24</v>
      </c>
    </row>
    <row r="23" spans="1:30" ht="60.65" customHeight="1" x14ac:dyDescent="0.3">
      <c r="A23" s="1107"/>
      <c r="B23" s="200" t="s">
        <v>26</v>
      </c>
      <c r="C23" s="168" t="s">
        <v>27</v>
      </c>
      <c r="D23" s="201" t="s">
        <v>26</v>
      </c>
      <c r="E23" s="168" t="s">
        <v>27</v>
      </c>
      <c r="F23" s="200" t="s">
        <v>26</v>
      </c>
      <c r="G23" s="168" t="s">
        <v>27</v>
      </c>
      <c r="H23" s="200" t="s">
        <v>26</v>
      </c>
      <c r="I23" s="168" t="s">
        <v>27</v>
      </c>
      <c r="J23" s="200" t="s">
        <v>26</v>
      </c>
      <c r="K23" s="168" t="s">
        <v>27</v>
      </c>
      <c r="L23" s="200" t="s">
        <v>26</v>
      </c>
      <c r="M23" s="168" t="s">
        <v>27</v>
      </c>
      <c r="N23" s="200" t="s">
        <v>26</v>
      </c>
      <c r="O23" s="168" t="s">
        <v>27</v>
      </c>
      <c r="P23" s="200" t="s">
        <v>26</v>
      </c>
      <c r="Q23" s="168" t="s">
        <v>27</v>
      </c>
      <c r="R23" s="200" t="s">
        <v>26</v>
      </c>
      <c r="S23" s="168" t="s">
        <v>27</v>
      </c>
      <c r="T23" s="171" t="s">
        <v>26</v>
      </c>
      <c r="U23" s="168" t="s">
        <v>27</v>
      </c>
      <c r="V23" s="171" t="s">
        <v>26</v>
      </c>
      <c r="W23" s="168" t="s">
        <v>27</v>
      </c>
      <c r="X23" s="171" t="s">
        <v>26</v>
      </c>
      <c r="Y23" s="168" t="s">
        <v>27</v>
      </c>
      <c r="Z23" s="173" t="s">
        <v>190</v>
      </c>
    </row>
    <row r="24" spans="1:30" x14ac:dyDescent="0.3">
      <c r="A24" s="174" t="s">
        <v>39</v>
      </c>
      <c r="B24" s="196">
        <v>1</v>
      </c>
      <c r="C24" s="179">
        <v>2</v>
      </c>
      <c r="D24" s="197">
        <v>3</v>
      </c>
      <c r="E24" s="198">
        <v>4</v>
      </c>
      <c r="F24" s="196">
        <v>5</v>
      </c>
      <c r="G24" s="179">
        <v>6</v>
      </c>
      <c r="H24" s="197">
        <v>7</v>
      </c>
      <c r="I24" s="198">
        <v>8</v>
      </c>
      <c r="J24" s="196">
        <v>9</v>
      </c>
      <c r="K24" s="198">
        <v>10</v>
      </c>
      <c r="L24" s="196">
        <v>11</v>
      </c>
      <c r="M24" s="198">
        <v>12</v>
      </c>
      <c r="N24" s="196">
        <v>13</v>
      </c>
      <c r="O24" s="198">
        <v>14</v>
      </c>
      <c r="P24" s="196">
        <v>15</v>
      </c>
      <c r="Q24" s="198">
        <v>16</v>
      </c>
      <c r="R24" s="179">
        <v>17</v>
      </c>
      <c r="S24" s="181">
        <v>18</v>
      </c>
      <c r="T24" s="181">
        <v>19</v>
      </c>
      <c r="U24" s="181">
        <v>20</v>
      </c>
      <c r="V24" s="181">
        <v>21</v>
      </c>
      <c r="W24" s="181">
        <v>22</v>
      </c>
      <c r="X24" s="181">
        <v>23</v>
      </c>
      <c r="Y24" s="181">
        <v>24</v>
      </c>
      <c r="Z24" s="182">
        <v>25</v>
      </c>
    </row>
    <row r="25" spans="1:30" ht="58.4" customHeight="1" x14ac:dyDescent="0.3">
      <c r="A25" s="183" t="s">
        <v>40</v>
      </c>
      <c r="B25" s="525">
        <v>508</v>
      </c>
      <c r="C25" s="187">
        <v>62220.1</v>
      </c>
      <c r="D25" s="184">
        <v>551</v>
      </c>
      <c r="E25" s="187">
        <v>73173.179999999993</v>
      </c>
      <c r="F25" s="184">
        <v>536</v>
      </c>
      <c r="G25" s="187">
        <v>63243.59</v>
      </c>
      <c r="H25" s="184">
        <v>522</v>
      </c>
      <c r="I25" s="187">
        <v>74846.5</v>
      </c>
      <c r="J25" s="184">
        <v>472</v>
      </c>
      <c r="K25" s="187">
        <v>70700.66</v>
      </c>
      <c r="L25" s="184">
        <v>472</v>
      </c>
      <c r="M25" s="187">
        <v>69899.7</v>
      </c>
      <c r="N25" s="184">
        <v>492</v>
      </c>
      <c r="O25" s="187">
        <v>76212.600000000006</v>
      </c>
      <c r="P25" s="184">
        <v>481</v>
      </c>
      <c r="Q25" s="187">
        <v>79029.259999999995</v>
      </c>
      <c r="R25" s="184">
        <v>536</v>
      </c>
      <c r="S25" s="187">
        <v>82878.399999999994</v>
      </c>
      <c r="T25" s="184">
        <v>574</v>
      </c>
      <c r="U25" s="187">
        <v>81344.399999999994</v>
      </c>
      <c r="V25" s="184">
        <v>415</v>
      </c>
      <c r="W25" s="187">
        <v>78730.039999999994</v>
      </c>
      <c r="X25" s="184">
        <v>474</v>
      </c>
      <c r="Y25" s="187">
        <v>77388.289999999994</v>
      </c>
      <c r="Z25" s="526">
        <f>ROUND(G25+I25+K25+M25+O25+Q25+S25+U25+W25+Y25+E25+C25,)</f>
        <v>889667</v>
      </c>
    </row>
    <row r="26" spans="1:30" ht="58.4" customHeight="1" x14ac:dyDescent="0.3">
      <c r="A26" s="183" t="s">
        <v>272</v>
      </c>
      <c r="B26" s="525">
        <v>0</v>
      </c>
      <c r="C26" s="187">
        <v>0</v>
      </c>
      <c r="D26" s="184">
        <v>1</v>
      </c>
      <c r="E26" s="187">
        <v>325.2</v>
      </c>
      <c r="F26" s="184">
        <v>1</v>
      </c>
      <c r="G26" s="187">
        <v>314.36</v>
      </c>
      <c r="H26" s="184">
        <v>0</v>
      </c>
      <c r="I26" s="187">
        <v>0</v>
      </c>
      <c r="J26" s="184">
        <v>0</v>
      </c>
      <c r="K26" s="187">
        <v>0</v>
      </c>
      <c r="L26" s="184">
        <v>0</v>
      </c>
      <c r="M26" s="187">
        <v>0</v>
      </c>
      <c r="N26" s="184">
        <v>0</v>
      </c>
      <c r="O26" s="187">
        <v>0</v>
      </c>
      <c r="P26" s="184">
        <v>0</v>
      </c>
      <c r="Q26" s="187">
        <v>0</v>
      </c>
      <c r="R26" s="184">
        <v>0</v>
      </c>
      <c r="S26" s="187">
        <v>0</v>
      </c>
      <c r="T26" s="184">
        <f t="shared" ref="T26:T27" si="2">ROUND((R26+P26+N26+L26+J26+H26)/6,0)</f>
        <v>0</v>
      </c>
      <c r="U26" s="187">
        <f t="shared" ref="U26:U27" si="3">(S26+Q26+O26+M26+K26+I26)/6</f>
        <v>0</v>
      </c>
      <c r="V26" s="184">
        <f t="shared" ref="V26:V31" si="4">T26</f>
        <v>0</v>
      </c>
      <c r="W26" s="187">
        <f t="shared" ref="W26:W28" si="5">U26</f>
        <v>0</v>
      </c>
      <c r="X26" s="184">
        <f t="shared" ref="X26:X31" si="6">V26</f>
        <v>0</v>
      </c>
      <c r="Y26" s="187">
        <f t="shared" ref="Y26:Y29" si="7">W26</f>
        <v>0</v>
      </c>
      <c r="Z26" s="526">
        <f t="shared" ref="Z26:Z31" si="8">ROUND(G26+I26+K26+M26+O26+Q26+S26+U26+W26+Y26+E26+C26,)</f>
        <v>640</v>
      </c>
    </row>
    <row r="27" spans="1:30" ht="58.4" customHeight="1" x14ac:dyDescent="0.3">
      <c r="A27" s="183" t="s">
        <v>273</v>
      </c>
      <c r="B27" s="525">
        <v>1</v>
      </c>
      <c r="C27" s="187">
        <v>108</v>
      </c>
      <c r="D27" s="184">
        <v>1</v>
      </c>
      <c r="E27" s="187">
        <v>108</v>
      </c>
      <c r="F27" s="184">
        <v>1</v>
      </c>
      <c r="G27" s="187">
        <v>54</v>
      </c>
      <c r="H27" s="184">
        <v>0</v>
      </c>
      <c r="I27" s="187">
        <v>0</v>
      </c>
      <c r="J27" s="184">
        <v>0</v>
      </c>
      <c r="K27" s="187">
        <v>0</v>
      </c>
      <c r="L27" s="184">
        <v>0</v>
      </c>
      <c r="M27" s="187">
        <v>0</v>
      </c>
      <c r="N27" s="184">
        <v>0</v>
      </c>
      <c r="O27" s="187">
        <v>0</v>
      </c>
      <c r="P27" s="184">
        <v>0</v>
      </c>
      <c r="Q27" s="187">
        <v>0</v>
      </c>
      <c r="R27" s="184">
        <v>0</v>
      </c>
      <c r="S27" s="187">
        <v>0</v>
      </c>
      <c r="T27" s="184">
        <f t="shared" si="2"/>
        <v>0</v>
      </c>
      <c r="U27" s="187">
        <f t="shared" si="3"/>
        <v>0</v>
      </c>
      <c r="V27" s="184">
        <f t="shared" si="4"/>
        <v>0</v>
      </c>
      <c r="W27" s="187">
        <f t="shared" si="5"/>
        <v>0</v>
      </c>
      <c r="X27" s="184">
        <f t="shared" si="6"/>
        <v>0</v>
      </c>
      <c r="Y27" s="187">
        <f t="shared" si="7"/>
        <v>0</v>
      </c>
      <c r="Z27" s="526">
        <f t="shared" si="8"/>
        <v>270</v>
      </c>
    </row>
    <row r="28" spans="1:30" ht="58.4" customHeight="1" x14ac:dyDescent="0.3">
      <c r="A28" s="183" t="s">
        <v>274</v>
      </c>
      <c r="B28" s="525">
        <v>2</v>
      </c>
      <c r="C28" s="187">
        <v>745.8</v>
      </c>
      <c r="D28" s="184">
        <v>2</v>
      </c>
      <c r="E28" s="187">
        <v>894.96</v>
      </c>
      <c r="F28" s="184">
        <v>2</v>
      </c>
      <c r="G28" s="187">
        <v>969.54</v>
      </c>
      <c r="H28" s="184">
        <v>1</v>
      </c>
      <c r="I28" s="187">
        <v>372.9</v>
      </c>
      <c r="J28" s="184">
        <v>3</v>
      </c>
      <c r="K28" s="187">
        <v>1641</v>
      </c>
      <c r="L28" s="184">
        <v>4</v>
      </c>
      <c r="M28" s="187">
        <v>324</v>
      </c>
      <c r="N28" s="184">
        <v>3</v>
      </c>
      <c r="O28" s="187">
        <v>98.75</v>
      </c>
      <c r="P28" s="184">
        <v>4</v>
      </c>
      <c r="Q28" s="187">
        <v>1029.96</v>
      </c>
      <c r="R28" s="184">
        <v>0</v>
      </c>
      <c r="S28" s="187">
        <v>0</v>
      </c>
      <c r="T28" s="184">
        <v>0</v>
      </c>
      <c r="U28" s="187">
        <v>0</v>
      </c>
      <c r="V28" s="184">
        <f t="shared" si="4"/>
        <v>0</v>
      </c>
      <c r="W28" s="187">
        <f t="shared" si="5"/>
        <v>0</v>
      </c>
      <c r="X28" s="184">
        <v>1</v>
      </c>
      <c r="Y28" s="187">
        <v>1029.2</v>
      </c>
      <c r="Z28" s="526">
        <f t="shared" si="8"/>
        <v>7106</v>
      </c>
    </row>
    <row r="29" spans="1:30" ht="58.4" customHeight="1" x14ac:dyDescent="0.3">
      <c r="A29" s="183" t="s">
        <v>42</v>
      </c>
      <c r="B29" s="525">
        <v>1</v>
      </c>
      <c r="C29" s="187">
        <v>1506.37</v>
      </c>
      <c r="D29" s="184">
        <v>1</v>
      </c>
      <c r="E29" s="187">
        <v>1506.37</v>
      </c>
      <c r="F29" s="184">
        <v>1</v>
      </c>
      <c r="G29" s="187">
        <v>1392.13</v>
      </c>
      <c r="H29" s="184">
        <v>-3</v>
      </c>
      <c r="I29" s="187">
        <v>-4404.87</v>
      </c>
      <c r="J29" s="184">
        <v>0</v>
      </c>
      <c r="K29" s="187">
        <v>0</v>
      </c>
      <c r="L29" s="184">
        <v>0</v>
      </c>
      <c r="M29" s="187">
        <v>0</v>
      </c>
      <c r="N29" s="184">
        <v>1</v>
      </c>
      <c r="O29" s="187">
        <v>1155</v>
      </c>
      <c r="P29" s="184">
        <v>0</v>
      </c>
      <c r="Q29" s="187">
        <v>0</v>
      </c>
      <c r="R29" s="184">
        <v>1</v>
      </c>
      <c r="S29" s="187">
        <v>778.58</v>
      </c>
      <c r="T29" s="184">
        <v>-1</v>
      </c>
      <c r="U29" s="187">
        <v>-778.5</v>
      </c>
      <c r="V29" s="184">
        <v>0</v>
      </c>
      <c r="W29" s="187">
        <v>0</v>
      </c>
      <c r="X29" s="184">
        <f t="shared" si="6"/>
        <v>0</v>
      </c>
      <c r="Y29" s="187">
        <f t="shared" si="7"/>
        <v>0</v>
      </c>
      <c r="Z29" s="526">
        <f t="shared" si="8"/>
        <v>1155</v>
      </c>
    </row>
    <row r="30" spans="1:30" ht="58.4" customHeight="1" x14ac:dyDescent="0.3">
      <c r="A30" s="183" t="s">
        <v>275</v>
      </c>
      <c r="B30" s="525">
        <v>23</v>
      </c>
      <c r="C30" s="187">
        <v>30821.35</v>
      </c>
      <c r="D30" s="184">
        <v>27</v>
      </c>
      <c r="E30" s="187">
        <v>40573.56</v>
      </c>
      <c r="F30" s="184">
        <v>33</v>
      </c>
      <c r="G30" s="187">
        <v>33715.49</v>
      </c>
      <c r="H30" s="184">
        <v>21</v>
      </c>
      <c r="I30" s="187">
        <v>40569.1</v>
      </c>
      <c r="J30" s="184">
        <v>22</v>
      </c>
      <c r="K30" s="187">
        <v>33875.129999999997</v>
      </c>
      <c r="L30" s="184">
        <v>21</v>
      </c>
      <c r="M30" s="187">
        <v>33583.730000000003</v>
      </c>
      <c r="N30" s="184">
        <v>22</v>
      </c>
      <c r="O30" s="187">
        <v>35452.03</v>
      </c>
      <c r="P30" s="184">
        <v>22</v>
      </c>
      <c r="Q30" s="187">
        <v>34661.730000000003</v>
      </c>
      <c r="R30" s="184">
        <v>15</v>
      </c>
      <c r="S30" s="187">
        <v>23919.18</v>
      </c>
      <c r="T30" s="184">
        <v>25</v>
      </c>
      <c r="U30" s="187">
        <v>44073.43</v>
      </c>
      <c r="V30" s="184">
        <v>21</v>
      </c>
      <c r="W30" s="187">
        <v>32022.14</v>
      </c>
      <c r="X30" s="184">
        <v>20</v>
      </c>
      <c r="Y30" s="187">
        <v>30988.13</v>
      </c>
      <c r="Z30" s="526">
        <f t="shared" si="8"/>
        <v>414255</v>
      </c>
    </row>
    <row r="31" spans="1:30" ht="110.15" customHeight="1" x14ac:dyDescent="0.3">
      <c r="A31" s="183" t="s">
        <v>191</v>
      </c>
      <c r="B31" s="184" t="s">
        <v>32</v>
      </c>
      <c r="C31" s="187">
        <v>98249.600000000006</v>
      </c>
      <c r="D31" s="184" t="s">
        <v>32</v>
      </c>
      <c r="E31" s="187">
        <v>108135.03</v>
      </c>
      <c r="F31" s="184" t="s">
        <v>32</v>
      </c>
      <c r="G31" s="187">
        <v>108552.72</v>
      </c>
      <c r="H31" s="184" t="s">
        <v>32</v>
      </c>
      <c r="I31" s="187">
        <v>92722.71</v>
      </c>
      <c r="J31" s="184" t="s">
        <v>32</v>
      </c>
      <c r="K31" s="187">
        <v>124718.49</v>
      </c>
      <c r="L31" s="184" t="s">
        <v>32</v>
      </c>
      <c r="M31" s="187">
        <v>118618.28</v>
      </c>
      <c r="N31" s="184" t="s">
        <v>32</v>
      </c>
      <c r="O31" s="187">
        <v>97793.82</v>
      </c>
      <c r="P31" s="184" t="s">
        <v>32</v>
      </c>
      <c r="Q31" s="187">
        <v>131425.79999999999</v>
      </c>
      <c r="R31" s="184" t="s">
        <v>32</v>
      </c>
      <c r="S31" s="187">
        <v>114855.70999999999</v>
      </c>
      <c r="T31" s="184" t="str">
        <f t="shared" ref="T31" si="9">R31</f>
        <v>x</v>
      </c>
      <c r="U31" s="187">
        <v>76386.78</v>
      </c>
      <c r="V31" s="184" t="str">
        <f t="shared" si="4"/>
        <v>x</v>
      </c>
      <c r="W31" s="187">
        <v>144111.92000000001</v>
      </c>
      <c r="X31" s="184" t="str">
        <f t="shared" si="6"/>
        <v>x</v>
      </c>
      <c r="Y31" s="187">
        <v>114020.41</v>
      </c>
      <c r="Z31" s="526">
        <f t="shared" si="8"/>
        <v>1329591</v>
      </c>
    </row>
    <row r="32" spans="1:30" ht="20.149999999999999" customHeight="1" x14ac:dyDescent="0.3">
      <c r="Z32" s="243">
        <f>ROUND(SUM(Z25:Z31),0)</f>
        <v>2642684</v>
      </c>
    </row>
    <row r="34" spans="1:27" x14ac:dyDescent="0.3">
      <c r="A34" s="1107" t="s">
        <v>38</v>
      </c>
      <c r="B34" s="1122" t="s">
        <v>189</v>
      </c>
      <c r="C34" s="1122"/>
      <c r="D34" s="1122" t="s">
        <v>189</v>
      </c>
      <c r="E34" s="1122"/>
      <c r="F34" s="1122" t="s">
        <v>189</v>
      </c>
      <c r="G34" s="1122"/>
      <c r="H34" s="1122" t="s">
        <v>189</v>
      </c>
      <c r="I34" s="1122"/>
      <c r="J34" s="1122" t="s">
        <v>189</v>
      </c>
      <c r="K34" s="1122"/>
      <c r="L34" s="1122" t="s">
        <v>189</v>
      </c>
      <c r="M34" s="1122"/>
      <c r="N34" s="1122" t="s">
        <v>189</v>
      </c>
      <c r="O34" s="1122"/>
      <c r="P34" s="1122" t="s">
        <v>189</v>
      </c>
      <c r="Q34" s="1122"/>
      <c r="R34" s="1122" t="s">
        <v>189</v>
      </c>
      <c r="S34" s="1122"/>
      <c r="T34" s="1123" t="s">
        <v>189</v>
      </c>
      <c r="U34" s="1123"/>
      <c r="V34" s="1123" t="s">
        <v>189</v>
      </c>
      <c r="W34" s="1123"/>
      <c r="X34" s="1123" t="s">
        <v>189</v>
      </c>
      <c r="Y34" s="1123"/>
      <c r="Z34" s="506" t="s">
        <v>189</v>
      </c>
      <c r="AA34" s="506" t="s">
        <v>279</v>
      </c>
    </row>
    <row r="35" spans="1:27" ht="14.5" customHeight="1" x14ac:dyDescent="0.3">
      <c r="A35" s="1107"/>
      <c r="B35" s="1122" t="s">
        <v>87</v>
      </c>
      <c r="C35" s="1122"/>
      <c r="D35" s="1122" t="s">
        <v>88</v>
      </c>
      <c r="E35" s="1122"/>
      <c r="F35" s="1122" t="s">
        <v>14</v>
      </c>
      <c r="G35" s="1122"/>
      <c r="H35" s="1122" t="s">
        <v>15</v>
      </c>
      <c r="I35" s="1122"/>
      <c r="J35" s="1218" t="s">
        <v>16</v>
      </c>
      <c r="K35" s="1217"/>
      <c r="L35" s="1122" t="s">
        <v>17</v>
      </c>
      <c r="M35" s="1122"/>
      <c r="N35" s="1218" t="s">
        <v>18</v>
      </c>
      <c r="O35" s="1217"/>
      <c r="P35" s="1122" t="s">
        <v>19</v>
      </c>
      <c r="Q35" s="1122"/>
      <c r="R35" s="1218" t="s">
        <v>20</v>
      </c>
      <c r="S35" s="1122"/>
      <c r="T35" s="1123" t="s">
        <v>21</v>
      </c>
      <c r="U35" s="1123"/>
      <c r="V35" s="1123" t="s">
        <v>22</v>
      </c>
      <c r="W35" s="1123"/>
      <c r="X35" s="1123" t="s">
        <v>23</v>
      </c>
      <c r="Y35" s="1123"/>
      <c r="Z35" s="506" t="s">
        <v>36</v>
      </c>
      <c r="AA35" s="506" t="s">
        <v>36</v>
      </c>
    </row>
    <row r="36" spans="1:27" x14ac:dyDescent="0.3">
      <c r="A36" s="1107"/>
      <c r="B36" s="191"/>
      <c r="C36" s="192" t="s">
        <v>24</v>
      </c>
      <c r="D36" s="193"/>
      <c r="E36" s="194" t="s">
        <v>24</v>
      </c>
      <c r="F36" s="191"/>
      <c r="G36" s="192" t="s">
        <v>24</v>
      </c>
      <c r="H36" s="193"/>
      <c r="I36" s="194" t="s">
        <v>24</v>
      </c>
      <c r="J36" s="191"/>
      <c r="K36" s="194" t="s">
        <v>24</v>
      </c>
      <c r="L36" s="191"/>
      <c r="M36" s="194" t="s">
        <v>24</v>
      </c>
      <c r="N36" s="191"/>
      <c r="O36" s="194" t="s">
        <v>24</v>
      </c>
      <c r="P36" s="191"/>
      <c r="Q36" s="194" t="s">
        <v>24</v>
      </c>
      <c r="R36" s="163"/>
      <c r="S36" s="190" t="s">
        <v>24</v>
      </c>
      <c r="T36" s="509"/>
      <c r="U36" s="510" t="s">
        <v>24</v>
      </c>
      <c r="V36" s="509"/>
      <c r="W36" s="510" t="s">
        <v>24</v>
      </c>
      <c r="X36" s="509"/>
      <c r="Y36" s="510" t="s">
        <v>24</v>
      </c>
      <c r="Z36" s="510" t="s">
        <v>24</v>
      </c>
      <c r="AA36" s="510" t="s">
        <v>24</v>
      </c>
    </row>
    <row r="37" spans="1:27" ht="60.65" customHeight="1" x14ac:dyDescent="0.3">
      <c r="A37" s="1107"/>
      <c r="B37" s="200" t="s">
        <v>26</v>
      </c>
      <c r="C37" s="168" t="s">
        <v>27</v>
      </c>
      <c r="D37" s="201" t="s">
        <v>26</v>
      </c>
      <c r="E37" s="168" t="s">
        <v>27</v>
      </c>
      <c r="F37" s="200" t="s">
        <v>26</v>
      </c>
      <c r="G37" s="168" t="s">
        <v>27</v>
      </c>
      <c r="H37" s="200" t="s">
        <v>26</v>
      </c>
      <c r="I37" s="168" t="s">
        <v>27</v>
      </c>
      <c r="J37" s="200" t="s">
        <v>26</v>
      </c>
      <c r="K37" s="168" t="s">
        <v>27</v>
      </c>
      <c r="L37" s="200" t="s">
        <v>26</v>
      </c>
      <c r="M37" s="168" t="s">
        <v>27</v>
      </c>
      <c r="N37" s="171" t="s">
        <v>26</v>
      </c>
      <c r="O37" s="168" t="s">
        <v>27</v>
      </c>
      <c r="P37" s="171" t="s">
        <v>26</v>
      </c>
      <c r="Q37" s="168" t="s">
        <v>27</v>
      </c>
      <c r="R37" s="171" t="s">
        <v>26</v>
      </c>
      <c r="S37" s="168" t="s">
        <v>27</v>
      </c>
      <c r="T37" s="513" t="s">
        <v>26</v>
      </c>
      <c r="U37" s="513" t="s">
        <v>28</v>
      </c>
      <c r="V37" s="513" t="s">
        <v>26</v>
      </c>
      <c r="W37" s="513" t="s">
        <v>28</v>
      </c>
      <c r="X37" s="513" t="s">
        <v>26</v>
      </c>
      <c r="Y37" s="513" t="s">
        <v>28</v>
      </c>
      <c r="Z37" s="506" t="s">
        <v>97</v>
      </c>
      <c r="AA37" s="506" t="s">
        <v>97</v>
      </c>
    </row>
    <row r="38" spans="1:27" x14ac:dyDescent="0.3">
      <c r="A38" s="174" t="s">
        <v>39</v>
      </c>
      <c r="B38" s="196">
        <v>1</v>
      </c>
      <c r="C38" s="179">
        <v>2</v>
      </c>
      <c r="D38" s="197">
        <v>3</v>
      </c>
      <c r="E38" s="198">
        <v>4</v>
      </c>
      <c r="F38" s="196">
        <v>5</v>
      </c>
      <c r="G38" s="179">
        <v>6</v>
      </c>
      <c r="H38" s="197">
        <v>7</v>
      </c>
      <c r="I38" s="198">
        <v>8</v>
      </c>
      <c r="J38" s="196">
        <v>9</v>
      </c>
      <c r="K38" s="198">
        <v>10</v>
      </c>
      <c r="L38" s="196">
        <v>11</v>
      </c>
      <c r="M38" s="807">
        <v>12</v>
      </c>
      <c r="N38" s="196">
        <v>13</v>
      </c>
      <c r="O38" s="807">
        <v>14</v>
      </c>
      <c r="P38" s="196">
        <v>15</v>
      </c>
      <c r="Q38" s="807">
        <v>16</v>
      </c>
      <c r="R38" s="179">
        <v>17</v>
      </c>
      <c r="S38" s="811">
        <v>18</v>
      </c>
      <c r="T38" s="516">
        <v>19</v>
      </c>
      <c r="U38" s="516">
        <v>20</v>
      </c>
      <c r="V38" s="516">
        <v>21</v>
      </c>
      <c r="W38" s="516">
        <v>22</v>
      </c>
      <c r="X38" s="516">
        <v>23</v>
      </c>
      <c r="Y38" s="516">
        <v>24</v>
      </c>
      <c r="Z38" s="516">
        <v>25</v>
      </c>
      <c r="AA38" s="516">
        <v>26</v>
      </c>
    </row>
    <row r="39" spans="1:27" ht="58.4" customHeight="1" x14ac:dyDescent="0.3">
      <c r="A39" s="183" t="s">
        <v>40</v>
      </c>
      <c r="B39" s="525">
        <v>565</v>
      </c>
      <c r="C39" s="187">
        <v>111454.9</v>
      </c>
      <c r="D39" s="184">
        <v>515</v>
      </c>
      <c r="E39" s="187">
        <v>97884.74</v>
      </c>
      <c r="F39" s="184">
        <v>507</v>
      </c>
      <c r="G39" s="187">
        <v>44217.55</v>
      </c>
      <c r="H39" s="184">
        <v>544</v>
      </c>
      <c r="I39" s="187">
        <v>88814.59</v>
      </c>
      <c r="J39" s="184">
        <v>464</v>
      </c>
      <c r="K39" s="187">
        <v>82139.100000000006</v>
      </c>
      <c r="L39" s="525">
        <v>411</v>
      </c>
      <c r="M39" s="808">
        <v>79526.61</v>
      </c>
      <c r="N39" s="525">
        <v>574</v>
      </c>
      <c r="O39" s="808">
        <v>92861.69</v>
      </c>
      <c r="P39" s="525">
        <v>418</v>
      </c>
      <c r="Q39" s="808">
        <v>78479.48</v>
      </c>
      <c r="R39" s="525">
        <v>566</v>
      </c>
      <c r="S39" s="808">
        <v>88427.57</v>
      </c>
      <c r="T39" s="528">
        <f>(B39+D39+F39+H39+J39+L39+N39+P39+R39)/9</f>
        <v>507.11111111111109</v>
      </c>
      <c r="U39" s="529">
        <f>(C39+E39+G39+I39+K39+M39+O39+Q39+S39)/9</f>
        <v>84867.358888888892</v>
      </c>
      <c r="V39" s="528">
        <f t="shared" ref="V39:Y39" si="10">T39</f>
        <v>507.11111111111109</v>
      </c>
      <c r="W39" s="529">
        <f t="shared" si="10"/>
        <v>84867.358888888892</v>
      </c>
      <c r="X39" s="528">
        <f t="shared" si="10"/>
        <v>507.11111111111109</v>
      </c>
      <c r="Y39" s="529">
        <f t="shared" si="10"/>
        <v>84867.358888888892</v>
      </c>
      <c r="Z39" s="529">
        <f>ROUND(G39+I39+K39+M39+O39+Q39+S39+U39+W39+Y39+E39+C39,)</f>
        <v>1018408</v>
      </c>
      <c r="AA39" s="529">
        <f>Z39</f>
        <v>1018408</v>
      </c>
    </row>
    <row r="40" spans="1:27" ht="58.4" customHeight="1" x14ac:dyDescent="0.3">
      <c r="A40" s="183" t="s">
        <v>272</v>
      </c>
      <c r="B40" s="525">
        <v>0</v>
      </c>
      <c r="C40" s="187">
        <v>0</v>
      </c>
      <c r="D40" s="184">
        <v>3</v>
      </c>
      <c r="E40" s="187">
        <v>146.84</v>
      </c>
      <c r="F40" s="184">
        <v>0</v>
      </c>
      <c r="G40" s="187">
        <v>0</v>
      </c>
      <c r="H40" s="184">
        <v>0</v>
      </c>
      <c r="I40" s="187">
        <v>0</v>
      </c>
      <c r="J40" s="184">
        <v>1</v>
      </c>
      <c r="K40" s="187">
        <v>70</v>
      </c>
      <c r="L40" s="525">
        <f t="shared" ref="L40:L43" si="11">AVERAGE(B40,D40,F40,H40,J40)</f>
        <v>0.8</v>
      </c>
      <c r="M40" s="808">
        <v>35</v>
      </c>
      <c r="N40" s="525">
        <v>0</v>
      </c>
      <c r="O40" s="808">
        <v>0</v>
      </c>
      <c r="P40" s="525">
        <v>1</v>
      </c>
      <c r="Q40" s="808">
        <v>35</v>
      </c>
      <c r="R40" s="525">
        <v>1</v>
      </c>
      <c r="S40" s="808">
        <v>35</v>
      </c>
      <c r="T40" s="528">
        <f>(B40+D40+F40+H40+J40+L40+N40+P40+R40)/9</f>
        <v>0.75555555555555554</v>
      </c>
      <c r="U40" s="529">
        <f t="shared" ref="U40:U45" si="12">(C40+E40+G40+I40+K40+M40+O40+Q40+S40)/9</f>
        <v>35.760000000000005</v>
      </c>
      <c r="V40" s="528">
        <f t="shared" ref="V40:V45" si="13">T40</f>
        <v>0.75555555555555554</v>
      </c>
      <c r="W40" s="529">
        <f t="shared" ref="W40:W45" si="14">U40</f>
        <v>35.760000000000005</v>
      </c>
      <c r="X40" s="528">
        <f t="shared" ref="X40:X45" si="15">V40</f>
        <v>0.75555555555555554</v>
      </c>
      <c r="Y40" s="529">
        <f t="shared" ref="Y40:Y45" si="16">W40</f>
        <v>35.760000000000005</v>
      </c>
      <c r="Z40" s="529">
        <f t="shared" ref="Z40:Z45" si="17">ROUND(G40+I40+K40+M40+O40+Q40+S40+U40+W40+Y40+E40+C40,)</f>
        <v>429</v>
      </c>
      <c r="AA40" s="529">
        <f t="shared" ref="AA40:AA45" si="18">Z40</f>
        <v>429</v>
      </c>
    </row>
    <row r="41" spans="1:27" ht="41.5" customHeight="1" x14ac:dyDescent="0.3">
      <c r="A41" s="183" t="s">
        <v>276</v>
      </c>
      <c r="B41" s="525">
        <v>0</v>
      </c>
      <c r="C41" s="187">
        <v>0</v>
      </c>
      <c r="D41" s="184">
        <v>0</v>
      </c>
      <c r="E41" s="187">
        <v>0</v>
      </c>
      <c r="F41" s="184">
        <v>0</v>
      </c>
      <c r="G41" s="187">
        <v>0</v>
      </c>
      <c r="H41" s="184">
        <v>0</v>
      </c>
      <c r="I41" s="187">
        <v>0</v>
      </c>
      <c r="J41" s="184">
        <v>0</v>
      </c>
      <c r="K41" s="187">
        <v>0</v>
      </c>
      <c r="L41" s="525">
        <f t="shared" si="11"/>
        <v>0</v>
      </c>
      <c r="M41" s="808">
        <f t="shared" ref="M41:M43" si="19">AVERAGE(C41,E41,G41,I41,K41)</f>
        <v>0</v>
      </c>
      <c r="N41" s="525">
        <f t="shared" ref="N41:N45" si="20">L41</f>
        <v>0</v>
      </c>
      <c r="O41" s="808">
        <f t="shared" ref="O41:O43" si="21">M41</f>
        <v>0</v>
      </c>
      <c r="P41" s="525">
        <f t="shared" ref="P41:P45" si="22">N41</f>
        <v>0</v>
      </c>
      <c r="Q41" s="808">
        <f t="shared" ref="Q41:Q43" si="23">O41</f>
        <v>0</v>
      </c>
      <c r="R41" s="525">
        <f t="shared" ref="R41:R45" si="24">P41</f>
        <v>0</v>
      </c>
      <c r="S41" s="808">
        <f t="shared" ref="S41:S43" si="25">Q41</f>
        <v>0</v>
      </c>
      <c r="T41" s="528">
        <f t="shared" ref="T41:T44" si="26">(B41+D41+F41+H41+J41+L41+N41+P41+R41)/9</f>
        <v>0</v>
      </c>
      <c r="U41" s="529">
        <f t="shared" si="12"/>
        <v>0</v>
      </c>
      <c r="V41" s="528">
        <f t="shared" si="13"/>
        <v>0</v>
      </c>
      <c r="W41" s="529">
        <f t="shared" si="14"/>
        <v>0</v>
      </c>
      <c r="X41" s="528">
        <f t="shared" si="15"/>
        <v>0</v>
      </c>
      <c r="Y41" s="529">
        <f t="shared" si="16"/>
        <v>0</v>
      </c>
      <c r="Z41" s="529">
        <f t="shared" si="17"/>
        <v>0</v>
      </c>
      <c r="AA41" s="529">
        <f>Z27</f>
        <v>270</v>
      </c>
    </row>
    <row r="42" spans="1:27" ht="58.4" customHeight="1" x14ac:dyDescent="0.3">
      <c r="A42" s="183" t="s">
        <v>274</v>
      </c>
      <c r="B42" s="525">
        <v>1</v>
      </c>
      <c r="C42" s="187">
        <v>134.24</v>
      </c>
      <c r="D42" s="184">
        <v>1</v>
      </c>
      <c r="E42" s="187">
        <v>178.99</v>
      </c>
      <c r="F42" s="184">
        <v>6</v>
      </c>
      <c r="G42" s="187">
        <v>1771.42</v>
      </c>
      <c r="H42" s="184">
        <v>4</v>
      </c>
      <c r="I42" s="187">
        <v>1316.19</v>
      </c>
      <c r="J42" s="184">
        <v>1</v>
      </c>
      <c r="K42" s="187">
        <v>178.99</v>
      </c>
      <c r="L42" s="525">
        <v>5</v>
      </c>
      <c r="M42" s="808">
        <v>772.51</v>
      </c>
      <c r="N42" s="525">
        <v>3</v>
      </c>
      <c r="O42" s="808">
        <v>1029.2</v>
      </c>
      <c r="P42" s="525">
        <v>6</v>
      </c>
      <c r="Q42" s="808">
        <v>3738.79</v>
      </c>
      <c r="R42" s="525">
        <v>5</v>
      </c>
      <c r="S42" s="808">
        <v>1125.33</v>
      </c>
      <c r="T42" s="528">
        <f t="shared" si="26"/>
        <v>3.5555555555555554</v>
      </c>
      <c r="U42" s="529">
        <f t="shared" si="12"/>
        <v>1138.4066666666668</v>
      </c>
      <c r="V42" s="528">
        <f t="shared" si="13"/>
        <v>3.5555555555555554</v>
      </c>
      <c r="W42" s="529">
        <f t="shared" si="14"/>
        <v>1138.4066666666668</v>
      </c>
      <c r="X42" s="528">
        <f t="shared" si="15"/>
        <v>3.5555555555555554</v>
      </c>
      <c r="Y42" s="529">
        <f t="shared" si="16"/>
        <v>1138.4066666666668</v>
      </c>
      <c r="Z42" s="529">
        <f t="shared" si="17"/>
        <v>13661</v>
      </c>
      <c r="AA42" s="529">
        <f t="shared" si="18"/>
        <v>13661</v>
      </c>
    </row>
    <row r="43" spans="1:27" ht="58.4" customHeight="1" x14ac:dyDescent="0.3">
      <c r="A43" s="183" t="s">
        <v>388</v>
      </c>
      <c r="B43" s="525">
        <v>0</v>
      </c>
      <c r="C43" s="187">
        <v>0</v>
      </c>
      <c r="D43" s="184">
        <v>0</v>
      </c>
      <c r="E43" s="187">
        <v>0</v>
      </c>
      <c r="F43" s="184">
        <v>0</v>
      </c>
      <c r="G43" s="187">
        <v>0</v>
      </c>
      <c r="H43" s="184">
        <v>0</v>
      </c>
      <c r="I43" s="187">
        <v>0</v>
      </c>
      <c r="J43" s="184">
        <v>0</v>
      </c>
      <c r="K43" s="187">
        <v>0</v>
      </c>
      <c r="L43" s="525">
        <f t="shared" si="11"/>
        <v>0</v>
      </c>
      <c r="M43" s="808">
        <f t="shared" si="19"/>
        <v>0</v>
      </c>
      <c r="N43" s="525">
        <f t="shared" si="20"/>
        <v>0</v>
      </c>
      <c r="O43" s="808">
        <f t="shared" si="21"/>
        <v>0</v>
      </c>
      <c r="P43" s="525">
        <f t="shared" si="22"/>
        <v>0</v>
      </c>
      <c r="Q43" s="808">
        <f t="shared" si="23"/>
        <v>0</v>
      </c>
      <c r="R43" s="525">
        <f t="shared" si="24"/>
        <v>0</v>
      </c>
      <c r="S43" s="808">
        <f t="shared" si="25"/>
        <v>0</v>
      </c>
      <c r="T43" s="528">
        <f t="shared" si="26"/>
        <v>0</v>
      </c>
      <c r="U43" s="529">
        <f t="shared" si="12"/>
        <v>0</v>
      </c>
      <c r="V43" s="528">
        <f t="shared" si="13"/>
        <v>0</v>
      </c>
      <c r="W43" s="529">
        <f t="shared" si="14"/>
        <v>0</v>
      </c>
      <c r="X43" s="528">
        <f t="shared" si="15"/>
        <v>0</v>
      </c>
      <c r="Y43" s="529">
        <f t="shared" si="16"/>
        <v>0</v>
      </c>
      <c r="Z43" s="529">
        <f t="shared" si="17"/>
        <v>0</v>
      </c>
      <c r="AA43" s="529">
        <f>Z29</f>
        <v>1155</v>
      </c>
    </row>
    <row r="44" spans="1:27" ht="52" customHeight="1" x14ac:dyDescent="0.3">
      <c r="A44" s="183" t="s">
        <v>277</v>
      </c>
      <c r="B44" s="525">
        <v>21</v>
      </c>
      <c r="C44" s="187">
        <v>33048.07</v>
      </c>
      <c r="D44" s="184">
        <v>7</v>
      </c>
      <c r="E44" s="187">
        <v>13232.02</v>
      </c>
      <c r="F44" s="184">
        <v>23</v>
      </c>
      <c r="G44" s="187">
        <v>60310.31</v>
      </c>
      <c r="H44" s="184">
        <v>21</v>
      </c>
      <c r="I44" s="187">
        <v>37134.21</v>
      </c>
      <c r="J44" s="184">
        <v>22</v>
      </c>
      <c r="K44" s="187">
        <v>39024.46</v>
      </c>
      <c r="L44" s="525">
        <v>24</v>
      </c>
      <c r="M44" s="808">
        <v>42624.4</v>
      </c>
      <c r="N44" s="525">
        <v>28</v>
      </c>
      <c r="O44" s="808">
        <v>43203.28</v>
      </c>
      <c r="P44" s="525">
        <v>22</v>
      </c>
      <c r="Q44" s="808">
        <v>41349.370000000003</v>
      </c>
      <c r="R44" s="525">
        <v>26</v>
      </c>
      <c r="S44" s="808">
        <v>42729.06</v>
      </c>
      <c r="T44" s="528">
        <f t="shared" si="26"/>
        <v>21.555555555555557</v>
      </c>
      <c r="U44" s="529">
        <f t="shared" si="12"/>
        <v>39183.908888888887</v>
      </c>
      <c r="V44" s="528">
        <f t="shared" si="13"/>
        <v>21.555555555555557</v>
      </c>
      <c r="W44" s="529">
        <f t="shared" si="14"/>
        <v>39183.908888888887</v>
      </c>
      <c r="X44" s="528">
        <f t="shared" si="15"/>
        <v>21.555555555555557</v>
      </c>
      <c r="Y44" s="529">
        <f t="shared" si="16"/>
        <v>39183.908888888887</v>
      </c>
      <c r="Z44" s="529">
        <f t="shared" si="17"/>
        <v>470207</v>
      </c>
      <c r="AA44" s="529">
        <f t="shared" si="18"/>
        <v>470207</v>
      </c>
    </row>
    <row r="45" spans="1:27" ht="110.15" customHeight="1" x14ac:dyDescent="0.3">
      <c r="A45" s="183" t="s">
        <v>191</v>
      </c>
      <c r="B45" s="184" t="s">
        <v>32</v>
      </c>
      <c r="C45" s="187">
        <v>83216.240000000005</v>
      </c>
      <c r="D45" s="184" t="s">
        <v>32</v>
      </c>
      <c r="E45" s="187">
        <v>119409.28</v>
      </c>
      <c r="F45" s="184" t="s">
        <v>32</v>
      </c>
      <c r="G45" s="187">
        <v>94416.62</v>
      </c>
      <c r="H45" s="184" t="s">
        <v>32</v>
      </c>
      <c r="I45" s="187">
        <v>85558.46</v>
      </c>
      <c r="J45" s="184" t="s">
        <v>32</v>
      </c>
      <c r="K45" s="187">
        <v>146758.68</v>
      </c>
      <c r="L45" s="525" t="s">
        <v>32</v>
      </c>
      <c r="M45" s="808">
        <v>75812.97</v>
      </c>
      <c r="N45" s="525" t="str">
        <f t="shared" si="20"/>
        <v>x</v>
      </c>
      <c r="O45" s="808">
        <v>139593.31</v>
      </c>
      <c r="P45" s="525" t="str">
        <f t="shared" si="22"/>
        <v>x</v>
      </c>
      <c r="Q45" s="808">
        <v>79974.080000000002</v>
      </c>
      <c r="R45" s="525" t="str">
        <f t="shared" si="24"/>
        <v>x</v>
      </c>
      <c r="S45" s="808">
        <v>179127.65</v>
      </c>
      <c r="T45" s="528" t="s">
        <v>32</v>
      </c>
      <c r="U45" s="529">
        <f t="shared" si="12"/>
        <v>111540.81</v>
      </c>
      <c r="V45" s="528" t="str">
        <f t="shared" si="13"/>
        <v>x</v>
      </c>
      <c r="W45" s="529">
        <f t="shared" si="14"/>
        <v>111540.81</v>
      </c>
      <c r="X45" s="528" t="str">
        <f t="shared" si="15"/>
        <v>x</v>
      </c>
      <c r="Y45" s="529">
        <f t="shared" si="16"/>
        <v>111540.81</v>
      </c>
      <c r="Z45" s="529">
        <f t="shared" si="17"/>
        <v>1338490</v>
      </c>
      <c r="AA45" s="529">
        <f t="shared" si="18"/>
        <v>1338490</v>
      </c>
    </row>
    <row r="46" spans="1:27" ht="20.149999999999999" customHeight="1" x14ac:dyDescent="0.3">
      <c r="A46" s="1219" t="s">
        <v>179</v>
      </c>
      <c r="B46" s="1219"/>
      <c r="C46" s="1219"/>
      <c r="D46" s="1219"/>
      <c r="E46" s="1219"/>
      <c r="F46" s="1219"/>
      <c r="G46" s="1219"/>
      <c r="H46" s="1219"/>
      <c r="I46" s="1219"/>
      <c r="J46" s="1219"/>
      <c r="K46" s="1219"/>
      <c r="L46" s="1219"/>
      <c r="M46" s="1219"/>
      <c r="N46" s="1219"/>
      <c r="O46" s="1219"/>
      <c r="P46" s="1219"/>
      <c r="Q46" s="1219"/>
      <c r="R46" s="1219"/>
      <c r="S46" s="1219"/>
      <c r="T46" s="1219"/>
      <c r="U46" s="1219"/>
      <c r="V46" s="1219"/>
      <c r="W46" s="1219"/>
      <c r="X46" s="1219"/>
      <c r="Y46" s="1219"/>
      <c r="Z46" s="531">
        <f>ROUND(SUM(Z39:Z45),0)</f>
        <v>2841195</v>
      </c>
      <c r="AA46" s="536">
        <f>ROUND(SUM(AA39:AA45),0)</f>
        <v>2842620</v>
      </c>
    </row>
    <row r="47" spans="1:27" ht="20.149999999999999" customHeight="1" x14ac:dyDescent="0.3">
      <c r="A47" s="537" t="s">
        <v>278</v>
      </c>
      <c r="B47" s="537"/>
      <c r="C47" s="537"/>
      <c r="D47" s="537"/>
      <c r="E47" s="537"/>
      <c r="F47" s="537"/>
      <c r="G47" s="537"/>
      <c r="H47" s="537"/>
      <c r="I47" s="537"/>
      <c r="J47" s="537"/>
      <c r="K47" s="537"/>
      <c r="L47" s="537"/>
      <c r="M47" s="537"/>
      <c r="N47" s="537"/>
      <c r="O47" s="537"/>
      <c r="P47" s="537"/>
      <c r="Q47" s="537"/>
      <c r="R47" s="537"/>
      <c r="S47" s="537"/>
      <c r="T47" s="537"/>
      <c r="U47" s="537"/>
      <c r="V47" s="537"/>
      <c r="W47" s="537"/>
      <c r="X47" s="537"/>
      <c r="Y47" s="537"/>
      <c r="Z47" s="531"/>
      <c r="AA47" s="536"/>
    </row>
    <row r="48" spans="1:27" ht="65.5" customHeight="1" x14ac:dyDescent="0.3">
      <c r="A48" s="1216" t="s">
        <v>337</v>
      </c>
      <c r="B48" s="1216"/>
      <c r="C48" s="1216"/>
      <c r="D48" s="1216"/>
      <c r="E48" s="1216"/>
      <c r="F48" s="1216"/>
      <c r="G48" s="1216"/>
      <c r="H48" s="1216"/>
      <c r="I48" s="1216"/>
      <c r="J48" s="1216"/>
      <c r="K48" s="1216"/>
      <c r="L48" s="1216"/>
      <c r="M48" s="1216"/>
      <c r="N48" s="1216"/>
      <c r="O48" s="1216"/>
      <c r="P48" s="1216"/>
      <c r="Q48" s="1216"/>
      <c r="R48" s="1216"/>
      <c r="S48" s="1216"/>
      <c r="T48" s="1216"/>
      <c r="U48" s="1216"/>
      <c r="V48" s="1216"/>
      <c r="W48" s="1216"/>
      <c r="X48" s="1216"/>
      <c r="Y48" s="1216"/>
      <c r="Z48" s="1216"/>
      <c r="AA48" s="1216"/>
    </row>
    <row r="49" spans="31:31" x14ac:dyDescent="0.3">
      <c r="AE49" s="6"/>
    </row>
    <row r="50" spans="31:31" x14ac:dyDescent="0.3">
      <c r="AE50" s="6"/>
    </row>
    <row r="51" spans="31:31" x14ac:dyDescent="0.3">
      <c r="AE51" s="6"/>
    </row>
    <row r="52" spans="31:31" x14ac:dyDescent="0.3">
      <c r="AE52" s="6"/>
    </row>
    <row r="53" spans="31:31" x14ac:dyDescent="0.3">
      <c r="AE53" s="6"/>
    </row>
    <row r="54" spans="31:31" x14ac:dyDescent="0.3">
      <c r="AE54" s="6"/>
    </row>
    <row r="55" spans="31:31" x14ac:dyDescent="0.3">
      <c r="AE55" s="98"/>
    </row>
    <row r="56" spans="31:31" x14ac:dyDescent="0.3">
      <c r="AE56" s="6"/>
    </row>
    <row r="57" spans="31:31" x14ac:dyDescent="0.3">
      <c r="AE57" s="6"/>
    </row>
    <row r="58" spans="31:31" x14ac:dyDescent="0.3">
      <c r="AE58" s="98"/>
    </row>
    <row r="59" spans="31:31" x14ac:dyDescent="0.3">
      <c r="AE59" s="6"/>
    </row>
    <row r="60" spans="31:31" x14ac:dyDescent="0.3">
      <c r="AE60" s="6"/>
    </row>
    <row r="61" spans="31:31" x14ac:dyDescent="0.3">
      <c r="AE61" s="6"/>
    </row>
    <row r="62" spans="31:31" x14ac:dyDescent="0.3">
      <c r="AE62" s="6"/>
    </row>
    <row r="63" spans="31:31" x14ac:dyDescent="0.3">
      <c r="AE63" s="6"/>
    </row>
    <row r="64" spans="31:31" x14ac:dyDescent="0.3">
      <c r="AE64" s="6"/>
    </row>
    <row r="65" spans="31:31" x14ac:dyDescent="0.3">
      <c r="AE65" s="6"/>
    </row>
    <row r="66" spans="31:31" x14ac:dyDescent="0.3">
      <c r="AE66" s="6"/>
    </row>
    <row r="67" spans="31:31" x14ac:dyDescent="0.3">
      <c r="AE67" s="6"/>
    </row>
    <row r="68" spans="31:31" x14ac:dyDescent="0.3">
      <c r="AE68" s="6"/>
    </row>
    <row r="69" spans="31:31" x14ac:dyDescent="0.3">
      <c r="AE69" s="6"/>
    </row>
  </sheetData>
  <mergeCells count="81">
    <mergeCell ref="A48:AA48"/>
    <mergeCell ref="T34:U34"/>
    <mergeCell ref="V34:W34"/>
    <mergeCell ref="X34:Y34"/>
    <mergeCell ref="B35:C35"/>
    <mergeCell ref="D35:E35"/>
    <mergeCell ref="F35:G35"/>
    <mergeCell ref="H35:I35"/>
    <mergeCell ref="J35:K35"/>
    <mergeCell ref="L35:M35"/>
    <mergeCell ref="N35:O35"/>
    <mergeCell ref="P35:Q35"/>
    <mergeCell ref="R35:S35"/>
    <mergeCell ref="T35:U35"/>
    <mergeCell ref="V35:W35"/>
    <mergeCell ref="X35:Y35"/>
    <mergeCell ref="J34:K34"/>
    <mergeCell ref="L34:M34"/>
    <mergeCell ref="N34:O34"/>
    <mergeCell ref="P34:Q34"/>
    <mergeCell ref="R34:S34"/>
    <mergeCell ref="A34:A37"/>
    <mergeCell ref="B34:C34"/>
    <mergeCell ref="D34:E34"/>
    <mergeCell ref="F34:G34"/>
    <mergeCell ref="H34:I34"/>
    <mergeCell ref="A46:Y46"/>
    <mergeCell ref="A1:AA1"/>
    <mergeCell ref="A2:AA2"/>
    <mergeCell ref="A3:AA3"/>
    <mergeCell ref="A4:AA4"/>
    <mergeCell ref="X20:Y20"/>
    <mergeCell ref="B21:C21"/>
    <mergeCell ref="D21:E21"/>
    <mergeCell ref="F21:G21"/>
    <mergeCell ref="H21:I21"/>
    <mergeCell ref="J21:K21"/>
    <mergeCell ref="L21:M21"/>
    <mergeCell ref="J20:K20"/>
    <mergeCell ref="L20:M20"/>
    <mergeCell ref="N20:O20"/>
    <mergeCell ref="P20:Q20"/>
    <mergeCell ref="X21:Y21"/>
    <mergeCell ref="R20:S20"/>
    <mergeCell ref="T20:U20"/>
    <mergeCell ref="V20:W20"/>
    <mergeCell ref="A20:A23"/>
    <mergeCell ref="B20:C20"/>
    <mergeCell ref="D20:E20"/>
    <mergeCell ref="F20:G20"/>
    <mergeCell ref="H20:I20"/>
    <mergeCell ref="N21:O21"/>
    <mergeCell ref="P21:Q21"/>
    <mergeCell ref="R21:S21"/>
    <mergeCell ref="T21:U21"/>
    <mergeCell ref="V21:W21"/>
    <mergeCell ref="V7:W7"/>
    <mergeCell ref="X7:Y7"/>
    <mergeCell ref="V6:W6"/>
    <mergeCell ref="X6:Y6"/>
    <mergeCell ref="B7:C7"/>
    <mergeCell ref="D7:E7"/>
    <mergeCell ref="F7:G7"/>
    <mergeCell ref="H7:I7"/>
    <mergeCell ref="J7:K7"/>
    <mergeCell ref="L7:M7"/>
    <mergeCell ref="N7:O7"/>
    <mergeCell ref="R6:S6"/>
    <mergeCell ref="T6:U6"/>
    <mergeCell ref="R7:S7"/>
    <mergeCell ref="T7:U7"/>
    <mergeCell ref="P7:Q7"/>
    <mergeCell ref="J6:K6"/>
    <mergeCell ref="L6:M6"/>
    <mergeCell ref="N6:O6"/>
    <mergeCell ref="P6:Q6"/>
    <mergeCell ref="A6:A9"/>
    <mergeCell ref="B6:C6"/>
    <mergeCell ref="D6:E6"/>
    <mergeCell ref="F6:G6"/>
    <mergeCell ref="H6:I6"/>
  </mergeCells>
  <pageMargins left="0.70866141732283505" right="0.70866141732283505" top="0.74803149606299202" bottom="0.74803149606299202" header="0.31496062992126" footer="0.31496062992126"/>
  <pageSetup paperSize="9" scale="48"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9930B-83B9-4E79-A4F3-FD37FF4077AF}">
  <dimension ref="A1:AJ55"/>
  <sheetViews>
    <sheetView zoomScale="30" zoomScaleNormal="30" workbookViewId="0">
      <pane ySplit="3" topLeftCell="A18" activePane="bottomLeft" state="frozen"/>
      <selection activeCell="T50" sqref="T50"/>
      <selection pane="bottomLeft" activeCell="A10" sqref="A10:A12"/>
    </sheetView>
  </sheetViews>
  <sheetFormatPr defaultColWidth="8.81640625" defaultRowHeight="14" x14ac:dyDescent="0.3"/>
  <cols>
    <col min="1" max="1" width="43.54296875" style="3" customWidth="1"/>
    <col min="2" max="24" width="8.81640625" style="3"/>
    <col min="25" max="25" width="8.81640625" style="3" customWidth="1"/>
    <col min="26" max="26" width="12.1796875" style="3" customWidth="1"/>
    <col min="27" max="27" width="8.81640625" style="3" customWidth="1"/>
    <col min="28" max="16384" width="8.81640625" style="3"/>
  </cols>
  <sheetData>
    <row r="1" spans="1:27" ht="18" x14ac:dyDescent="0.3">
      <c r="A1" s="1096" t="s">
        <v>131</v>
      </c>
      <c r="B1" s="1096"/>
      <c r="C1" s="1096"/>
      <c r="D1" s="1096"/>
      <c r="E1" s="1096"/>
      <c r="F1" s="1096"/>
      <c r="G1" s="1096"/>
      <c r="H1" s="1096"/>
      <c r="I1" s="1096"/>
      <c r="J1" s="1096"/>
      <c r="K1" s="1096"/>
      <c r="L1" s="1096"/>
      <c r="M1" s="1096"/>
      <c r="N1" s="1096"/>
      <c r="O1" s="1096"/>
      <c r="P1" s="1096"/>
      <c r="Q1" s="1096"/>
      <c r="R1" s="1096"/>
      <c r="S1" s="1096"/>
      <c r="T1" s="1096"/>
      <c r="U1" s="1096"/>
      <c r="V1" s="1096"/>
      <c r="W1" s="1096"/>
      <c r="X1" s="1096"/>
      <c r="Y1" s="1096"/>
      <c r="Z1" s="1096"/>
    </row>
    <row r="2" spans="1:27" ht="18" x14ac:dyDescent="0.3">
      <c r="A2" s="1096" t="s">
        <v>243</v>
      </c>
      <c r="B2" s="1096"/>
      <c r="C2" s="1096"/>
      <c r="D2" s="1096"/>
      <c r="E2" s="1096"/>
      <c r="F2" s="1096"/>
      <c r="G2" s="1096"/>
      <c r="H2" s="1096"/>
      <c r="I2" s="1096"/>
      <c r="J2" s="1096"/>
      <c r="K2" s="1096"/>
      <c r="L2" s="1096"/>
      <c r="M2" s="1096"/>
      <c r="N2" s="1096"/>
      <c r="O2" s="1096"/>
      <c r="P2" s="1096"/>
      <c r="Q2" s="1096"/>
      <c r="R2" s="1096"/>
      <c r="S2" s="1096"/>
      <c r="T2" s="1096"/>
      <c r="U2" s="1096"/>
      <c r="V2" s="1096"/>
      <c r="W2" s="1096"/>
      <c r="X2" s="1096"/>
      <c r="Y2" s="1096"/>
      <c r="Z2" s="1096"/>
    </row>
    <row r="3" spans="1:27" ht="26.5" customHeight="1" x14ac:dyDescent="0.3">
      <c r="A3" s="1221" t="str">
        <f>Ietekme_LM_2026_!B191</f>
        <v>4.10.Atbalsta sniegšana ārkārtas aizbildņiem (atlīdzība par ārkārtas aizbildņa pienākumu pildīšanu, pabalsts nepavadīta bērna uzturam un pabalsts apģērba un mīkstā inventāra iegādei)</v>
      </c>
      <c r="B3" s="1221"/>
      <c r="C3" s="1221"/>
      <c r="D3" s="1221"/>
      <c r="E3" s="1221"/>
      <c r="F3" s="1221"/>
      <c r="G3" s="1221"/>
      <c r="H3" s="1221"/>
      <c r="I3" s="1221"/>
      <c r="J3" s="1221"/>
      <c r="K3" s="1221"/>
      <c r="L3" s="1221"/>
      <c r="M3" s="1221"/>
      <c r="N3" s="1221"/>
      <c r="O3" s="1221"/>
      <c r="P3" s="1221"/>
      <c r="Q3" s="1221"/>
      <c r="R3" s="1221"/>
      <c r="S3" s="1221"/>
      <c r="T3" s="1221"/>
      <c r="U3" s="1221"/>
      <c r="V3" s="1221"/>
      <c r="W3" s="1221"/>
      <c r="X3" s="1221"/>
      <c r="Y3" s="1221"/>
      <c r="Z3" s="1221"/>
    </row>
    <row r="4" spans="1:27" ht="26.5" customHeight="1" x14ac:dyDescent="0.3">
      <c r="A4" s="523" t="s">
        <v>187</v>
      </c>
      <c r="B4" s="524"/>
      <c r="C4" s="524"/>
      <c r="D4" s="524"/>
      <c r="E4" s="524"/>
      <c r="F4" s="524"/>
      <c r="G4" s="524"/>
      <c r="H4" s="524"/>
      <c r="I4" s="524"/>
      <c r="J4" s="524"/>
      <c r="K4" s="524"/>
      <c r="L4" s="524"/>
      <c r="M4" s="524"/>
      <c r="N4" s="524"/>
      <c r="O4" s="524"/>
      <c r="P4" s="524"/>
      <c r="Q4" s="524"/>
      <c r="R4" s="524"/>
      <c r="S4" s="524"/>
      <c r="T4" s="524"/>
      <c r="U4" s="524"/>
      <c r="V4" s="524"/>
      <c r="W4" s="524"/>
      <c r="X4" s="524"/>
      <c r="Y4" s="524"/>
      <c r="Z4" s="524"/>
    </row>
    <row r="5" spans="1:27" x14ac:dyDescent="0.3">
      <c r="A5" s="1107" t="s">
        <v>38</v>
      </c>
      <c r="B5" s="1106" t="s">
        <v>82</v>
      </c>
      <c r="C5" s="1106"/>
      <c r="D5" s="1106" t="s">
        <v>82</v>
      </c>
      <c r="E5" s="1106"/>
      <c r="F5" s="1106" t="s">
        <v>82</v>
      </c>
      <c r="G5" s="1106"/>
      <c r="H5" s="1106" t="s">
        <v>82</v>
      </c>
      <c r="I5" s="1106"/>
      <c r="J5" s="1106" t="s">
        <v>82</v>
      </c>
      <c r="K5" s="1106"/>
      <c r="L5" s="1106" t="s">
        <v>82</v>
      </c>
      <c r="M5" s="1106"/>
      <c r="N5" s="1106" t="s">
        <v>82</v>
      </c>
      <c r="O5" s="1106"/>
      <c r="P5" s="1106" t="s">
        <v>82</v>
      </c>
      <c r="Q5" s="1106"/>
      <c r="R5" s="1122" t="s">
        <v>82</v>
      </c>
      <c r="S5" s="1122"/>
      <c r="T5" s="1122" t="s">
        <v>82</v>
      </c>
      <c r="U5" s="1122"/>
      <c r="V5" s="1122" t="s">
        <v>82</v>
      </c>
      <c r="W5" s="1122"/>
      <c r="X5" s="1122" t="s">
        <v>82</v>
      </c>
      <c r="Y5" s="1122"/>
      <c r="Z5" s="450" t="s">
        <v>82</v>
      </c>
    </row>
    <row r="6" spans="1:27" ht="14.5" customHeight="1" x14ac:dyDescent="0.3">
      <c r="A6" s="1107"/>
      <c r="B6" s="1108" t="s">
        <v>87</v>
      </c>
      <c r="C6" s="1108"/>
      <c r="D6" s="1108" t="s">
        <v>88</v>
      </c>
      <c r="E6" s="1108"/>
      <c r="F6" s="1108" t="s">
        <v>14</v>
      </c>
      <c r="G6" s="1108"/>
      <c r="H6" s="1108" t="s">
        <v>15</v>
      </c>
      <c r="I6" s="1108"/>
      <c r="J6" s="1158" t="s">
        <v>16</v>
      </c>
      <c r="K6" s="1159"/>
      <c r="L6" s="1108" t="s">
        <v>17</v>
      </c>
      <c r="M6" s="1108"/>
      <c r="N6" s="1158" t="s">
        <v>18</v>
      </c>
      <c r="O6" s="1159"/>
      <c r="P6" s="1108" t="s">
        <v>19</v>
      </c>
      <c r="Q6" s="1108"/>
      <c r="R6" s="1108" t="s">
        <v>20</v>
      </c>
      <c r="S6" s="1108"/>
      <c r="T6" s="1108" t="s">
        <v>21</v>
      </c>
      <c r="U6" s="1108"/>
      <c r="V6" s="1108" t="s">
        <v>22</v>
      </c>
      <c r="W6" s="1108"/>
      <c r="X6" s="1108" t="s">
        <v>23</v>
      </c>
      <c r="Y6" s="1108"/>
      <c r="Z6" s="173" t="s">
        <v>36</v>
      </c>
    </row>
    <row r="7" spans="1:27" x14ac:dyDescent="0.3">
      <c r="A7" s="1107"/>
      <c r="B7" s="159"/>
      <c r="C7" s="160" t="s">
        <v>24</v>
      </c>
      <c r="D7" s="161"/>
      <c r="E7" s="162" t="s">
        <v>24</v>
      </c>
      <c r="F7" s="159"/>
      <c r="G7" s="160" t="s">
        <v>24</v>
      </c>
      <c r="H7" s="161"/>
      <c r="I7" s="162" t="s">
        <v>24</v>
      </c>
      <c r="J7" s="159"/>
      <c r="K7" s="162" t="s">
        <v>24</v>
      </c>
      <c r="L7" s="159"/>
      <c r="M7" s="162" t="s">
        <v>24</v>
      </c>
      <c r="N7" s="159"/>
      <c r="O7" s="162" t="s">
        <v>24</v>
      </c>
      <c r="P7" s="159"/>
      <c r="Q7" s="162" t="s">
        <v>24</v>
      </c>
      <c r="R7" s="163"/>
      <c r="S7" s="190" t="s">
        <v>24</v>
      </c>
      <c r="T7" s="165"/>
      <c r="U7" s="190" t="s">
        <v>24</v>
      </c>
      <c r="V7" s="165"/>
      <c r="W7" s="190" t="s">
        <v>24</v>
      </c>
      <c r="X7" s="165"/>
      <c r="Y7" s="190" t="s">
        <v>24</v>
      </c>
      <c r="Z7" s="166" t="s">
        <v>24</v>
      </c>
    </row>
    <row r="8" spans="1:27" ht="60.65" customHeight="1" x14ac:dyDescent="0.3">
      <c r="A8" s="1107"/>
      <c r="B8" s="167" t="s">
        <v>26</v>
      </c>
      <c r="C8" s="168" t="s">
        <v>27</v>
      </c>
      <c r="D8" s="169" t="s">
        <v>26</v>
      </c>
      <c r="E8" s="170" t="s">
        <v>27</v>
      </c>
      <c r="F8" s="167" t="s">
        <v>26</v>
      </c>
      <c r="G8" s="168" t="s">
        <v>27</v>
      </c>
      <c r="H8" s="169" t="s">
        <v>26</v>
      </c>
      <c r="I8" s="170" t="s">
        <v>27</v>
      </c>
      <c r="J8" s="167" t="s">
        <v>26</v>
      </c>
      <c r="K8" s="170" t="s">
        <v>27</v>
      </c>
      <c r="L8" s="167" t="s">
        <v>26</v>
      </c>
      <c r="M8" s="170" t="s">
        <v>27</v>
      </c>
      <c r="N8" s="167" t="s">
        <v>26</v>
      </c>
      <c r="O8" s="170" t="s">
        <v>27</v>
      </c>
      <c r="P8" s="167" t="s">
        <v>26</v>
      </c>
      <c r="Q8" s="170" t="s">
        <v>27</v>
      </c>
      <c r="R8" s="449" t="s">
        <v>26</v>
      </c>
      <c r="S8" s="170" t="s">
        <v>27</v>
      </c>
      <c r="T8" s="171" t="s">
        <v>26</v>
      </c>
      <c r="U8" s="170" t="s">
        <v>27</v>
      </c>
      <c r="V8" s="171" t="s">
        <v>26</v>
      </c>
      <c r="W8" s="170" t="s">
        <v>27</v>
      </c>
      <c r="X8" s="171" t="s">
        <v>26</v>
      </c>
      <c r="Y8" s="170" t="s">
        <v>27</v>
      </c>
      <c r="Z8" s="173" t="s">
        <v>27</v>
      </c>
    </row>
    <row r="9" spans="1:27" x14ac:dyDescent="0.3">
      <c r="A9" s="174" t="s">
        <v>39</v>
      </c>
      <c r="B9" s="175">
        <v>1</v>
      </c>
      <c r="C9" s="176">
        <v>2</v>
      </c>
      <c r="D9" s="177">
        <v>3</v>
      </c>
      <c r="E9" s="178">
        <v>4</v>
      </c>
      <c r="F9" s="175">
        <v>5</v>
      </c>
      <c r="G9" s="176">
        <v>6</v>
      </c>
      <c r="H9" s="177">
        <v>7</v>
      </c>
      <c r="I9" s="178">
        <v>8</v>
      </c>
      <c r="J9" s="175">
        <v>9</v>
      </c>
      <c r="K9" s="178">
        <v>10</v>
      </c>
      <c r="L9" s="175">
        <v>11</v>
      </c>
      <c r="M9" s="178">
        <v>12</v>
      </c>
      <c r="N9" s="175">
        <v>13</v>
      </c>
      <c r="O9" s="178">
        <v>14</v>
      </c>
      <c r="P9" s="175">
        <v>15</v>
      </c>
      <c r="Q9" s="178">
        <v>16</v>
      </c>
      <c r="R9" s="179">
        <v>17</v>
      </c>
      <c r="S9" s="178">
        <v>18</v>
      </c>
      <c r="T9" s="181">
        <v>19</v>
      </c>
      <c r="U9" s="178">
        <v>20</v>
      </c>
      <c r="V9" s="181">
        <v>21</v>
      </c>
      <c r="W9" s="178">
        <v>22</v>
      </c>
      <c r="X9" s="181">
        <v>23</v>
      </c>
      <c r="Y9" s="178">
        <v>24</v>
      </c>
      <c r="Z9" s="182">
        <v>25</v>
      </c>
    </row>
    <row r="10" spans="1:27" ht="36" customHeight="1" x14ac:dyDescent="0.3">
      <c r="A10" s="183" t="s">
        <v>33</v>
      </c>
      <c r="B10" s="184">
        <v>341</v>
      </c>
      <c r="C10" s="187">
        <v>47471.81</v>
      </c>
      <c r="D10" s="184">
        <v>321</v>
      </c>
      <c r="E10" s="187">
        <v>44611.710000000006</v>
      </c>
      <c r="F10" s="184">
        <v>316</v>
      </c>
      <c r="G10" s="187">
        <v>48262.38</v>
      </c>
      <c r="H10" s="184">
        <v>292</v>
      </c>
      <c r="I10" s="187">
        <v>43583.21</v>
      </c>
      <c r="J10" s="185">
        <v>310</v>
      </c>
      <c r="K10" s="188">
        <v>44229.87</v>
      </c>
      <c r="L10" s="184">
        <v>290</v>
      </c>
      <c r="M10" s="187">
        <v>41556.880000000005</v>
      </c>
      <c r="N10" s="185">
        <v>330</v>
      </c>
      <c r="O10" s="188">
        <v>41335.589999999997</v>
      </c>
      <c r="P10" s="184">
        <v>286</v>
      </c>
      <c r="Q10" s="187">
        <v>41895.210000000006</v>
      </c>
      <c r="R10" s="525">
        <v>272</v>
      </c>
      <c r="S10" s="187">
        <v>39122.039999999994</v>
      </c>
      <c r="T10" s="525">
        <v>256</v>
      </c>
      <c r="U10" s="187">
        <v>37962.350000000006</v>
      </c>
      <c r="V10" s="525">
        <v>252</v>
      </c>
      <c r="W10" s="187">
        <v>36761.319999999992</v>
      </c>
      <c r="X10" s="525">
        <v>247</v>
      </c>
      <c r="Y10" s="187">
        <v>35856.32</v>
      </c>
      <c r="Z10" s="526">
        <f t="shared" ref="Z10:Z12" si="0">G10+I10+K10+M10+O10+Q10+S10+U10+W10+Y10+E10+C10</f>
        <v>502648.69000000006</v>
      </c>
      <c r="AA10" s="425"/>
    </row>
    <row r="11" spans="1:27" ht="36" customHeight="1" x14ac:dyDescent="0.3">
      <c r="A11" s="183" t="s">
        <v>34</v>
      </c>
      <c r="B11" s="184">
        <v>473</v>
      </c>
      <c r="C11" s="187">
        <v>121443.11</v>
      </c>
      <c r="D11" s="184">
        <v>453</v>
      </c>
      <c r="E11" s="187">
        <v>117342.04000000001</v>
      </c>
      <c r="F11" s="184">
        <v>432</v>
      </c>
      <c r="G11" s="187">
        <v>110019.73999999999</v>
      </c>
      <c r="H11" s="184">
        <v>447</v>
      </c>
      <c r="I11" s="187">
        <v>121240.99</v>
      </c>
      <c r="J11" s="185">
        <v>429</v>
      </c>
      <c r="K11" s="188">
        <v>110632.47999999998</v>
      </c>
      <c r="L11" s="184">
        <v>410</v>
      </c>
      <c r="M11" s="187">
        <v>104573.21</v>
      </c>
      <c r="N11" s="185">
        <v>447</v>
      </c>
      <c r="O11" s="188">
        <v>107975.57</v>
      </c>
      <c r="P11" s="184">
        <v>403</v>
      </c>
      <c r="Q11" s="187">
        <v>104421.98</v>
      </c>
      <c r="R11" s="525">
        <v>376</v>
      </c>
      <c r="S11" s="187">
        <v>96512.750000000015</v>
      </c>
      <c r="T11" s="525">
        <v>351</v>
      </c>
      <c r="U11" s="187">
        <v>89438.36</v>
      </c>
      <c r="V11" s="525">
        <v>336</v>
      </c>
      <c r="W11" s="187">
        <v>90237.099999999991</v>
      </c>
      <c r="X11" s="525">
        <v>307</v>
      </c>
      <c r="Y11" s="187">
        <v>85869.63</v>
      </c>
      <c r="Z11" s="526">
        <f t="shared" si="0"/>
        <v>1259706.96</v>
      </c>
      <c r="AA11" s="425"/>
    </row>
    <row r="12" spans="1:27" ht="36" customHeight="1" x14ac:dyDescent="0.3">
      <c r="A12" s="183" t="s">
        <v>35</v>
      </c>
      <c r="B12" s="184">
        <v>140</v>
      </c>
      <c r="C12" s="187">
        <v>14032.12</v>
      </c>
      <c r="D12" s="184">
        <v>104</v>
      </c>
      <c r="E12" s="187">
        <v>10261.61</v>
      </c>
      <c r="F12" s="184">
        <v>83</v>
      </c>
      <c r="G12" s="187">
        <v>7838.05</v>
      </c>
      <c r="H12" s="184">
        <v>99</v>
      </c>
      <c r="I12" s="187">
        <v>11645.8</v>
      </c>
      <c r="J12" s="185">
        <v>89</v>
      </c>
      <c r="K12" s="188">
        <v>7083.16</v>
      </c>
      <c r="L12" s="184">
        <v>78</v>
      </c>
      <c r="M12" s="187">
        <v>7225.36</v>
      </c>
      <c r="N12" s="185">
        <v>115</v>
      </c>
      <c r="O12" s="188">
        <v>9749.630000000001</v>
      </c>
      <c r="P12" s="184">
        <v>75</v>
      </c>
      <c r="Q12" s="187">
        <v>7163.6100000000006</v>
      </c>
      <c r="R12" s="525">
        <v>73</v>
      </c>
      <c r="S12" s="187">
        <v>6533.0499999999993</v>
      </c>
      <c r="T12" s="525">
        <v>74</v>
      </c>
      <c r="U12" s="187">
        <v>6657.29</v>
      </c>
      <c r="V12" s="525">
        <v>62</v>
      </c>
      <c r="W12" s="187">
        <v>5687.83</v>
      </c>
      <c r="X12" s="525">
        <v>59</v>
      </c>
      <c r="Y12" s="187">
        <v>4642.78</v>
      </c>
      <c r="Z12" s="526">
        <f t="shared" si="0"/>
        <v>98520.29</v>
      </c>
      <c r="AA12" s="425"/>
    </row>
    <row r="13" spans="1:27" x14ac:dyDescent="0.3">
      <c r="A13" s="33"/>
      <c r="B13" s="33"/>
      <c r="C13" s="33"/>
      <c r="D13" s="33"/>
      <c r="E13" s="33"/>
      <c r="F13" s="33"/>
      <c r="G13" s="33"/>
      <c r="H13" s="33"/>
      <c r="I13" s="33"/>
      <c r="J13" s="33"/>
      <c r="K13" s="33"/>
      <c r="L13" s="33"/>
      <c r="M13" s="33"/>
      <c r="N13" s="33"/>
      <c r="O13" s="33"/>
      <c r="P13" s="33"/>
      <c r="Q13" s="33"/>
      <c r="R13" s="33"/>
      <c r="S13" s="33"/>
      <c r="T13" s="33"/>
      <c r="U13" s="33"/>
      <c r="V13" s="33"/>
      <c r="W13" s="33"/>
      <c r="X13" s="33"/>
      <c r="Y13" s="33"/>
      <c r="Z13" s="527">
        <f>SUM(Z10:Z12)</f>
        <v>1860875.94</v>
      </c>
    </row>
    <row r="16" spans="1:27" x14ac:dyDescent="0.3">
      <c r="A16" s="1107" t="s">
        <v>38</v>
      </c>
      <c r="B16" s="1122" t="s">
        <v>140</v>
      </c>
      <c r="C16" s="1122"/>
      <c r="D16" s="1122" t="s">
        <v>140</v>
      </c>
      <c r="E16" s="1122"/>
      <c r="F16" s="1122" t="s">
        <v>140</v>
      </c>
      <c r="G16" s="1122"/>
      <c r="H16" s="1122" t="s">
        <v>140</v>
      </c>
      <c r="I16" s="1122"/>
      <c r="J16" s="1122" t="s">
        <v>140</v>
      </c>
      <c r="K16" s="1122"/>
      <c r="L16" s="1122" t="s">
        <v>140</v>
      </c>
      <c r="M16" s="1122"/>
      <c r="N16" s="1122" t="s">
        <v>140</v>
      </c>
      <c r="O16" s="1122"/>
      <c r="P16" s="1122" t="s">
        <v>140</v>
      </c>
      <c r="Q16" s="1122"/>
      <c r="R16" s="1122" t="s">
        <v>140</v>
      </c>
      <c r="S16" s="1122"/>
      <c r="T16" s="1122" t="s">
        <v>140</v>
      </c>
      <c r="U16" s="1122"/>
      <c r="V16" s="1122" t="s">
        <v>140</v>
      </c>
      <c r="W16" s="1122"/>
      <c r="X16" s="1122" t="s">
        <v>140</v>
      </c>
      <c r="Y16" s="1122"/>
      <c r="Z16" s="450" t="s">
        <v>140</v>
      </c>
    </row>
    <row r="17" spans="1:31" ht="14.5" customHeight="1" x14ac:dyDescent="0.3">
      <c r="A17" s="1107"/>
      <c r="B17" s="1108" t="s">
        <v>87</v>
      </c>
      <c r="C17" s="1108"/>
      <c r="D17" s="1108" t="s">
        <v>88</v>
      </c>
      <c r="E17" s="1108"/>
      <c r="F17" s="1108" t="s">
        <v>14</v>
      </c>
      <c r="G17" s="1108"/>
      <c r="H17" s="1108" t="s">
        <v>15</v>
      </c>
      <c r="I17" s="1108"/>
      <c r="J17" s="1108" t="s">
        <v>16</v>
      </c>
      <c r="K17" s="1108"/>
      <c r="L17" s="1108" t="s">
        <v>17</v>
      </c>
      <c r="M17" s="1108"/>
      <c r="N17" s="1108" t="s">
        <v>18</v>
      </c>
      <c r="O17" s="1108"/>
      <c r="P17" s="1108" t="s">
        <v>19</v>
      </c>
      <c r="Q17" s="1108"/>
      <c r="R17" s="1108" t="s">
        <v>20</v>
      </c>
      <c r="S17" s="1108"/>
      <c r="T17" s="1108" t="s">
        <v>21</v>
      </c>
      <c r="U17" s="1108"/>
      <c r="V17" s="1108" t="s">
        <v>22</v>
      </c>
      <c r="W17" s="1108"/>
      <c r="X17" s="1108" t="s">
        <v>23</v>
      </c>
      <c r="Y17" s="1108"/>
      <c r="Z17" s="173" t="s">
        <v>36</v>
      </c>
    </row>
    <row r="18" spans="1:31" x14ac:dyDescent="0.3">
      <c r="A18" s="1107"/>
      <c r="B18" s="191"/>
      <c r="C18" s="192" t="s">
        <v>24</v>
      </c>
      <c r="D18" s="193"/>
      <c r="E18" s="194" t="s">
        <v>24</v>
      </c>
      <c r="F18" s="191"/>
      <c r="G18" s="192" t="s">
        <v>24</v>
      </c>
      <c r="H18" s="193"/>
      <c r="I18" s="194" t="s">
        <v>24</v>
      </c>
      <c r="J18" s="191"/>
      <c r="K18" s="194" t="s">
        <v>24</v>
      </c>
      <c r="L18" s="191"/>
      <c r="M18" s="194" t="s">
        <v>24</v>
      </c>
      <c r="N18" s="191"/>
      <c r="O18" s="194" t="s">
        <v>24</v>
      </c>
      <c r="P18" s="191"/>
      <c r="Q18" s="194" t="s">
        <v>24</v>
      </c>
      <c r="R18" s="191"/>
      <c r="S18" s="194" t="s">
        <v>24</v>
      </c>
      <c r="T18" s="165"/>
      <c r="U18" s="190" t="s">
        <v>24</v>
      </c>
      <c r="V18" s="165"/>
      <c r="W18" s="190" t="s">
        <v>24</v>
      </c>
      <c r="X18" s="165"/>
      <c r="Y18" s="190" t="s">
        <v>24</v>
      </c>
      <c r="Z18" s="166" t="s">
        <v>24</v>
      </c>
    </row>
    <row r="19" spans="1:31" ht="59.5" customHeight="1" x14ac:dyDescent="0.3">
      <c r="A19" s="1107"/>
      <c r="B19" s="167" t="s">
        <v>26</v>
      </c>
      <c r="C19" s="170" t="s">
        <v>27</v>
      </c>
      <c r="D19" s="169" t="s">
        <v>26</v>
      </c>
      <c r="E19" s="170" t="s">
        <v>27</v>
      </c>
      <c r="F19" s="167" t="s">
        <v>26</v>
      </c>
      <c r="G19" s="170" t="s">
        <v>27</v>
      </c>
      <c r="H19" s="169" t="s">
        <v>26</v>
      </c>
      <c r="I19" s="170" t="s">
        <v>27</v>
      </c>
      <c r="J19" s="167" t="s">
        <v>26</v>
      </c>
      <c r="K19" s="170" t="s">
        <v>27</v>
      </c>
      <c r="L19" s="167" t="s">
        <v>26</v>
      </c>
      <c r="M19" s="170" t="s">
        <v>27</v>
      </c>
      <c r="N19" s="167" t="s">
        <v>26</v>
      </c>
      <c r="O19" s="170" t="s">
        <v>27</v>
      </c>
      <c r="P19" s="167" t="s">
        <v>26</v>
      </c>
      <c r="Q19" s="170" t="s">
        <v>27</v>
      </c>
      <c r="R19" s="167" t="s">
        <v>26</v>
      </c>
      <c r="S19" s="170" t="s">
        <v>27</v>
      </c>
      <c r="T19" s="171" t="s">
        <v>26</v>
      </c>
      <c r="U19" s="170" t="s">
        <v>27</v>
      </c>
      <c r="V19" s="171" t="s">
        <v>26</v>
      </c>
      <c r="W19" s="170" t="s">
        <v>27</v>
      </c>
      <c r="X19" s="171" t="s">
        <v>26</v>
      </c>
      <c r="Y19" s="170" t="s">
        <v>27</v>
      </c>
      <c r="Z19" s="173" t="s">
        <v>27</v>
      </c>
    </row>
    <row r="20" spans="1:31" s="33" customFormat="1" x14ac:dyDescent="0.3">
      <c r="A20" s="174" t="s">
        <v>39</v>
      </c>
      <c r="B20" s="175">
        <v>1</v>
      </c>
      <c r="C20" s="176">
        <v>2</v>
      </c>
      <c r="D20" s="177">
        <v>3</v>
      </c>
      <c r="E20" s="178">
        <v>4</v>
      </c>
      <c r="F20" s="175">
        <v>5</v>
      </c>
      <c r="G20" s="176">
        <v>6</v>
      </c>
      <c r="H20" s="177">
        <v>7</v>
      </c>
      <c r="I20" s="178">
        <v>8</v>
      </c>
      <c r="J20" s="175">
        <v>9</v>
      </c>
      <c r="K20" s="178">
        <v>10</v>
      </c>
      <c r="L20" s="175">
        <v>11</v>
      </c>
      <c r="M20" s="178">
        <v>12</v>
      </c>
      <c r="N20" s="175">
        <v>13</v>
      </c>
      <c r="O20" s="178">
        <v>14</v>
      </c>
      <c r="P20" s="175">
        <v>15</v>
      </c>
      <c r="Q20" s="178">
        <v>16</v>
      </c>
      <c r="R20" s="175">
        <v>17</v>
      </c>
      <c r="S20" s="178">
        <v>18</v>
      </c>
      <c r="T20" s="181">
        <v>19</v>
      </c>
      <c r="U20" s="178">
        <v>20</v>
      </c>
      <c r="V20" s="181">
        <v>21</v>
      </c>
      <c r="W20" s="178">
        <v>22</v>
      </c>
      <c r="X20" s="181">
        <v>23</v>
      </c>
      <c r="Y20" s="178">
        <v>24</v>
      </c>
      <c r="Z20" s="182">
        <v>25</v>
      </c>
      <c r="AD20" s="3"/>
      <c r="AE20" s="3"/>
    </row>
    <row r="21" spans="1:31" ht="36" customHeight="1" x14ac:dyDescent="0.3">
      <c r="A21" s="183" t="s">
        <v>33</v>
      </c>
      <c r="B21" s="184">
        <v>233</v>
      </c>
      <c r="C21" s="187">
        <v>34415.67</v>
      </c>
      <c r="D21" s="184">
        <v>223</v>
      </c>
      <c r="E21" s="187">
        <v>32403.82</v>
      </c>
      <c r="F21" s="184">
        <v>222</v>
      </c>
      <c r="G21" s="187">
        <v>33761.769999999997</v>
      </c>
      <c r="H21" s="184">
        <v>219</v>
      </c>
      <c r="I21" s="187">
        <v>33654.199999999997</v>
      </c>
      <c r="J21" s="184">
        <v>217</v>
      </c>
      <c r="K21" s="187">
        <v>32304.71</v>
      </c>
      <c r="L21" s="184">
        <v>216</v>
      </c>
      <c r="M21" s="187">
        <v>31682.26</v>
      </c>
      <c r="N21" s="184">
        <v>209</v>
      </c>
      <c r="O21" s="187">
        <v>30867.34</v>
      </c>
      <c r="P21" s="184">
        <v>212</v>
      </c>
      <c r="Q21" s="187">
        <v>31359.279999999999</v>
      </c>
      <c r="R21" s="184">
        <v>216</v>
      </c>
      <c r="S21" s="187">
        <v>33032.76</v>
      </c>
      <c r="T21" s="184">
        <v>231</v>
      </c>
      <c r="U21" s="187">
        <v>35784.61</v>
      </c>
      <c r="V21" s="184">
        <v>215</v>
      </c>
      <c r="W21" s="187">
        <v>32392.1</v>
      </c>
      <c r="X21" s="184">
        <v>214</v>
      </c>
      <c r="Y21" s="187">
        <v>31788.35</v>
      </c>
      <c r="Z21" s="526">
        <f>ROUND(G21+I21+K21+M21+O21+Q21+S21+U21+W21+Y21+E21+C21,0)</f>
        <v>393447</v>
      </c>
    </row>
    <row r="22" spans="1:31" ht="36" customHeight="1" x14ac:dyDescent="0.3">
      <c r="A22" s="183" t="s">
        <v>34</v>
      </c>
      <c r="B22" s="184">
        <v>323</v>
      </c>
      <c r="C22" s="187">
        <v>83621.02</v>
      </c>
      <c r="D22" s="184">
        <v>307</v>
      </c>
      <c r="E22" s="187">
        <v>77891.320000000007</v>
      </c>
      <c r="F22" s="184">
        <v>300</v>
      </c>
      <c r="G22" s="187">
        <v>78309.8</v>
      </c>
      <c r="H22" s="184">
        <v>302</v>
      </c>
      <c r="I22" s="187">
        <v>77888.23</v>
      </c>
      <c r="J22" s="184">
        <v>292</v>
      </c>
      <c r="K22" s="187">
        <v>74523.53</v>
      </c>
      <c r="L22" s="184">
        <v>287</v>
      </c>
      <c r="M22" s="187">
        <v>72379.56</v>
      </c>
      <c r="N22" s="184">
        <v>279</v>
      </c>
      <c r="O22" s="187">
        <v>70589.440000000002</v>
      </c>
      <c r="P22" s="184">
        <v>284</v>
      </c>
      <c r="Q22" s="187">
        <v>74072.429999999993</v>
      </c>
      <c r="R22" s="184">
        <v>292</v>
      </c>
      <c r="S22" s="187">
        <v>76011.38</v>
      </c>
      <c r="T22" s="184">
        <v>303</v>
      </c>
      <c r="U22" s="187">
        <v>83786.05</v>
      </c>
      <c r="V22" s="184">
        <v>295</v>
      </c>
      <c r="W22" s="187">
        <v>79073.91</v>
      </c>
      <c r="X22" s="184">
        <v>280</v>
      </c>
      <c r="Y22" s="187">
        <v>73230.2</v>
      </c>
      <c r="Z22" s="526">
        <f t="shared" ref="Z22:Z23" si="1">ROUND(G22+I22+K22+M22+O22+Q22+S22+U22+W22+Y22+E22+C22,0)</f>
        <v>921377</v>
      </c>
    </row>
    <row r="23" spans="1:31" ht="36" customHeight="1" x14ac:dyDescent="0.3">
      <c r="A23" s="183" t="s">
        <v>35</v>
      </c>
      <c r="B23" s="184">
        <v>66</v>
      </c>
      <c r="C23" s="187">
        <v>6625.46</v>
      </c>
      <c r="D23" s="184">
        <v>63</v>
      </c>
      <c r="E23" s="187">
        <v>5808.69</v>
      </c>
      <c r="F23" s="184">
        <v>66</v>
      </c>
      <c r="G23" s="187">
        <v>8000.19</v>
      </c>
      <c r="H23" s="184">
        <v>63</v>
      </c>
      <c r="I23" s="187">
        <v>5411.5</v>
      </c>
      <c r="J23" s="184">
        <v>61</v>
      </c>
      <c r="K23" s="187">
        <v>6248</v>
      </c>
      <c r="L23" s="184">
        <v>62</v>
      </c>
      <c r="M23" s="187">
        <v>6110.09</v>
      </c>
      <c r="N23" s="184">
        <v>58</v>
      </c>
      <c r="O23" s="187">
        <v>5264.65</v>
      </c>
      <c r="P23" s="184">
        <v>63</v>
      </c>
      <c r="Q23" s="187">
        <v>6952.96</v>
      </c>
      <c r="R23" s="184">
        <v>71</v>
      </c>
      <c r="S23" s="187">
        <v>8828.84</v>
      </c>
      <c r="T23" s="184">
        <v>75</v>
      </c>
      <c r="U23" s="187">
        <v>9653.19</v>
      </c>
      <c r="V23" s="184">
        <v>58</v>
      </c>
      <c r="W23" s="187">
        <v>4195.16</v>
      </c>
      <c r="X23" s="184">
        <v>58</v>
      </c>
      <c r="Y23" s="187">
        <v>4522.3900000000003</v>
      </c>
      <c r="Z23" s="526">
        <f t="shared" si="1"/>
        <v>77621</v>
      </c>
    </row>
    <row r="24" spans="1:31" x14ac:dyDescent="0.3">
      <c r="Z24" s="527">
        <f>ROUND(SUM(Z21:Z23),0)</f>
        <v>1392445</v>
      </c>
    </row>
    <row r="27" spans="1:31" x14ac:dyDescent="0.3">
      <c r="A27" s="1107" t="s">
        <v>38</v>
      </c>
      <c r="B27" s="1122" t="s">
        <v>189</v>
      </c>
      <c r="C27" s="1122"/>
      <c r="D27" s="1122" t="s">
        <v>189</v>
      </c>
      <c r="E27" s="1122"/>
      <c r="F27" s="1122" t="s">
        <v>189</v>
      </c>
      <c r="G27" s="1122"/>
      <c r="H27" s="1122" t="s">
        <v>189</v>
      </c>
      <c r="I27" s="1122"/>
      <c r="J27" s="1122" t="s">
        <v>189</v>
      </c>
      <c r="K27" s="1122"/>
      <c r="L27" s="1122" t="s">
        <v>189</v>
      </c>
      <c r="M27" s="1122"/>
      <c r="N27" s="1122" t="s">
        <v>189</v>
      </c>
      <c r="O27" s="1122"/>
      <c r="P27" s="1122" t="s">
        <v>189</v>
      </c>
      <c r="Q27" s="1122"/>
      <c r="R27" s="1122" t="s">
        <v>189</v>
      </c>
      <c r="S27" s="1122"/>
      <c r="T27" s="1123" t="s">
        <v>189</v>
      </c>
      <c r="U27" s="1123"/>
      <c r="V27" s="1123" t="s">
        <v>189</v>
      </c>
      <c r="W27" s="1123"/>
      <c r="X27" s="1123" t="s">
        <v>189</v>
      </c>
      <c r="Y27" s="1123"/>
      <c r="Z27" s="506" t="s">
        <v>189</v>
      </c>
    </row>
    <row r="28" spans="1:31" ht="14.5" customHeight="1" x14ac:dyDescent="0.3">
      <c r="A28" s="1107"/>
      <c r="B28" s="1108" t="s">
        <v>87</v>
      </c>
      <c r="C28" s="1108"/>
      <c r="D28" s="1108" t="s">
        <v>88</v>
      </c>
      <c r="E28" s="1108"/>
      <c r="F28" s="1108" t="s">
        <v>14</v>
      </c>
      <c r="G28" s="1108"/>
      <c r="H28" s="1108" t="s">
        <v>15</v>
      </c>
      <c r="I28" s="1108"/>
      <c r="J28" s="1108" t="s">
        <v>16</v>
      </c>
      <c r="K28" s="1108"/>
      <c r="L28" s="1223" t="s">
        <v>270</v>
      </c>
      <c r="M28" s="1223"/>
      <c r="N28" s="1223" t="s">
        <v>18</v>
      </c>
      <c r="O28" s="1223"/>
      <c r="P28" s="1223" t="s">
        <v>19</v>
      </c>
      <c r="Q28" s="1223"/>
      <c r="R28" s="1223" t="s">
        <v>20</v>
      </c>
      <c r="S28" s="1223"/>
      <c r="T28" s="1123" t="s">
        <v>21</v>
      </c>
      <c r="U28" s="1123"/>
      <c r="V28" s="1123" t="s">
        <v>22</v>
      </c>
      <c r="W28" s="1123"/>
      <c r="X28" s="1123" t="s">
        <v>23</v>
      </c>
      <c r="Y28" s="1123"/>
      <c r="Z28" s="506" t="s">
        <v>36</v>
      </c>
    </row>
    <row r="29" spans="1:31" x14ac:dyDescent="0.3">
      <c r="A29" s="1107"/>
      <c r="B29" s="191"/>
      <c r="C29" s="192" t="s">
        <v>24</v>
      </c>
      <c r="D29" s="193"/>
      <c r="E29" s="194" t="s">
        <v>24</v>
      </c>
      <c r="F29" s="191"/>
      <c r="G29" s="192" t="s">
        <v>24</v>
      </c>
      <c r="H29" s="193"/>
      <c r="I29" s="194" t="s">
        <v>24</v>
      </c>
      <c r="J29" s="191"/>
      <c r="K29" s="194" t="s">
        <v>24</v>
      </c>
      <c r="L29" s="191"/>
      <c r="M29" s="194" t="s">
        <v>24</v>
      </c>
      <c r="N29" s="191"/>
      <c r="O29" s="194" t="s">
        <v>24</v>
      </c>
      <c r="P29" s="191"/>
      <c r="Q29" s="194" t="s">
        <v>24</v>
      </c>
      <c r="R29" s="191"/>
      <c r="S29" s="194" t="s">
        <v>24</v>
      </c>
      <c r="T29" s="509"/>
      <c r="U29" s="510" t="s">
        <v>24</v>
      </c>
      <c r="V29" s="509"/>
      <c r="W29" s="510" t="s">
        <v>24</v>
      </c>
      <c r="X29" s="509"/>
      <c r="Y29" s="510" t="s">
        <v>24</v>
      </c>
      <c r="Z29" s="510" t="s">
        <v>24</v>
      </c>
    </row>
    <row r="30" spans="1:31" ht="59.5" customHeight="1" x14ac:dyDescent="0.3">
      <c r="A30" s="1107"/>
      <c r="B30" s="167" t="s">
        <v>26</v>
      </c>
      <c r="C30" s="170" t="s">
        <v>27</v>
      </c>
      <c r="D30" s="169" t="s">
        <v>26</v>
      </c>
      <c r="E30" s="170" t="s">
        <v>27</v>
      </c>
      <c r="F30" s="167" t="s">
        <v>26</v>
      </c>
      <c r="G30" s="170" t="s">
        <v>27</v>
      </c>
      <c r="H30" s="169" t="s">
        <v>26</v>
      </c>
      <c r="I30" s="170" t="s">
        <v>27</v>
      </c>
      <c r="J30" s="167" t="s">
        <v>26</v>
      </c>
      <c r="K30" s="170" t="s">
        <v>27</v>
      </c>
      <c r="L30" s="200" t="s">
        <v>26</v>
      </c>
      <c r="M30" s="812" t="s">
        <v>27</v>
      </c>
      <c r="N30" s="200" t="s">
        <v>26</v>
      </c>
      <c r="O30" s="812" t="s">
        <v>27</v>
      </c>
      <c r="P30" s="200" t="s">
        <v>26</v>
      </c>
      <c r="Q30" s="812" t="s">
        <v>27</v>
      </c>
      <c r="R30" s="200" t="s">
        <v>26</v>
      </c>
      <c r="S30" s="812" t="s">
        <v>27</v>
      </c>
      <c r="T30" s="513" t="s">
        <v>26</v>
      </c>
      <c r="U30" s="512" t="s">
        <v>28</v>
      </c>
      <c r="V30" s="513" t="s">
        <v>26</v>
      </c>
      <c r="W30" s="512" t="s">
        <v>28</v>
      </c>
      <c r="X30" s="513" t="s">
        <v>26</v>
      </c>
      <c r="Y30" s="512" t="s">
        <v>28</v>
      </c>
      <c r="Z30" s="506" t="s">
        <v>97</v>
      </c>
    </row>
    <row r="31" spans="1:31" s="33" customFormat="1" x14ac:dyDescent="0.3">
      <c r="A31" s="174" t="s">
        <v>39</v>
      </c>
      <c r="B31" s="175">
        <v>1</v>
      </c>
      <c r="C31" s="176">
        <v>2</v>
      </c>
      <c r="D31" s="177">
        <v>3</v>
      </c>
      <c r="E31" s="178">
        <v>4</v>
      </c>
      <c r="F31" s="175">
        <v>5</v>
      </c>
      <c r="G31" s="176">
        <v>6</v>
      </c>
      <c r="H31" s="177">
        <v>7</v>
      </c>
      <c r="I31" s="178">
        <v>8</v>
      </c>
      <c r="J31" s="175">
        <v>9</v>
      </c>
      <c r="K31" s="178">
        <v>10</v>
      </c>
      <c r="L31" s="196">
        <v>11</v>
      </c>
      <c r="M31" s="807">
        <v>12</v>
      </c>
      <c r="N31" s="196">
        <v>13</v>
      </c>
      <c r="O31" s="807">
        <v>14</v>
      </c>
      <c r="P31" s="196">
        <v>15</v>
      </c>
      <c r="Q31" s="807">
        <v>16</v>
      </c>
      <c r="R31" s="196">
        <v>17</v>
      </c>
      <c r="S31" s="807">
        <v>18</v>
      </c>
      <c r="T31" s="516">
        <v>19</v>
      </c>
      <c r="U31" s="515">
        <v>20</v>
      </c>
      <c r="V31" s="516">
        <v>21</v>
      </c>
      <c r="W31" s="515">
        <v>22</v>
      </c>
      <c r="X31" s="516">
        <v>23</v>
      </c>
      <c r="Y31" s="515">
        <v>24</v>
      </c>
      <c r="Z31" s="516">
        <v>25</v>
      </c>
      <c r="AD31" s="3"/>
      <c r="AE31" s="3"/>
    </row>
    <row r="32" spans="1:31" ht="36" customHeight="1" x14ac:dyDescent="0.3">
      <c r="A32" s="183" t="s">
        <v>33</v>
      </c>
      <c r="B32" s="184">
        <v>215</v>
      </c>
      <c r="C32" s="187">
        <v>32635.07</v>
      </c>
      <c r="D32" s="184">
        <v>229</v>
      </c>
      <c r="E32" s="187">
        <v>34909.21</v>
      </c>
      <c r="F32" s="184">
        <v>227</v>
      </c>
      <c r="G32" s="187">
        <v>33465.56</v>
      </c>
      <c r="H32" s="184">
        <v>221</v>
      </c>
      <c r="I32" s="187">
        <v>30827.59</v>
      </c>
      <c r="J32" s="184">
        <v>202</v>
      </c>
      <c r="K32" s="187">
        <v>28295.79</v>
      </c>
      <c r="L32" s="525">
        <v>193</v>
      </c>
      <c r="M32" s="808">
        <v>27556.400000000001</v>
      </c>
      <c r="N32" s="525">
        <v>190</v>
      </c>
      <c r="O32" s="808">
        <v>26805.13</v>
      </c>
      <c r="P32" s="525">
        <v>195</v>
      </c>
      <c r="Q32" s="808">
        <v>28363.93</v>
      </c>
      <c r="R32" s="525">
        <v>205</v>
      </c>
      <c r="S32" s="808">
        <v>28339.279999999999</v>
      </c>
      <c r="T32" s="528">
        <f>(B32+D32+F32+H32+J32+L32+N32+P32+R32)/9</f>
        <v>208.55555555555554</v>
      </c>
      <c r="U32" s="529">
        <f>(C32+E32+G32+I32+K32+M32+O32+Q32+S32)/9</f>
        <v>30133.106666666663</v>
      </c>
      <c r="V32" s="528">
        <f t="shared" ref="V32:Y34" si="2">T32</f>
        <v>208.55555555555554</v>
      </c>
      <c r="W32" s="529">
        <f t="shared" si="2"/>
        <v>30133.106666666663</v>
      </c>
      <c r="X32" s="528">
        <f t="shared" si="2"/>
        <v>208.55555555555554</v>
      </c>
      <c r="Y32" s="529">
        <f t="shared" si="2"/>
        <v>30133.106666666663</v>
      </c>
      <c r="Z32" s="529">
        <f>ROUND(G32+I32+K32+M32+O32+Q32+S32+U32+W32+Y32+E32+C32,0)</f>
        <v>361597</v>
      </c>
    </row>
    <row r="33" spans="1:36" ht="36" customHeight="1" x14ac:dyDescent="0.3">
      <c r="A33" s="183" t="s">
        <v>34</v>
      </c>
      <c r="B33" s="184">
        <v>284</v>
      </c>
      <c r="C33" s="187">
        <v>77552.539999999994</v>
      </c>
      <c r="D33" s="184">
        <v>297</v>
      </c>
      <c r="E33" s="187">
        <v>79208.34</v>
      </c>
      <c r="F33" s="184">
        <v>294</v>
      </c>
      <c r="G33" s="187">
        <v>78947.73</v>
      </c>
      <c r="H33" s="184">
        <v>288</v>
      </c>
      <c r="I33" s="187">
        <v>74073.7</v>
      </c>
      <c r="J33" s="184">
        <v>267</v>
      </c>
      <c r="K33" s="187">
        <v>70123.520000000004</v>
      </c>
      <c r="L33" s="525">
        <v>260</v>
      </c>
      <c r="M33" s="808">
        <v>67649.84</v>
      </c>
      <c r="N33" s="525">
        <v>257</v>
      </c>
      <c r="O33" s="808">
        <v>66531.53</v>
      </c>
      <c r="P33" s="525">
        <v>259</v>
      </c>
      <c r="Q33" s="808">
        <v>67638.53</v>
      </c>
      <c r="R33" s="525">
        <v>266</v>
      </c>
      <c r="S33" s="808">
        <v>69913.929999999993</v>
      </c>
      <c r="T33" s="528">
        <f t="shared" ref="T33:T34" si="3">(B33+D33+F33+H33+J33+L33+N33+P33+R33)/9</f>
        <v>274.66666666666669</v>
      </c>
      <c r="U33" s="529">
        <f t="shared" ref="U33:U34" si="4">(C33+E33+G33+I33+K33+M33+O33+Q33+S33)/9</f>
        <v>72404.406666666677</v>
      </c>
      <c r="V33" s="528">
        <f t="shared" si="2"/>
        <v>274.66666666666669</v>
      </c>
      <c r="W33" s="529">
        <f t="shared" si="2"/>
        <v>72404.406666666677</v>
      </c>
      <c r="X33" s="528">
        <f t="shared" si="2"/>
        <v>274.66666666666669</v>
      </c>
      <c r="Y33" s="529">
        <f t="shared" si="2"/>
        <v>72404.406666666677</v>
      </c>
      <c r="Z33" s="529">
        <f t="shared" ref="Z33:Z34" si="5">ROUND(G33+I33+K33+M33+O33+Q33+S33+U33+W33+Y33+E33+C33,0)</f>
        <v>868853</v>
      </c>
    </row>
    <row r="34" spans="1:36" ht="36" customHeight="1" x14ac:dyDescent="0.3">
      <c r="A34" s="183" t="s">
        <v>35</v>
      </c>
      <c r="B34" s="184">
        <v>50</v>
      </c>
      <c r="C34" s="187">
        <v>5354.29</v>
      </c>
      <c r="D34" s="184">
        <v>74</v>
      </c>
      <c r="E34" s="187">
        <v>11289.91</v>
      </c>
      <c r="F34" s="184">
        <v>60</v>
      </c>
      <c r="G34" s="187">
        <v>6322.28</v>
      </c>
      <c r="H34" s="184">
        <v>43</v>
      </c>
      <c r="I34" s="187">
        <v>2822.5</v>
      </c>
      <c r="J34" s="184">
        <v>56</v>
      </c>
      <c r="K34" s="187">
        <v>5912.74</v>
      </c>
      <c r="L34" s="525">
        <v>47</v>
      </c>
      <c r="M34" s="808">
        <v>5426.2</v>
      </c>
      <c r="N34" s="525">
        <v>49</v>
      </c>
      <c r="O34" s="808">
        <v>5129.62</v>
      </c>
      <c r="P34" s="525">
        <v>57</v>
      </c>
      <c r="Q34" s="808">
        <v>7320.27</v>
      </c>
      <c r="R34" s="525">
        <v>67</v>
      </c>
      <c r="S34" s="808">
        <v>7655.37</v>
      </c>
      <c r="T34" s="528">
        <f t="shared" si="3"/>
        <v>55.888888888888886</v>
      </c>
      <c r="U34" s="529">
        <f t="shared" si="4"/>
        <v>6359.2422222222222</v>
      </c>
      <c r="V34" s="528">
        <f t="shared" si="2"/>
        <v>55.888888888888886</v>
      </c>
      <c r="W34" s="529">
        <f t="shared" si="2"/>
        <v>6359.2422222222222</v>
      </c>
      <c r="X34" s="528">
        <f t="shared" si="2"/>
        <v>55.888888888888886</v>
      </c>
      <c r="Y34" s="529">
        <f t="shared" si="2"/>
        <v>6359.2422222222222</v>
      </c>
      <c r="Z34" s="529">
        <f t="shared" si="5"/>
        <v>76311</v>
      </c>
    </row>
    <row r="35" spans="1:36" ht="27.65" customHeight="1" x14ac:dyDescent="0.3">
      <c r="A35" s="533" t="s">
        <v>335</v>
      </c>
      <c r="B35" s="487"/>
      <c r="C35" s="487"/>
      <c r="D35" s="487"/>
      <c r="E35" s="487"/>
      <c r="F35" s="487"/>
      <c r="G35" s="487"/>
      <c r="H35" s="487"/>
      <c r="I35" s="487"/>
      <c r="J35" s="487"/>
      <c r="K35" s="487"/>
      <c r="L35" s="487"/>
      <c r="M35" s="487"/>
      <c r="N35" s="488"/>
      <c r="O35" s="488"/>
      <c r="P35" s="488"/>
      <c r="Q35" s="488"/>
      <c r="R35" s="488"/>
      <c r="S35" s="488"/>
      <c r="T35" s="488"/>
      <c r="U35" s="488"/>
      <c r="V35" s="488"/>
      <c r="W35" s="488"/>
      <c r="X35" s="488"/>
      <c r="Y35" s="488"/>
      <c r="Z35" s="530">
        <f>ROUND(SUM(Z32:Z34),0)</f>
        <v>1306761</v>
      </c>
      <c r="AC35" s="6"/>
    </row>
    <row r="36" spans="1:36" x14ac:dyDescent="0.3">
      <c r="AC36" s="6"/>
    </row>
    <row r="37" spans="1:36" x14ac:dyDescent="0.3">
      <c r="AC37" s="6"/>
    </row>
    <row r="38" spans="1:36" x14ac:dyDescent="0.3">
      <c r="A38" s="1222" t="s">
        <v>38</v>
      </c>
      <c r="B38" s="1123" t="s">
        <v>244</v>
      </c>
      <c r="C38" s="1123"/>
      <c r="D38" s="1123" t="s">
        <v>244</v>
      </c>
      <c r="E38" s="1123"/>
      <c r="F38" s="1123" t="s">
        <v>244</v>
      </c>
      <c r="G38" s="1123"/>
      <c r="H38" s="1123" t="s">
        <v>244</v>
      </c>
      <c r="I38" s="1123"/>
      <c r="J38" s="1123" t="s">
        <v>244</v>
      </c>
      <c r="K38" s="1123"/>
      <c r="L38" s="1123" t="s">
        <v>244</v>
      </c>
      <c r="M38" s="1123"/>
      <c r="N38" s="1123" t="s">
        <v>244</v>
      </c>
      <c r="O38" s="1123"/>
      <c r="P38" s="1123" t="s">
        <v>244</v>
      </c>
      <c r="Q38" s="1123"/>
      <c r="R38" s="1123" t="s">
        <v>244</v>
      </c>
      <c r="S38" s="1123"/>
      <c r="T38" s="1123" t="s">
        <v>244</v>
      </c>
      <c r="U38" s="1123"/>
      <c r="V38" s="1123" t="s">
        <v>244</v>
      </c>
      <c r="W38" s="1123"/>
      <c r="X38" s="1123" t="s">
        <v>244</v>
      </c>
      <c r="Y38" s="1123"/>
      <c r="Z38" s="705" t="s">
        <v>245</v>
      </c>
    </row>
    <row r="39" spans="1:36" ht="14.5" customHeight="1" x14ac:dyDescent="0.3">
      <c r="A39" s="1222"/>
      <c r="B39" s="1123" t="s">
        <v>87</v>
      </c>
      <c r="C39" s="1123"/>
      <c r="D39" s="1123" t="s">
        <v>88</v>
      </c>
      <c r="E39" s="1123"/>
      <c r="F39" s="1123" t="s">
        <v>14</v>
      </c>
      <c r="G39" s="1123"/>
      <c r="H39" s="1123" t="s">
        <v>15</v>
      </c>
      <c r="I39" s="1123"/>
      <c r="J39" s="1123" t="s">
        <v>16</v>
      </c>
      <c r="K39" s="1123"/>
      <c r="L39" s="1123" t="s">
        <v>17</v>
      </c>
      <c r="M39" s="1123"/>
      <c r="N39" s="1123" t="s">
        <v>18</v>
      </c>
      <c r="O39" s="1123"/>
      <c r="P39" s="1123" t="s">
        <v>19</v>
      </c>
      <c r="Q39" s="1123"/>
      <c r="R39" s="1123" t="s">
        <v>20</v>
      </c>
      <c r="S39" s="1123"/>
      <c r="T39" s="1123" t="s">
        <v>21</v>
      </c>
      <c r="U39" s="1123"/>
      <c r="V39" s="1123" t="s">
        <v>22</v>
      </c>
      <c r="W39" s="1123"/>
      <c r="X39" s="1123" t="s">
        <v>23</v>
      </c>
      <c r="Y39" s="1123"/>
      <c r="Z39" s="705" t="s">
        <v>36</v>
      </c>
      <c r="AC39" s="6"/>
    </row>
    <row r="40" spans="1:36" x14ac:dyDescent="0.3">
      <c r="A40" s="1222"/>
      <c r="B40" s="706"/>
      <c r="C40" s="707" t="s">
        <v>24</v>
      </c>
      <c r="D40" s="706"/>
      <c r="E40" s="707" t="s">
        <v>24</v>
      </c>
      <c r="F40" s="706"/>
      <c r="G40" s="707" t="s">
        <v>24</v>
      </c>
      <c r="H40" s="706"/>
      <c r="I40" s="707" t="s">
        <v>24</v>
      </c>
      <c r="J40" s="706"/>
      <c r="K40" s="707" t="s">
        <v>24</v>
      </c>
      <c r="L40" s="706"/>
      <c r="M40" s="707" t="s">
        <v>24</v>
      </c>
      <c r="N40" s="706"/>
      <c r="O40" s="707" t="s">
        <v>24</v>
      </c>
      <c r="P40" s="706"/>
      <c r="Q40" s="707" t="s">
        <v>24</v>
      </c>
      <c r="R40" s="706"/>
      <c r="S40" s="707" t="s">
        <v>24</v>
      </c>
      <c r="T40" s="708"/>
      <c r="U40" s="707" t="s">
        <v>24</v>
      </c>
      <c r="V40" s="708"/>
      <c r="W40" s="707" t="s">
        <v>24</v>
      </c>
      <c r="X40" s="708"/>
      <c r="Y40" s="707" t="s">
        <v>24</v>
      </c>
      <c r="Z40" s="707" t="s">
        <v>24</v>
      </c>
    </row>
    <row r="41" spans="1:36" ht="59.5" customHeight="1" x14ac:dyDescent="0.3">
      <c r="A41" s="1222"/>
      <c r="B41" s="709" t="s">
        <v>26</v>
      </c>
      <c r="C41" s="709" t="s">
        <v>28</v>
      </c>
      <c r="D41" s="709" t="s">
        <v>26</v>
      </c>
      <c r="E41" s="709" t="s">
        <v>28</v>
      </c>
      <c r="F41" s="709" t="s">
        <v>26</v>
      </c>
      <c r="G41" s="709" t="s">
        <v>28</v>
      </c>
      <c r="H41" s="709" t="s">
        <v>26</v>
      </c>
      <c r="I41" s="709" t="s">
        <v>28</v>
      </c>
      <c r="J41" s="709" t="s">
        <v>26</v>
      </c>
      <c r="K41" s="709" t="s">
        <v>28</v>
      </c>
      <c r="L41" s="709" t="s">
        <v>26</v>
      </c>
      <c r="M41" s="709" t="s">
        <v>28</v>
      </c>
      <c r="N41" s="709" t="s">
        <v>26</v>
      </c>
      <c r="O41" s="709" t="s">
        <v>28</v>
      </c>
      <c r="P41" s="709" t="s">
        <v>26</v>
      </c>
      <c r="Q41" s="709" t="s">
        <v>28</v>
      </c>
      <c r="R41" s="709" t="s">
        <v>26</v>
      </c>
      <c r="S41" s="709" t="s">
        <v>28</v>
      </c>
      <c r="T41" s="709" t="s">
        <v>26</v>
      </c>
      <c r="U41" s="709" t="s">
        <v>28</v>
      </c>
      <c r="V41" s="709" t="s">
        <v>26</v>
      </c>
      <c r="W41" s="709" t="s">
        <v>28</v>
      </c>
      <c r="X41" s="709" t="s">
        <v>26</v>
      </c>
      <c r="Y41" s="709" t="s">
        <v>28</v>
      </c>
      <c r="Z41" s="705" t="s">
        <v>97</v>
      </c>
      <c r="AB41" s="7"/>
      <c r="AC41" s="7"/>
    </row>
    <row r="42" spans="1:36" s="33" customFormat="1" x14ac:dyDescent="0.3">
      <c r="A42" s="710" t="s">
        <v>39</v>
      </c>
      <c r="B42" s="711">
        <v>1</v>
      </c>
      <c r="C42" s="711">
        <v>2</v>
      </c>
      <c r="D42" s="711">
        <v>3</v>
      </c>
      <c r="E42" s="711">
        <v>4</v>
      </c>
      <c r="F42" s="711">
        <v>5</v>
      </c>
      <c r="G42" s="711">
        <v>6</v>
      </c>
      <c r="H42" s="711">
        <v>7</v>
      </c>
      <c r="I42" s="711">
        <v>8</v>
      </c>
      <c r="J42" s="711">
        <v>9</v>
      </c>
      <c r="K42" s="711">
        <v>10</v>
      </c>
      <c r="L42" s="711">
        <v>11</v>
      </c>
      <c r="M42" s="711">
        <v>12</v>
      </c>
      <c r="N42" s="711">
        <v>13</v>
      </c>
      <c r="O42" s="711">
        <v>14</v>
      </c>
      <c r="P42" s="711">
        <v>15</v>
      </c>
      <c r="Q42" s="711">
        <v>16</v>
      </c>
      <c r="R42" s="711">
        <v>17</v>
      </c>
      <c r="S42" s="711">
        <v>18</v>
      </c>
      <c r="T42" s="711">
        <v>19</v>
      </c>
      <c r="U42" s="711">
        <v>20</v>
      </c>
      <c r="V42" s="711">
        <v>21</v>
      </c>
      <c r="W42" s="711">
        <v>22</v>
      </c>
      <c r="X42" s="711">
        <v>23</v>
      </c>
      <c r="Y42" s="711">
        <v>24</v>
      </c>
      <c r="Z42" s="711">
        <v>25</v>
      </c>
      <c r="AA42" s="704"/>
      <c r="AB42" s="7"/>
      <c r="AC42" s="7"/>
      <c r="AD42" s="3"/>
      <c r="AE42" s="3"/>
    </row>
    <row r="43" spans="1:36" ht="43.5" customHeight="1" x14ac:dyDescent="0.3">
      <c r="A43" s="712" t="s">
        <v>309</v>
      </c>
      <c r="B43" s="713">
        <f t="shared" ref="B43:C45" si="6">X32</f>
        <v>208.55555555555554</v>
      </c>
      <c r="C43" s="714">
        <f>Y32</f>
        <v>30133.106666666663</v>
      </c>
      <c r="D43" s="713">
        <f t="shared" ref="D43:M45" si="7">B43</f>
        <v>208.55555555555554</v>
      </c>
      <c r="E43" s="714">
        <f t="shared" si="7"/>
        <v>30133.106666666663</v>
      </c>
      <c r="F43" s="713">
        <f t="shared" si="7"/>
        <v>208.55555555555554</v>
      </c>
      <c r="G43" s="714">
        <f t="shared" si="7"/>
        <v>30133.106666666663</v>
      </c>
      <c r="H43" s="713">
        <f t="shared" si="7"/>
        <v>208.55555555555554</v>
      </c>
      <c r="I43" s="714">
        <f t="shared" si="7"/>
        <v>30133.106666666663</v>
      </c>
      <c r="J43" s="713">
        <f t="shared" si="7"/>
        <v>208.55555555555554</v>
      </c>
      <c r="K43" s="714">
        <f t="shared" si="7"/>
        <v>30133.106666666663</v>
      </c>
      <c r="L43" s="713">
        <f t="shared" si="7"/>
        <v>208.55555555555554</v>
      </c>
      <c r="M43" s="714">
        <f t="shared" si="7"/>
        <v>30133.106666666663</v>
      </c>
      <c r="N43" s="713">
        <f t="shared" ref="N43:W45" si="8">L43</f>
        <v>208.55555555555554</v>
      </c>
      <c r="O43" s="714">
        <f t="shared" si="8"/>
        <v>30133.106666666663</v>
      </c>
      <c r="P43" s="713">
        <f t="shared" si="8"/>
        <v>208.55555555555554</v>
      </c>
      <c r="Q43" s="714">
        <f t="shared" si="8"/>
        <v>30133.106666666663</v>
      </c>
      <c r="R43" s="713">
        <f t="shared" si="8"/>
        <v>208.55555555555554</v>
      </c>
      <c r="S43" s="714">
        <f t="shared" si="8"/>
        <v>30133.106666666663</v>
      </c>
      <c r="T43" s="713">
        <f t="shared" si="8"/>
        <v>208.55555555555554</v>
      </c>
      <c r="U43" s="714">
        <f t="shared" si="8"/>
        <v>30133.106666666663</v>
      </c>
      <c r="V43" s="713">
        <f t="shared" si="8"/>
        <v>208.55555555555554</v>
      </c>
      <c r="W43" s="714">
        <f t="shared" si="8"/>
        <v>30133.106666666663</v>
      </c>
      <c r="X43" s="713">
        <f t="shared" ref="X43:Y45" si="9">V43</f>
        <v>208.55555555555554</v>
      </c>
      <c r="Y43" s="714">
        <f t="shared" si="9"/>
        <v>30133.106666666663</v>
      </c>
      <c r="Z43" s="714">
        <f>ROUND(G43+I43+K43+M43+O43+Q43+S43+U43+W43+Y43+E43+C43,0)</f>
        <v>361597</v>
      </c>
      <c r="AA43" s="731"/>
      <c r="AB43" s="732"/>
      <c r="AC43" s="732"/>
      <c r="AF43" s="732"/>
      <c r="AG43" s="732"/>
      <c r="AH43" s="732"/>
      <c r="AI43" s="732"/>
      <c r="AJ43" s="732"/>
    </row>
    <row r="44" spans="1:36" ht="43.5" customHeight="1" x14ac:dyDescent="0.3">
      <c r="A44" s="712" t="s">
        <v>310</v>
      </c>
      <c r="B44" s="713">
        <f t="shared" si="6"/>
        <v>274.66666666666669</v>
      </c>
      <c r="C44" s="714">
        <f t="shared" si="6"/>
        <v>72404.406666666677</v>
      </c>
      <c r="D44" s="713">
        <f t="shared" si="7"/>
        <v>274.66666666666669</v>
      </c>
      <c r="E44" s="714">
        <f t="shared" si="7"/>
        <v>72404.406666666677</v>
      </c>
      <c r="F44" s="713">
        <f t="shared" si="7"/>
        <v>274.66666666666669</v>
      </c>
      <c r="G44" s="714">
        <f t="shared" si="7"/>
        <v>72404.406666666677</v>
      </c>
      <c r="H44" s="713">
        <f t="shared" si="7"/>
        <v>274.66666666666669</v>
      </c>
      <c r="I44" s="714">
        <f t="shared" si="7"/>
        <v>72404.406666666677</v>
      </c>
      <c r="J44" s="713">
        <f t="shared" si="7"/>
        <v>274.66666666666669</v>
      </c>
      <c r="K44" s="714">
        <f t="shared" si="7"/>
        <v>72404.406666666677</v>
      </c>
      <c r="L44" s="713">
        <f t="shared" si="7"/>
        <v>274.66666666666669</v>
      </c>
      <c r="M44" s="714">
        <f t="shared" si="7"/>
        <v>72404.406666666677</v>
      </c>
      <c r="N44" s="713">
        <f t="shared" si="8"/>
        <v>274.66666666666669</v>
      </c>
      <c r="O44" s="714">
        <f t="shared" si="8"/>
        <v>72404.406666666677</v>
      </c>
      <c r="P44" s="713">
        <f t="shared" si="8"/>
        <v>274.66666666666669</v>
      </c>
      <c r="Q44" s="714">
        <f t="shared" si="8"/>
        <v>72404.406666666677</v>
      </c>
      <c r="R44" s="713">
        <f t="shared" si="8"/>
        <v>274.66666666666669</v>
      </c>
      <c r="S44" s="714">
        <f t="shared" si="8"/>
        <v>72404.406666666677</v>
      </c>
      <c r="T44" s="713">
        <f t="shared" si="8"/>
        <v>274.66666666666669</v>
      </c>
      <c r="U44" s="714">
        <f t="shared" si="8"/>
        <v>72404.406666666677</v>
      </c>
      <c r="V44" s="713">
        <f t="shared" si="8"/>
        <v>274.66666666666669</v>
      </c>
      <c r="W44" s="714">
        <f t="shared" si="8"/>
        <v>72404.406666666677</v>
      </c>
      <c r="X44" s="713">
        <f t="shared" si="9"/>
        <v>274.66666666666669</v>
      </c>
      <c r="Y44" s="714">
        <f t="shared" si="9"/>
        <v>72404.406666666677</v>
      </c>
      <c r="Z44" s="714">
        <f t="shared" ref="Z44:Z45" si="10">ROUND(G44+I44+K44+M44+O44+Q44+S44+U44+W44+Y44+E44+C44,0)</f>
        <v>868853</v>
      </c>
      <c r="AA44" s="731"/>
      <c r="AB44" s="732"/>
      <c r="AC44" s="732"/>
      <c r="AF44" s="732"/>
      <c r="AG44" s="732"/>
      <c r="AH44" s="732"/>
      <c r="AI44" s="732"/>
      <c r="AJ44" s="732"/>
    </row>
    <row r="45" spans="1:36" ht="43.5" customHeight="1" x14ac:dyDescent="0.3">
      <c r="A45" s="712" t="s">
        <v>35</v>
      </c>
      <c r="B45" s="713">
        <f t="shared" si="6"/>
        <v>55.888888888888886</v>
      </c>
      <c r="C45" s="714">
        <f t="shared" si="6"/>
        <v>6359.2422222222222</v>
      </c>
      <c r="D45" s="713">
        <f t="shared" si="7"/>
        <v>55.888888888888886</v>
      </c>
      <c r="E45" s="714">
        <f t="shared" si="7"/>
        <v>6359.2422222222222</v>
      </c>
      <c r="F45" s="713">
        <f t="shared" si="7"/>
        <v>55.888888888888886</v>
      </c>
      <c r="G45" s="714">
        <f t="shared" si="7"/>
        <v>6359.2422222222222</v>
      </c>
      <c r="H45" s="713">
        <f t="shared" si="7"/>
        <v>55.888888888888886</v>
      </c>
      <c r="I45" s="714">
        <f t="shared" si="7"/>
        <v>6359.2422222222222</v>
      </c>
      <c r="J45" s="713">
        <f t="shared" si="7"/>
        <v>55.888888888888886</v>
      </c>
      <c r="K45" s="714">
        <f t="shared" si="7"/>
        <v>6359.2422222222222</v>
      </c>
      <c r="L45" s="713">
        <f t="shared" si="7"/>
        <v>55.888888888888886</v>
      </c>
      <c r="M45" s="714">
        <f t="shared" si="7"/>
        <v>6359.2422222222222</v>
      </c>
      <c r="N45" s="713">
        <f t="shared" si="8"/>
        <v>55.888888888888886</v>
      </c>
      <c r="O45" s="714">
        <f t="shared" si="8"/>
        <v>6359.2422222222222</v>
      </c>
      <c r="P45" s="713">
        <f t="shared" si="8"/>
        <v>55.888888888888886</v>
      </c>
      <c r="Q45" s="714">
        <f t="shared" si="8"/>
        <v>6359.2422222222222</v>
      </c>
      <c r="R45" s="713">
        <f t="shared" si="8"/>
        <v>55.888888888888886</v>
      </c>
      <c r="S45" s="714">
        <f t="shared" si="8"/>
        <v>6359.2422222222222</v>
      </c>
      <c r="T45" s="713">
        <f t="shared" si="8"/>
        <v>55.888888888888886</v>
      </c>
      <c r="U45" s="714">
        <f t="shared" si="8"/>
        <v>6359.2422222222222</v>
      </c>
      <c r="V45" s="713">
        <f t="shared" si="8"/>
        <v>55.888888888888886</v>
      </c>
      <c r="W45" s="714">
        <f t="shared" si="8"/>
        <v>6359.2422222222222</v>
      </c>
      <c r="X45" s="713">
        <f t="shared" si="9"/>
        <v>55.888888888888886</v>
      </c>
      <c r="Y45" s="714">
        <f t="shared" si="9"/>
        <v>6359.2422222222222</v>
      </c>
      <c r="Z45" s="714">
        <f t="shared" si="10"/>
        <v>76311</v>
      </c>
      <c r="AA45" s="704"/>
      <c r="AB45" s="7"/>
      <c r="AC45" s="7"/>
    </row>
    <row r="46" spans="1:36" ht="68.5" customHeight="1" x14ac:dyDescent="0.3">
      <c r="A46" s="1224" t="s">
        <v>311</v>
      </c>
      <c r="B46" s="1225"/>
      <c r="C46" s="1225"/>
      <c r="D46" s="1225"/>
      <c r="E46" s="1225"/>
      <c r="F46" s="1225"/>
      <c r="G46" s="1225"/>
      <c r="H46" s="1225"/>
      <c r="I46" s="1225"/>
      <c r="J46" s="1225"/>
      <c r="K46" s="1225"/>
      <c r="L46" s="1225"/>
      <c r="M46" s="1225"/>
      <c r="N46" s="1225"/>
      <c r="O46" s="1225"/>
      <c r="P46" s="1225"/>
      <c r="Q46" s="1225"/>
      <c r="R46" s="1225"/>
      <c r="S46" s="1225"/>
      <c r="T46" s="1225"/>
      <c r="U46" s="1225"/>
      <c r="V46" s="1225"/>
      <c r="W46" s="1225"/>
      <c r="X46" s="1225"/>
      <c r="Y46" s="1225"/>
      <c r="Z46" s="531">
        <f>ROUND(SUM(Z43:Z45),0)</f>
        <v>1306761</v>
      </c>
      <c r="AA46" s="621"/>
      <c r="AB46" s="7"/>
      <c r="AC46" s="7"/>
    </row>
    <row r="47" spans="1:36" ht="63.65" customHeight="1" x14ac:dyDescent="0.3">
      <c r="A47" s="1224" t="s">
        <v>336</v>
      </c>
      <c r="B47" s="1224"/>
      <c r="C47" s="1224"/>
      <c r="D47" s="1224"/>
      <c r="E47" s="1224"/>
      <c r="F47" s="1224"/>
      <c r="G47" s="1224"/>
      <c r="H47" s="1224"/>
      <c r="I47" s="1224"/>
      <c r="J47" s="1224"/>
      <c r="K47" s="1224"/>
      <c r="L47" s="1224"/>
      <c r="M47" s="1224"/>
      <c r="N47" s="1224"/>
      <c r="O47" s="1224"/>
      <c r="P47" s="1224"/>
      <c r="Q47" s="1224"/>
      <c r="R47" s="1224"/>
      <c r="S47" s="1224"/>
      <c r="T47" s="1224"/>
      <c r="U47" s="1224"/>
      <c r="V47" s="1224"/>
      <c r="W47" s="1224"/>
      <c r="X47" s="1224"/>
      <c r="Y47" s="1224"/>
    </row>
    <row r="48" spans="1:36" x14ac:dyDescent="0.3">
      <c r="H48" s="522"/>
      <c r="I48" s="522"/>
      <c r="J48" s="522"/>
      <c r="K48" s="522"/>
      <c r="L48" s="522"/>
      <c r="M48" s="522"/>
      <c r="N48" s="522"/>
      <c r="O48" s="522"/>
      <c r="P48" s="522"/>
      <c r="Q48" s="522"/>
      <c r="R48" s="522"/>
      <c r="S48" s="522"/>
      <c r="T48" s="522"/>
      <c r="U48" s="522"/>
      <c r="V48" s="522"/>
      <c r="W48" s="522"/>
      <c r="X48" s="522"/>
      <c r="Y48" s="522"/>
      <c r="Z48" s="522"/>
      <c r="AA48" s="522"/>
    </row>
    <row r="49" spans="8:27" x14ac:dyDescent="0.3">
      <c r="H49" s="522"/>
      <c r="I49" s="522"/>
      <c r="J49" s="522"/>
      <c r="K49" s="522"/>
      <c r="L49" s="522"/>
      <c r="M49" s="522"/>
      <c r="N49" s="522"/>
      <c r="O49" s="522"/>
      <c r="P49" s="522"/>
      <c r="Q49" s="522"/>
      <c r="R49" s="522"/>
      <c r="S49" s="522"/>
      <c r="T49" s="522"/>
      <c r="U49" s="522"/>
      <c r="V49" s="522"/>
      <c r="W49" s="522"/>
      <c r="X49" s="522"/>
      <c r="Y49" s="522"/>
      <c r="Z49" s="522"/>
      <c r="AA49" s="522"/>
    </row>
    <row r="50" spans="8:27" x14ac:dyDescent="0.3">
      <c r="H50" s="522"/>
      <c r="I50" s="522"/>
      <c r="J50" s="522"/>
      <c r="K50" s="522"/>
      <c r="L50" s="522"/>
      <c r="M50" s="522"/>
      <c r="N50" s="522"/>
      <c r="O50" s="522"/>
      <c r="P50" s="522"/>
      <c r="Q50" s="522"/>
      <c r="R50" s="522"/>
      <c r="S50" s="522"/>
      <c r="T50" s="522"/>
      <c r="U50" s="522"/>
      <c r="V50" s="522"/>
      <c r="W50" s="522"/>
      <c r="X50" s="522"/>
      <c r="Y50" s="522"/>
      <c r="Z50" s="522"/>
      <c r="AA50" s="522"/>
    </row>
    <row r="51" spans="8:27" x14ac:dyDescent="0.3">
      <c r="H51" s="522"/>
      <c r="I51" s="522"/>
      <c r="J51" s="522"/>
      <c r="K51" s="522"/>
      <c r="L51" s="522"/>
      <c r="M51" s="522"/>
      <c r="N51" s="522"/>
      <c r="O51" s="522"/>
      <c r="P51" s="522"/>
      <c r="Q51" s="522"/>
      <c r="R51" s="522"/>
      <c r="S51" s="522"/>
      <c r="T51" s="522"/>
      <c r="U51" s="522"/>
      <c r="V51" s="522"/>
      <c r="W51" s="522"/>
      <c r="X51" s="522"/>
      <c r="Y51" s="522"/>
      <c r="Z51" s="522"/>
      <c r="AA51" s="522"/>
    </row>
    <row r="52" spans="8:27" x14ac:dyDescent="0.3">
      <c r="H52" s="522"/>
      <c r="I52" s="522"/>
      <c r="J52" s="522"/>
      <c r="K52" s="522"/>
      <c r="L52" s="522"/>
      <c r="M52" s="522"/>
      <c r="N52" s="522"/>
      <c r="O52" s="522"/>
      <c r="P52" s="522"/>
      <c r="Q52" s="522"/>
      <c r="R52" s="522"/>
      <c r="S52" s="522"/>
      <c r="T52" s="522"/>
      <c r="U52" s="522"/>
      <c r="V52" s="522"/>
      <c r="W52" s="522"/>
      <c r="X52" s="522"/>
      <c r="Y52" s="522"/>
      <c r="Z52" s="522"/>
      <c r="AA52" s="522"/>
    </row>
    <row r="53" spans="8:27" x14ac:dyDescent="0.3">
      <c r="H53" s="522"/>
      <c r="I53" s="522"/>
      <c r="J53" s="522"/>
      <c r="K53" s="522"/>
      <c r="L53" s="522"/>
      <c r="M53" s="522"/>
      <c r="N53" s="522"/>
      <c r="O53" s="522"/>
      <c r="P53" s="522"/>
      <c r="Q53" s="522"/>
      <c r="R53" s="522"/>
      <c r="S53" s="522"/>
      <c r="T53" s="522"/>
      <c r="U53" s="522"/>
      <c r="V53" s="522"/>
      <c r="W53" s="522"/>
      <c r="X53" s="522"/>
      <c r="Y53" s="522"/>
      <c r="Z53" s="522"/>
      <c r="AA53" s="522"/>
    </row>
    <row r="54" spans="8:27" x14ac:dyDescent="0.3">
      <c r="H54" s="522"/>
      <c r="I54" s="522"/>
      <c r="J54" s="522"/>
      <c r="K54" s="522"/>
      <c r="L54" s="522"/>
      <c r="M54" s="522"/>
      <c r="N54" s="522"/>
      <c r="O54" s="522"/>
      <c r="P54" s="522"/>
      <c r="Q54" s="522"/>
      <c r="R54" s="522"/>
      <c r="S54" s="522"/>
      <c r="T54" s="522"/>
      <c r="U54" s="522"/>
      <c r="V54" s="522"/>
      <c r="W54" s="522"/>
      <c r="X54" s="522"/>
      <c r="Y54" s="522"/>
      <c r="Z54" s="522"/>
      <c r="AA54" s="522"/>
    </row>
    <row r="55" spans="8:27" x14ac:dyDescent="0.3">
      <c r="H55" s="522"/>
      <c r="I55" s="522"/>
      <c r="J55" s="522"/>
      <c r="K55" s="522"/>
      <c r="L55" s="522"/>
      <c r="M55" s="522"/>
      <c r="N55" s="522"/>
      <c r="O55" s="522"/>
      <c r="P55" s="522"/>
      <c r="Q55" s="522"/>
      <c r="R55" s="522"/>
      <c r="S55" s="522"/>
      <c r="T55" s="522"/>
      <c r="U55" s="522"/>
      <c r="V55" s="522"/>
      <c r="W55" s="522"/>
      <c r="X55" s="522"/>
      <c r="Y55" s="522"/>
      <c r="Z55" s="522"/>
      <c r="AA55" s="522"/>
    </row>
  </sheetData>
  <mergeCells count="105">
    <mergeCell ref="A47:Y47"/>
    <mergeCell ref="A46:Y46"/>
    <mergeCell ref="N38:O38"/>
    <mergeCell ref="P38:Q38"/>
    <mergeCell ref="B39:C39"/>
    <mergeCell ref="D39:E39"/>
    <mergeCell ref="F39:G39"/>
    <mergeCell ref="H39:I39"/>
    <mergeCell ref="J39:K39"/>
    <mergeCell ref="L39:M39"/>
    <mergeCell ref="N39:O39"/>
    <mergeCell ref="P39:Q39"/>
    <mergeCell ref="L38:M38"/>
    <mergeCell ref="R39:S39"/>
    <mergeCell ref="H38:I38"/>
    <mergeCell ref="J38:K38"/>
    <mergeCell ref="A27:A30"/>
    <mergeCell ref="B27:C27"/>
    <mergeCell ref="D27:E27"/>
    <mergeCell ref="F27:G27"/>
    <mergeCell ref="A38:A41"/>
    <mergeCell ref="B38:C38"/>
    <mergeCell ref="D38:E38"/>
    <mergeCell ref="F38:G38"/>
    <mergeCell ref="R27:S27"/>
    <mergeCell ref="B28:C28"/>
    <mergeCell ref="D28:E28"/>
    <mergeCell ref="F28:G28"/>
    <mergeCell ref="H28:I28"/>
    <mergeCell ref="J28:K28"/>
    <mergeCell ref="L28:M28"/>
    <mergeCell ref="N28:O28"/>
    <mergeCell ref="P28:Q28"/>
    <mergeCell ref="R28:S28"/>
    <mergeCell ref="H27:I27"/>
    <mergeCell ref="J27:K27"/>
    <mergeCell ref="L27:M27"/>
    <mergeCell ref="N27:O27"/>
    <mergeCell ref="P27:Q27"/>
    <mergeCell ref="R38:S38"/>
    <mergeCell ref="V17:W17"/>
    <mergeCell ref="X17:Y17"/>
    <mergeCell ref="A16:A19"/>
    <mergeCell ref="B16:C16"/>
    <mergeCell ref="D16:E16"/>
    <mergeCell ref="F16:G16"/>
    <mergeCell ref="H16:I16"/>
    <mergeCell ref="J16:K16"/>
    <mergeCell ref="X16:Y16"/>
    <mergeCell ref="B17:C17"/>
    <mergeCell ref="D17:E17"/>
    <mergeCell ref="F17:G17"/>
    <mergeCell ref="H17:I17"/>
    <mergeCell ref="J17:K17"/>
    <mergeCell ref="L17:M17"/>
    <mergeCell ref="N17:O17"/>
    <mergeCell ref="P17:Q17"/>
    <mergeCell ref="R17:S17"/>
    <mergeCell ref="L16:M16"/>
    <mergeCell ref="N16:O16"/>
    <mergeCell ref="V16:W16"/>
    <mergeCell ref="N5:O5"/>
    <mergeCell ref="P5:Q5"/>
    <mergeCell ref="T27:U27"/>
    <mergeCell ref="R6:S6"/>
    <mergeCell ref="T6:U6"/>
    <mergeCell ref="P16:Q16"/>
    <mergeCell ref="R16:S16"/>
    <mergeCell ref="T16:U16"/>
    <mergeCell ref="T17:U17"/>
    <mergeCell ref="V27:W27"/>
    <mergeCell ref="X27:Y27"/>
    <mergeCell ref="T28:U28"/>
    <mergeCell ref="V28:W28"/>
    <mergeCell ref="X28:Y28"/>
    <mergeCell ref="T38:U38"/>
    <mergeCell ref="V38:W38"/>
    <mergeCell ref="X38:Y38"/>
    <mergeCell ref="T39:U39"/>
    <mergeCell ref="V39:W39"/>
    <mergeCell ref="X39:Y39"/>
    <mergeCell ref="V6:W6"/>
    <mergeCell ref="X6:Y6"/>
    <mergeCell ref="A1:Z1"/>
    <mergeCell ref="A2:Z2"/>
    <mergeCell ref="A3:Z3"/>
    <mergeCell ref="V5:W5"/>
    <mergeCell ref="X5:Y5"/>
    <mergeCell ref="B6:C6"/>
    <mergeCell ref="D6:E6"/>
    <mergeCell ref="F6:G6"/>
    <mergeCell ref="H6:I6"/>
    <mergeCell ref="J6:K6"/>
    <mergeCell ref="L6:M6"/>
    <mergeCell ref="N6:O6"/>
    <mergeCell ref="R5:S5"/>
    <mergeCell ref="T5:U5"/>
    <mergeCell ref="A5:A8"/>
    <mergeCell ref="B5:C5"/>
    <mergeCell ref="D5:E5"/>
    <mergeCell ref="F5:G5"/>
    <mergeCell ref="H5:I5"/>
    <mergeCell ref="P6:Q6"/>
    <mergeCell ref="J5:K5"/>
    <mergeCell ref="L5:M5"/>
  </mergeCells>
  <pageMargins left="0.70866141732283505" right="0.70866141732283505" top="0.74803149606299202" bottom="0.74803149606299202" header="0.31496062992126" footer="0.31496062992126"/>
  <pageSetup paperSize="9" scale="4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5834F-CA43-4BE9-8B5D-24B16ED8850E}">
  <dimension ref="A1:AE44"/>
  <sheetViews>
    <sheetView zoomScale="60" zoomScaleNormal="60" workbookViewId="0">
      <pane ySplit="3" topLeftCell="A23" activePane="bottomLeft" state="frozen"/>
      <selection activeCell="AE24" sqref="AE24"/>
      <selection pane="bottomLeft" activeCell="W50" sqref="W50"/>
    </sheetView>
  </sheetViews>
  <sheetFormatPr defaultColWidth="8.81640625" defaultRowHeight="14" x14ac:dyDescent="0.3"/>
  <cols>
    <col min="1" max="1" width="25.1796875" style="33" customWidth="1"/>
    <col min="2" max="2" width="8.81640625" style="33"/>
    <col min="3" max="3" width="7" style="33" customWidth="1"/>
    <col min="4" max="4" width="11.1796875" style="33" customWidth="1"/>
    <col min="5" max="5" width="7" style="33" customWidth="1"/>
    <col min="6" max="6" width="11.1796875" style="33" customWidth="1"/>
    <col min="7" max="7" width="7" style="33" customWidth="1"/>
    <col min="8" max="8" width="11.1796875" style="33" customWidth="1"/>
    <col min="9" max="9" width="7" style="33" customWidth="1"/>
    <col min="10" max="10" width="11.1796875" style="33" customWidth="1"/>
    <col min="11" max="11" width="7" style="33" customWidth="1"/>
    <col min="12" max="12" width="11.1796875" style="33" customWidth="1"/>
    <col min="13" max="13" width="7" style="33" customWidth="1"/>
    <col min="14" max="14" width="11.1796875" style="33" customWidth="1"/>
    <col min="15" max="15" width="7" style="33" customWidth="1"/>
    <col min="16" max="16" width="11.1796875" style="33" customWidth="1"/>
    <col min="17" max="17" width="7" style="33" customWidth="1"/>
    <col min="18" max="18" width="11.1796875" style="33" customWidth="1"/>
    <col min="19" max="19" width="7" style="33" customWidth="1"/>
    <col min="20" max="20" width="11.1796875" style="33" customWidth="1"/>
    <col min="21" max="21" width="7" style="33" customWidth="1"/>
    <col min="22" max="22" width="11.1796875" style="33" customWidth="1"/>
    <col min="23" max="23" width="7" style="33" customWidth="1"/>
    <col min="24" max="24" width="11.1796875" style="33" customWidth="1"/>
    <col min="25" max="25" width="7" style="33" customWidth="1"/>
    <col min="26" max="27" width="11.1796875" style="33" customWidth="1"/>
    <col min="28" max="28" width="8.81640625" style="33" customWidth="1"/>
    <col min="29" max="16384" width="8.81640625" style="33"/>
  </cols>
  <sheetData>
    <row r="1" spans="1:27" s="532" customFormat="1" ht="18" x14ac:dyDescent="0.35">
      <c r="A1" s="1096" t="s">
        <v>357</v>
      </c>
      <c r="B1" s="1096"/>
      <c r="C1" s="1096"/>
      <c r="D1" s="1096"/>
      <c r="E1" s="1096"/>
      <c r="F1" s="1096"/>
      <c r="G1" s="1096"/>
      <c r="H1" s="1096"/>
      <c r="I1" s="1096"/>
      <c r="J1" s="1096"/>
      <c r="K1" s="1096"/>
      <c r="L1" s="1096"/>
      <c r="M1" s="1096"/>
      <c r="N1" s="1096"/>
      <c r="O1" s="1096"/>
      <c r="P1" s="1096"/>
      <c r="Q1" s="1096"/>
      <c r="R1" s="1096"/>
      <c r="S1" s="1096"/>
      <c r="T1" s="1096"/>
      <c r="U1" s="1096"/>
      <c r="V1" s="1096"/>
      <c r="W1" s="1096"/>
      <c r="X1" s="1096"/>
      <c r="Y1" s="1096"/>
      <c r="Z1" s="1096"/>
      <c r="AA1" s="1096"/>
    </row>
    <row r="2" spans="1:27" s="532" customFormat="1" ht="18" x14ac:dyDescent="0.35">
      <c r="A2" s="1096" t="s">
        <v>243</v>
      </c>
      <c r="B2" s="1096"/>
      <c r="C2" s="1096"/>
      <c r="D2" s="1096"/>
      <c r="E2" s="1096"/>
      <c r="F2" s="1096"/>
      <c r="G2" s="1096"/>
      <c r="H2" s="1096"/>
      <c r="I2" s="1096"/>
      <c r="J2" s="1096"/>
      <c r="K2" s="1096"/>
      <c r="L2" s="1096"/>
      <c r="M2" s="1096"/>
      <c r="N2" s="1096"/>
      <c r="O2" s="1096"/>
      <c r="P2" s="1096"/>
      <c r="Q2" s="1096"/>
      <c r="R2" s="1096"/>
      <c r="S2" s="1096"/>
      <c r="T2" s="1096"/>
      <c r="U2" s="1096"/>
      <c r="V2" s="1096"/>
      <c r="W2" s="1096"/>
      <c r="X2" s="1096"/>
      <c r="Y2" s="1096"/>
      <c r="Z2" s="1096"/>
      <c r="AA2" s="1096"/>
    </row>
    <row r="3" spans="1:27" s="532" customFormat="1" ht="42" customHeight="1" x14ac:dyDescent="0.35">
      <c r="A3" s="1097" t="str">
        <f>Ietekme_LM_2026_!B214</f>
        <v>4.12. Atbalsta sniegšana Ukrainas civiliedzīvotājiem, kuri sasnieguši likumā "Par valsts pensijām" noteikto vecuma pensijas piešķiršanai nepieciešamo vecumu, bet kuriem nav tiesību uz vecuma pensiju Latvijas Republikā</v>
      </c>
      <c r="B3" s="1097"/>
      <c r="C3" s="1097"/>
      <c r="D3" s="1097"/>
      <c r="E3" s="1097"/>
      <c r="F3" s="1097"/>
      <c r="G3" s="1097"/>
      <c r="H3" s="1097"/>
      <c r="I3" s="1097"/>
      <c r="J3" s="1097"/>
      <c r="K3" s="1097"/>
      <c r="L3" s="1097"/>
      <c r="M3" s="1097"/>
      <c r="N3" s="1097"/>
      <c r="O3" s="1097"/>
      <c r="P3" s="1097"/>
      <c r="Q3" s="1097"/>
      <c r="R3" s="1097"/>
      <c r="S3" s="1097"/>
      <c r="T3" s="1097"/>
      <c r="U3" s="1097"/>
      <c r="V3" s="1097"/>
      <c r="W3" s="1097"/>
      <c r="X3" s="1097"/>
      <c r="Y3" s="1097"/>
      <c r="Z3" s="1097"/>
      <c r="AA3" s="1097"/>
    </row>
    <row r="4" spans="1:27" ht="26.15" customHeight="1" thickBot="1" x14ac:dyDescent="0.35">
      <c r="A4" s="29" t="s">
        <v>175</v>
      </c>
      <c r="B4" s="448"/>
      <c r="C4" s="448"/>
      <c r="D4" s="448"/>
      <c r="E4" s="448"/>
      <c r="F4" s="448"/>
      <c r="G4" s="448"/>
      <c r="H4" s="448"/>
      <c r="I4" s="448"/>
      <c r="J4" s="448"/>
      <c r="K4" s="448"/>
      <c r="L4" s="448"/>
      <c r="M4" s="448"/>
      <c r="N4" s="448"/>
      <c r="O4" s="448"/>
      <c r="P4" s="31"/>
      <c r="Q4" s="31"/>
      <c r="R4" s="31"/>
      <c r="S4" s="31"/>
      <c r="T4" s="31"/>
      <c r="U4" s="31"/>
    </row>
    <row r="5" spans="1:27" x14ac:dyDescent="0.3">
      <c r="A5" s="1016" t="s">
        <v>12</v>
      </c>
      <c r="B5" s="1017"/>
      <c r="C5" s="1009" t="s">
        <v>82</v>
      </c>
      <c r="D5" s="1010"/>
      <c r="E5" s="1009" t="s">
        <v>82</v>
      </c>
      <c r="F5" s="1010"/>
      <c r="G5" s="1009" t="s">
        <v>82</v>
      </c>
      <c r="H5" s="1010"/>
      <c r="I5" s="1009" t="s">
        <v>82</v>
      </c>
      <c r="J5" s="1010"/>
      <c r="K5" s="1009" t="s">
        <v>82</v>
      </c>
      <c r="L5" s="1010"/>
      <c r="M5" s="1009" t="s">
        <v>82</v>
      </c>
      <c r="N5" s="1010"/>
      <c r="O5" s="1009" t="s">
        <v>82</v>
      </c>
      <c r="P5" s="1010"/>
      <c r="Q5" s="1009" t="s">
        <v>82</v>
      </c>
      <c r="R5" s="1010"/>
      <c r="S5" s="1087" t="s">
        <v>82</v>
      </c>
      <c r="T5" s="1088"/>
      <c r="U5" s="1087" t="s">
        <v>82</v>
      </c>
      <c r="V5" s="1088"/>
      <c r="W5" s="1087" t="s">
        <v>82</v>
      </c>
      <c r="X5" s="1088"/>
      <c r="Y5" s="1087" t="s">
        <v>82</v>
      </c>
      <c r="Z5" s="1215"/>
      <c r="AA5" s="34" t="s">
        <v>82</v>
      </c>
    </row>
    <row r="6" spans="1:27" ht="14.5" customHeight="1" x14ac:dyDescent="0.3">
      <c r="A6" s="1014" t="s">
        <v>13</v>
      </c>
      <c r="B6" s="1015"/>
      <c r="C6" s="1003" t="s">
        <v>89</v>
      </c>
      <c r="D6" s="1004"/>
      <c r="E6" s="1003" t="s">
        <v>49</v>
      </c>
      <c r="F6" s="1004"/>
      <c r="G6" s="1003" t="s">
        <v>50</v>
      </c>
      <c r="H6" s="1004"/>
      <c r="I6" s="1005" t="s">
        <v>51</v>
      </c>
      <c r="J6" s="1006"/>
      <c r="K6" s="1003" t="s">
        <v>52</v>
      </c>
      <c r="L6" s="1004"/>
      <c r="M6" s="1003" t="s">
        <v>53</v>
      </c>
      <c r="N6" s="1004"/>
      <c r="O6" s="1003" t="s">
        <v>54</v>
      </c>
      <c r="P6" s="1004"/>
      <c r="Q6" s="1005" t="s">
        <v>81</v>
      </c>
      <c r="R6" s="1005"/>
      <c r="S6" s="1089" t="s">
        <v>90</v>
      </c>
      <c r="T6" s="1090"/>
      <c r="U6" s="1089" t="s">
        <v>91</v>
      </c>
      <c r="V6" s="1090"/>
      <c r="W6" s="1089" t="s">
        <v>92</v>
      </c>
      <c r="X6" s="1090"/>
      <c r="Y6" s="1089" t="s">
        <v>93</v>
      </c>
      <c r="Z6" s="1091"/>
      <c r="AA6" s="35" t="s">
        <v>36</v>
      </c>
    </row>
    <row r="7" spans="1:27" x14ac:dyDescent="0.3">
      <c r="A7" s="1007" t="s">
        <v>32</v>
      </c>
      <c r="B7" s="1008"/>
      <c r="C7" s="36"/>
      <c r="D7" s="37" t="s">
        <v>24</v>
      </c>
      <c r="E7" s="36"/>
      <c r="F7" s="37" t="s">
        <v>24</v>
      </c>
      <c r="G7" s="36"/>
      <c r="H7" s="37" t="s">
        <v>24</v>
      </c>
      <c r="I7" s="38"/>
      <c r="J7" s="38" t="s">
        <v>24</v>
      </c>
      <c r="K7" s="36"/>
      <c r="L7" s="37" t="s">
        <v>24</v>
      </c>
      <c r="M7" s="36"/>
      <c r="N7" s="37" t="s">
        <v>24</v>
      </c>
      <c r="O7" s="39"/>
      <c r="P7" s="37" t="s">
        <v>24</v>
      </c>
      <c r="Q7" s="38"/>
      <c r="R7" s="38" t="s">
        <v>24</v>
      </c>
      <c r="S7" s="40"/>
      <c r="T7" s="41" t="s">
        <v>24</v>
      </c>
      <c r="U7" s="40"/>
      <c r="V7" s="41" t="s">
        <v>24</v>
      </c>
      <c r="W7" s="40"/>
      <c r="X7" s="41" t="s">
        <v>24</v>
      </c>
      <c r="Y7" s="40"/>
      <c r="Z7" s="42" t="s">
        <v>24</v>
      </c>
      <c r="AA7" s="43" t="s">
        <v>24</v>
      </c>
    </row>
    <row r="8" spans="1:27" ht="65.150000000000006" customHeight="1" x14ac:dyDescent="0.3">
      <c r="A8" s="44" t="s">
        <v>25</v>
      </c>
      <c r="B8" s="44" t="s">
        <v>55</v>
      </c>
      <c r="C8" s="45" t="s">
        <v>56</v>
      </c>
      <c r="D8" s="46" t="s">
        <v>27</v>
      </c>
      <c r="E8" s="45" t="s">
        <v>56</v>
      </c>
      <c r="F8" s="46" t="s">
        <v>27</v>
      </c>
      <c r="G8" s="45" t="s">
        <v>56</v>
      </c>
      <c r="H8" s="46" t="s">
        <v>27</v>
      </c>
      <c r="I8" s="45" t="s">
        <v>56</v>
      </c>
      <c r="J8" s="46" t="s">
        <v>27</v>
      </c>
      <c r="K8" s="45" t="s">
        <v>56</v>
      </c>
      <c r="L8" s="46" t="s">
        <v>27</v>
      </c>
      <c r="M8" s="45" t="s">
        <v>56</v>
      </c>
      <c r="N8" s="46" t="s">
        <v>27</v>
      </c>
      <c r="O8" s="45" t="s">
        <v>56</v>
      </c>
      <c r="P8" s="46" t="s">
        <v>27</v>
      </c>
      <c r="Q8" s="47" t="s">
        <v>56</v>
      </c>
      <c r="R8" s="48" t="s">
        <v>27</v>
      </c>
      <c r="S8" s="49" t="s">
        <v>56</v>
      </c>
      <c r="T8" s="48" t="s">
        <v>27</v>
      </c>
      <c r="U8" s="49" t="s">
        <v>56</v>
      </c>
      <c r="V8" s="48" t="s">
        <v>27</v>
      </c>
      <c r="W8" s="49" t="s">
        <v>56</v>
      </c>
      <c r="X8" s="48" t="s">
        <v>27</v>
      </c>
      <c r="Y8" s="49" t="s">
        <v>56</v>
      </c>
      <c r="Z8" s="48" t="s">
        <v>27</v>
      </c>
      <c r="AA8" s="50" t="s">
        <v>27</v>
      </c>
    </row>
    <row r="9" spans="1:27" x14ac:dyDescent="0.3">
      <c r="A9" s="51" t="s">
        <v>29</v>
      </c>
      <c r="B9" s="51" t="s">
        <v>57</v>
      </c>
      <c r="C9" s="52">
        <v>1</v>
      </c>
      <c r="D9" s="53">
        <v>2</v>
      </c>
      <c r="E9" s="52">
        <v>3</v>
      </c>
      <c r="F9" s="53">
        <v>4</v>
      </c>
      <c r="G9" s="54">
        <v>5</v>
      </c>
      <c r="H9" s="55">
        <v>6</v>
      </c>
      <c r="I9" s="52">
        <v>7</v>
      </c>
      <c r="J9" s="53">
        <v>8</v>
      </c>
      <c r="K9" s="52">
        <v>9</v>
      </c>
      <c r="L9" s="53">
        <v>10</v>
      </c>
      <c r="M9" s="52">
        <v>11</v>
      </c>
      <c r="N9" s="53">
        <v>12</v>
      </c>
      <c r="O9" s="54">
        <v>13</v>
      </c>
      <c r="P9" s="56">
        <v>14</v>
      </c>
      <c r="Q9" s="52">
        <v>15</v>
      </c>
      <c r="R9" s="53">
        <v>16</v>
      </c>
      <c r="S9" s="57">
        <v>17</v>
      </c>
      <c r="T9" s="58">
        <v>18</v>
      </c>
      <c r="U9" s="57">
        <v>19</v>
      </c>
      <c r="V9" s="58">
        <v>20</v>
      </c>
      <c r="W9" s="57">
        <v>21</v>
      </c>
      <c r="X9" s="58">
        <v>22</v>
      </c>
      <c r="Y9" s="57">
        <v>23</v>
      </c>
      <c r="Z9" s="59">
        <v>24</v>
      </c>
      <c r="AA9" s="60">
        <v>25</v>
      </c>
    </row>
    <row r="10" spans="1:27" ht="50.15" customHeight="1" thickBot="1" x14ac:dyDescent="0.35">
      <c r="A10" s="61" t="s">
        <v>177</v>
      </c>
      <c r="B10" s="62" t="s">
        <v>70</v>
      </c>
      <c r="C10" s="63">
        <v>82</v>
      </c>
      <c r="D10" s="64">
        <v>9262.5400000000009</v>
      </c>
      <c r="E10" s="63">
        <v>93</v>
      </c>
      <c r="F10" s="64">
        <v>10738.63</v>
      </c>
      <c r="G10" s="63">
        <v>109</v>
      </c>
      <c r="H10" s="64">
        <v>19224.559999999998</v>
      </c>
      <c r="I10" s="63">
        <v>120</v>
      </c>
      <c r="J10" s="64">
        <v>13827.31</v>
      </c>
      <c r="K10" s="63">
        <v>138</v>
      </c>
      <c r="L10" s="64">
        <v>19660.440000000002</v>
      </c>
      <c r="M10" s="63">
        <v>148</v>
      </c>
      <c r="N10" s="64">
        <v>19081.650000000001</v>
      </c>
      <c r="O10" s="63">
        <v>158</v>
      </c>
      <c r="P10" s="64">
        <v>20900.169999999998</v>
      </c>
      <c r="Q10" s="63">
        <v>181</v>
      </c>
      <c r="R10" s="64">
        <v>23245.33</v>
      </c>
      <c r="S10" s="65">
        <v>201</v>
      </c>
      <c r="T10" s="66">
        <v>31047.48</v>
      </c>
      <c r="U10" s="65">
        <v>217</v>
      </c>
      <c r="V10" s="66">
        <v>28655.49</v>
      </c>
      <c r="W10" s="65">
        <v>230</v>
      </c>
      <c r="X10" s="66">
        <v>29452.41</v>
      </c>
      <c r="Y10" s="65">
        <v>241</v>
      </c>
      <c r="Z10" s="67">
        <v>27599.02</v>
      </c>
      <c r="AA10" s="68">
        <f>F10+H10+J10+L10+N10+P10+R10+T10+V10+X10+Z10+D10</f>
        <v>252695.03</v>
      </c>
    </row>
    <row r="11" spans="1:27" ht="26.5" hidden="1" customHeight="1" x14ac:dyDescent="0.3">
      <c r="E11" s="69"/>
      <c r="G11" s="69"/>
      <c r="I11" s="69"/>
      <c r="K11" s="69"/>
      <c r="M11" s="69"/>
      <c r="O11" s="69"/>
      <c r="Q11" s="69"/>
      <c r="S11" s="69"/>
      <c r="Z11" s="70"/>
    </row>
    <row r="12" spans="1:27" x14ac:dyDescent="0.3">
      <c r="S12" s="71"/>
      <c r="Z12" s="70"/>
    </row>
    <row r="14" spans="1:27" ht="17.149999999999999" customHeight="1" thickBot="1" x14ac:dyDescent="0.35">
      <c r="A14" s="29" t="s">
        <v>176</v>
      </c>
      <c r="B14" s="448"/>
    </row>
    <row r="15" spans="1:27" ht="26.15" customHeight="1" x14ac:dyDescent="0.3">
      <c r="A15" s="1016" t="s">
        <v>12</v>
      </c>
      <c r="B15" s="1017"/>
      <c r="C15" s="1009" t="s">
        <v>140</v>
      </c>
      <c r="D15" s="1010"/>
      <c r="E15" s="1009" t="s">
        <v>140</v>
      </c>
      <c r="F15" s="1010"/>
      <c r="G15" s="1009" t="s">
        <v>140</v>
      </c>
      <c r="H15" s="1010"/>
      <c r="I15" s="1009" t="s">
        <v>140</v>
      </c>
      <c r="J15" s="1010"/>
      <c r="K15" s="1009" t="s">
        <v>140</v>
      </c>
      <c r="L15" s="1010"/>
      <c r="M15" s="1009" t="s">
        <v>140</v>
      </c>
      <c r="N15" s="1010"/>
      <c r="O15" s="1009" t="s">
        <v>140</v>
      </c>
      <c r="P15" s="1010"/>
      <c r="Q15" s="1009" t="s">
        <v>140</v>
      </c>
      <c r="R15" s="1010"/>
      <c r="S15" s="1009" t="s">
        <v>140</v>
      </c>
      <c r="T15" s="1010"/>
      <c r="U15" s="1009" t="s">
        <v>140</v>
      </c>
      <c r="V15" s="1010"/>
      <c r="W15" s="1009" t="s">
        <v>140</v>
      </c>
      <c r="X15" s="1010"/>
      <c r="Y15" s="1009" t="s">
        <v>140</v>
      </c>
      <c r="Z15" s="1010"/>
      <c r="AA15" s="34" t="s">
        <v>140</v>
      </c>
    </row>
    <row r="16" spans="1:27" x14ac:dyDescent="0.3">
      <c r="A16" s="1014" t="s">
        <v>13</v>
      </c>
      <c r="B16" s="1015"/>
      <c r="C16" s="1003" t="s">
        <v>89</v>
      </c>
      <c r="D16" s="1004"/>
      <c r="E16" s="1003" t="s">
        <v>49</v>
      </c>
      <c r="F16" s="1004"/>
      <c r="G16" s="1003" t="s">
        <v>50</v>
      </c>
      <c r="H16" s="1004"/>
      <c r="I16" s="1005" t="s">
        <v>51</v>
      </c>
      <c r="J16" s="1006"/>
      <c r="K16" s="1003" t="s">
        <v>52</v>
      </c>
      <c r="L16" s="1004"/>
      <c r="M16" s="1003" t="s">
        <v>53</v>
      </c>
      <c r="N16" s="1004"/>
      <c r="O16" s="1003" t="s">
        <v>54</v>
      </c>
      <c r="P16" s="1004"/>
      <c r="Q16" s="1005" t="s">
        <v>81</v>
      </c>
      <c r="R16" s="1005"/>
      <c r="S16" s="1089" t="s">
        <v>90</v>
      </c>
      <c r="T16" s="1090"/>
      <c r="U16" s="1089" t="s">
        <v>91</v>
      </c>
      <c r="V16" s="1090"/>
      <c r="W16" s="1089" t="s">
        <v>92</v>
      </c>
      <c r="X16" s="1090"/>
      <c r="Y16" s="1089" t="s">
        <v>93</v>
      </c>
      <c r="Z16" s="1091"/>
      <c r="AA16" s="35" t="s">
        <v>36</v>
      </c>
    </row>
    <row r="17" spans="1:31" ht="14.5" customHeight="1" x14ac:dyDescent="0.3">
      <c r="A17" s="1007" t="s">
        <v>32</v>
      </c>
      <c r="B17" s="1008"/>
      <c r="C17" s="36"/>
      <c r="D17" s="37" t="s">
        <v>24</v>
      </c>
      <c r="E17" s="36"/>
      <c r="F17" s="37" t="s">
        <v>24</v>
      </c>
      <c r="G17" s="36"/>
      <c r="H17" s="37" t="s">
        <v>24</v>
      </c>
      <c r="I17" s="38"/>
      <c r="J17" s="38" t="s">
        <v>24</v>
      </c>
      <c r="K17" s="36"/>
      <c r="L17" s="37" t="s">
        <v>24</v>
      </c>
      <c r="M17" s="36"/>
      <c r="N17" s="37" t="s">
        <v>24</v>
      </c>
      <c r="O17" s="39"/>
      <c r="P17" s="37" t="s">
        <v>24</v>
      </c>
      <c r="Q17" s="38"/>
      <c r="R17" s="38" t="s">
        <v>24</v>
      </c>
      <c r="S17" s="40"/>
      <c r="T17" s="41" t="s">
        <v>24</v>
      </c>
      <c r="U17" s="40"/>
      <c r="V17" s="41" t="s">
        <v>24</v>
      </c>
      <c r="W17" s="40"/>
      <c r="X17" s="41" t="s">
        <v>24</v>
      </c>
      <c r="Y17" s="40"/>
      <c r="Z17" s="42" t="s">
        <v>24</v>
      </c>
      <c r="AA17" s="43" t="s">
        <v>24</v>
      </c>
    </row>
    <row r="18" spans="1:31" ht="52" x14ac:dyDescent="0.3">
      <c r="A18" s="44" t="s">
        <v>25</v>
      </c>
      <c r="B18" s="44" t="s">
        <v>55</v>
      </c>
      <c r="C18" s="45" t="s">
        <v>56</v>
      </c>
      <c r="D18" s="46" t="s">
        <v>27</v>
      </c>
      <c r="E18" s="45" t="s">
        <v>56</v>
      </c>
      <c r="F18" s="46" t="s">
        <v>27</v>
      </c>
      <c r="G18" s="45" t="s">
        <v>56</v>
      </c>
      <c r="H18" s="46" t="s">
        <v>27</v>
      </c>
      <c r="I18" s="45" t="s">
        <v>56</v>
      </c>
      <c r="J18" s="46" t="s">
        <v>27</v>
      </c>
      <c r="K18" s="45" t="s">
        <v>56</v>
      </c>
      <c r="L18" s="46" t="s">
        <v>27</v>
      </c>
      <c r="M18" s="45" t="s">
        <v>56</v>
      </c>
      <c r="N18" s="46" t="s">
        <v>27</v>
      </c>
      <c r="O18" s="45" t="s">
        <v>56</v>
      </c>
      <c r="P18" s="46" t="s">
        <v>27</v>
      </c>
      <c r="Q18" s="47" t="s">
        <v>56</v>
      </c>
      <c r="R18" s="46" t="s">
        <v>27</v>
      </c>
      <c r="S18" s="49" t="s">
        <v>56</v>
      </c>
      <c r="T18" s="46" t="s">
        <v>27</v>
      </c>
      <c r="U18" s="49" t="s">
        <v>56</v>
      </c>
      <c r="V18" s="46" t="s">
        <v>27</v>
      </c>
      <c r="W18" s="49" t="s">
        <v>56</v>
      </c>
      <c r="X18" s="46" t="s">
        <v>27</v>
      </c>
      <c r="Y18" s="49" t="s">
        <v>56</v>
      </c>
      <c r="Z18" s="46" t="s">
        <v>27</v>
      </c>
      <c r="AA18" s="50" t="s">
        <v>27</v>
      </c>
    </row>
    <row r="19" spans="1:31" ht="24.65" customHeight="1" x14ac:dyDescent="0.3">
      <c r="A19" s="51" t="s">
        <v>29</v>
      </c>
      <c r="B19" s="51" t="s">
        <v>57</v>
      </c>
      <c r="C19" s="52">
        <v>1</v>
      </c>
      <c r="D19" s="53">
        <v>2</v>
      </c>
      <c r="E19" s="52">
        <v>3</v>
      </c>
      <c r="F19" s="53">
        <v>4</v>
      </c>
      <c r="G19" s="54">
        <v>5</v>
      </c>
      <c r="H19" s="55">
        <v>6</v>
      </c>
      <c r="I19" s="52">
        <v>7</v>
      </c>
      <c r="J19" s="53">
        <v>8</v>
      </c>
      <c r="K19" s="52">
        <v>9</v>
      </c>
      <c r="L19" s="53">
        <v>10</v>
      </c>
      <c r="M19" s="52">
        <v>11</v>
      </c>
      <c r="N19" s="53">
        <v>12</v>
      </c>
      <c r="O19" s="54">
        <v>13</v>
      </c>
      <c r="P19" s="56">
        <v>14</v>
      </c>
      <c r="Q19" s="52">
        <v>15</v>
      </c>
      <c r="R19" s="53">
        <v>16</v>
      </c>
      <c r="S19" s="57">
        <v>17</v>
      </c>
      <c r="T19" s="58">
        <v>18</v>
      </c>
      <c r="U19" s="57">
        <v>19</v>
      </c>
      <c r="V19" s="58">
        <v>20</v>
      </c>
      <c r="W19" s="57">
        <v>21</v>
      </c>
      <c r="X19" s="58">
        <v>22</v>
      </c>
      <c r="Y19" s="57">
        <v>23</v>
      </c>
      <c r="Z19" s="59">
        <v>24</v>
      </c>
      <c r="AA19" s="60">
        <v>25</v>
      </c>
    </row>
    <row r="20" spans="1:31" ht="26.5" thickBot="1" x14ac:dyDescent="0.35">
      <c r="A20" s="72" t="s">
        <v>177</v>
      </c>
      <c r="B20" s="73" t="s">
        <v>70</v>
      </c>
      <c r="C20" s="74">
        <v>255</v>
      </c>
      <c r="D20" s="75">
        <v>28537.69</v>
      </c>
      <c r="E20" s="74">
        <v>260</v>
      </c>
      <c r="F20" s="75">
        <v>27337.48</v>
      </c>
      <c r="G20" s="74">
        <v>293</v>
      </c>
      <c r="H20" s="75">
        <v>45884.52</v>
      </c>
      <c r="I20" s="74">
        <v>302</v>
      </c>
      <c r="J20" s="75">
        <v>35024.6</v>
      </c>
      <c r="K20" s="74">
        <v>300</v>
      </c>
      <c r="L20" s="75">
        <v>32483.910000000003</v>
      </c>
      <c r="M20" s="74">
        <v>310</v>
      </c>
      <c r="N20" s="75">
        <v>37393.14</v>
      </c>
      <c r="O20" s="74">
        <v>320</v>
      </c>
      <c r="P20" s="75">
        <v>31120.16</v>
      </c>
      <c r="Q20" s="74">
        <v>328</v>
      </c>
      <c r="R20" s="75">
        <v>33300.78</v>
      </c>
      <c r="S20" s="74">
        <v>339</v>
      </c>
      <c r="T20" s="75">
        <v>36444.699999999997</v>
      </c>
      <c r="U20" s="74">
        <v>347</v>
      </c>
      <c r="V20" s="75">
        <v>32848.61</v>
      </c>
      <c r="W20" s="74">
        <v>369</v>
      </c>
      <c r="X20" s="75">
        <v>40078.509999999995</v>
      </c>
      <c r="Y20" s="74">
        <v>382</v>
      </c>
      <c r="Z20" s="75">
        <v>42782.879999999997</v>
      </c>
      <c r="AA20" s="68">
        <f t="shared" ref="AA20" si="0">F20+H20+J20+L20+N20+P20+R20+T20+V20+X20+Z20+D20</f>
        <v>423236.98000000004</v>
      </c>
    </row>
    <row r="21" spans="1:31" x14ac:dyDescent="0.3">
      <c r="T21" s="427"/>
      <c r="AA21" s="127"/>
    </row>
    <row r="22" spans="1:31" x14ac:dyDescent="0.3">
      <c r="AA22" s="127"/>
    </row>
    <row r="23" spans="1:31" ht="17.149999999999999" customHeight="1" thickBot="1" x14ac:dyDescent="0.35">
      <c r="A23" s="29" t="s">
        <v>195</v>
      </c>
      <c r="B23" s="448"/>
      <c r="C23" s="448"/>
      <c r="D23" s="448"/>
      <c r="E23" s="448"/>
      <c r="F23" s="448"/>
      <c r="G23" s="448"/>
      <c r="H23" s="448"/>
      <c r="I23" s="448"/>
      <c r="J23" s="448"/>
      <c r="K23" s="448"/>
      <c r="L23" s="448"/>
      <c r="M23" s="448"/>
      <c r="N23" s="448"/>
      <c r="O23" s="448"/>
      <c r="P23" s="448"/>
      <c r="Q23" s="448"/>
      <c r="R23" s="448"/>
      <c r="S23" s="448"/>
      <c r="T23" s="448"/>
      <c r="U23" s="448"/>
      <c r="V23" s="448"/>
      <c r="W23" s="448"/>
      <c r="X23" s="448"/>
      <c r="Y23" s="448"/>
      <c r="Z23" s="448"/>
      <c r="AA23" s="448"/>
      <c r="AB23" s="448"/>
    </row>
    <row r="24" spans="1:31" x14ac:dyDescent="0.3">
      <c r="A24" s="1016" t="s">
        <v>12</v>
      </c>
      <c r="B24" s="1017"/>
      <c r="C24" s="1009" t="s">
        <v>189</v>
      </c>
      <c r="D24" s="1010"/>
      <c r="E24" s="1009" t="s">
        <v>189</v>
      </c>
      <c r="F24" s="1010"/>
      <c r="G24" s="1009" t="s">
        <v>189</v>
      </c>
      <c r="H24" s="1010"/>
      <c r="I24" s="1009" t="s">
        <v>189</v>
      </c>
      <c r="J24" s="1010"/>
      <c r="K24" s="1009" t="s">
        <v>189</v>
      </c>
      <c r="L24" s="1010"/>
      <c r="M24" s="1104" t="s">
        <v>189</v>
      </c>
      <c r="N24" s="1105"/>
      <c r="O24" s="1104" t="s">
        <v>189</v>
      </c>
      <c r="P24" s="1105"/>
      <c r="Q24" s="1104" t="s">
        <v>189</v>
      </c>
      <c r="R24" s="1105"/>
      <c r="S24" s="1104" t="s">
        <v>189</v>
      </c>
      <c r="T24" s="1105"/>
      <c r="U24" s="1054" t="s">
        <v>189</v>
      </c>
      <c r="V24" s="1055"/>
      <c r="W24" s="1054" t="s">
        <v>189</v>
      </c>
      <c r="X24" s="1055"/>
      <c r="Y24" s="1054" t="s">
        <v>189</v>
      </c>
      <c r="Z24" s="1055"/>
      <c r="AA24" s="451" t="s">
        <v>189</v>
      </c>
    </row>
    <row r="25" spans="1:31" x14ac:dyDescent="0.3">
      <c r="A25" s="1014" t="s">
        <v>13</v>
      </c>
      <c r="B25" s="1015"/>
      <c r="C25" s="1003" t="s">
        <v>89</v>
      </c>
      <c r="D25" s="1004"/>
      <c r="E25" s="1003" t="s">
        <v>49</v>
      </c>
      <c r="F25" s="1004"/>
      <c r="G25" s="1003" t="s">
        <v>50</v>
      </c>
      <c r="H25" s="1004"/>
      <c r="I25" s="1005" t="s">
        <v>51</v>
      </c>
      <c r="J25" s="1006"/>
      <c r="K25" s="1003" t="s">
        <v>52</v>
      </c>
      <c r="L25" s="1004"/>
      <c r="M25" s="1056" t="s">
        <v>53</v>
      </c>
      <c r="N25" s="1057"/>
      <c r="O25" s="1056" t="s">
        <v>54</v>
      </c>
      <c r="P25" s="1057"/>
      <c r="Q25" s="1058" t="s">
        <v>81</v>
      </c>
      <c r="R25" s="1058"/>
      <c r="S25" s="1056" t="s">
        <v>90</v>
      </c>
      <c r="T25" s="1057"/>
      <c r="U25" s="1062" t="s">
        <v>91</v>
      </c>
      <c r="V25" s="1063"/>
      <c r="W25" s="1062" t="s">
        <v>92</v>
      </c>
      <c r="X25" s="1063"/>
      <c r="Y25" s="1062" t="s">
        <v>93</v>
      </c>
      <c r="Z25" s="1060"/>
      <c r="AA25" s="452" t="s">
        <v>36</v>
      </c>
    </row>
    <row r="26" spans="1:31" x14ac:dyDescent="0.3">
      <c r="A26" s="1007" t="s">
        <v>32</v>
      </c>
      <c r="B26" s="1008"/>
      <c r="C26" s="36"/>
      <c r="D26" s="37" t="s">
        <v>24</v>
      </c>
      <c r="E26" s="36"/>
      <c r="F26" s="37" t="s">
        <v>24</v>
      </c>
      <c r="G26" s="36"/>
      <c r="H26" s="37" t="s">
        <v>24</v>
      </c>
      <c r="I26" s="38"/>
      <c r="J26" s="38" t="s">
        <v>24</v>
      </c>
      <c r="K26" s="36"/>
      <c r="L26" s="37" t="s">
        <v>24</v>
      </c>
      <c r="M26" s="786"/>
      <c r="N26" s="787" t="s">
        <v>24</v>
      </c>
      <c r="O26" s="794"/>
      <c r="P26" s="787" t="s">
        <v>24</v>
      </c>
      <c r="Q26" s="797"/>
      <c r="R26" s="797" t="s">
        <v>24</v>
      </c>
      <c r="S26" s="794"/>
      <c r="T26" s="787" t="s">
        <v>24</v>
      </c>
      <c r="U26" s="455"/>
      <c r="V26" s="454" t="s">
        <v>24</v>
      </c>
      <c r="W26" s="455"/>
      <c r="X26" s="454" t="s">
        <v>24</v>
      </c>
      <c r="Y26" s="455"/>
      <c r="Z26" s="456" t="s">
        <v>24</v>
      </c>
      <c r="AA26" s="457" t="s">
        <v>24</v>
      </c>
    </row>
    <row r="27" spans="1:31" ht="52" x14ac:dyDescent="0.3">
      <c r="A27" s="44" t="s">
        <v>25</v>
      </c>
      <c r="B27" s="44" t="s">
        <v>55</v>
      </c>
      <c r="C27" s="45" t="s">
        <v>56</v>
      </c>
      <c r="D27" s="46" t="s">
        <v>27</v>
      </c>
      <c r="E27" s="45" t="s">
        <v>56</v>
      </c>
      <c r="F27" s="46" t="s">
        <v>27</v>
      </c>
      <c r="G27" s="45" t="s">
        <v>56</v>
      </c>
      <c r="H27" s="46" t="s">
        <v>27</v>
      </c>
      <c r="I27" s="45" t="s">
        <v>56</v>
      </c>
      <c r="J27" s="46" t="s">
        <v>27</v>
      </c>
      <c r="K27" s="45" t="s">
        <v>56</v>
      </c>
      <c r="L27" s="46" t="s">
        <v>27</v>
      </c>
      <c r="M27" s="788" t="s">
        <v>56</v>
      </c>
      <c r="N27" s="789" t="s">
        <v>27</v>
      </c>
      <c r="O27" s="788" t="s">
        <v>56</v>
      </c>
      <c r="P27" s="789" t="s">
        <v>27</v>
      </c>
      <c r="Q27" s="798" t="s">
        <v>56</v>
      </c>
      <c r="R27" s="789" t="s">
        <v>27</v>
      </c>
      <c r="S27" s="788" t="s">
        <v>56</v>
      </c>
      <c r="T27" s="789" t="s">
        <v>27</v>
      </c>
      <c r="U27" s="458" t="s">
        <v>56</v>
      </c>
      <c r="V27" s="459" t="s">
        <v>28</v>
      </c>
      <c r="W27" s="458" t="s">
        <v>56</v>
      </c>
      <c r="X27" s="459" t="s">
        <v>28</v>
      </c>
      <c r="Y27" s="458" t="s">
        <v>56</v>
      </c>
      <c r="Z27" s="459" t="s">
        <v>28</v>
      </c>
      <c r="AA27" s="461" t="s">
        <v>28</v>
      </c>
      <c r="AC27" s="3"/>
    </row>
    <row r="28" spans="1:31" x14ac:dyDescent="0.3">
      <c r="A28" s="51" t="s">
        <v>29</v>
      </c>
      <c r="B28" s="51" t="s">
        <v>57</v>
      </c>
      <c r="C28" s="52">
        <v>1</v>
      </c>
      <c r="D28" s="53">
        <v>2</v>
      </c>
      <c r="E28" s="52">
        <v>3</v>
      </c>
      <c r="F28" s="53">
        <v>4</v>
      </c>
      <c r="G28" s="54">
        <v>5</v>
      </c>
      <c r="H28" s="55">
        <v>6</v>
      </c>
      <c r="I28" s="52">
        <v>7</v>
      </c>
      <c r="J28" s="53">
        <v>8</v>
      </c>
      <c r="K28" s="52">
        <v>9</v>
      </c>
      <c r="L28" s="53">
        <v>10</v>
      </c>
      <c r="M28" s="790">
        <v>11</v>
      </c>
      <c r="N28" s="791">
        <v>12</v>
      </c>
      <c r="O28" s="795">
        <v>13</v>
      </c>
      <c r="P28" s="796">
        <v>14</v>
      </c>
      <c r="Q28" s="790">
        <v>15</v>
      </c>
      <c r="R28" s="791">
        <v>16</v>
      </c>
      <c r="S28" s="790">
        <v>17</v>
      </c>
      <c r="T28" s="791">
        <v>18</v>
      </c>
      <c r="U28" s="462">
        <v>19</v>
      </c>
      <c r="V28" s="463">
        <v>20</v>
      </c>
      <c r="W28" s="462">
        <v>21</v>
      </c>
      <c r="X28" s="463">
        <v>22</v>
      </c>
      <c r="Y28" s="462">
        <v>23</v>
      </c>
      <c r="Z28" s="465">
        <v>24</v>
      </c>
      <c r="AA28" s="466">
        <v>25</v>
      </c>
    </row>
    <row r="29" spans="1:31" ht="26.5" thickBot="1" x14ac:dyDescent="0.35">
      <c r="A29" s="72" t="s">
        <v>177</v>
      </c>
      <c r="B29" s="73" t="s">
        <v>70</v>
      </c>
      <c r="C29" s="74">
        <v>394</v>
      </c>
      <c r="D29" s="75">
        <v>43900.950000000004</v>
      </c>
      <c r="E29" s="74">
        <v>420</v>
      </c>
      <c r="F29" s="75">
        <v>58217.89</v>
      </c>
      <c r="G29" s="74">
        <v>435</v>
      </c>
      <c r="H29" s="75">
        <v>66154.980000000098</v>
      </c>
      <c r="I29" s="74">
        <v>448</v>
      </c>
      <c r="J29" s="75">
        <v>63930.789999999994</v>
      </c>
      <c r="K29" s="74">
        <v>437</v>
      </c>
      <c r="L29" s="75">
        <v>58378.92</v>
      </c>
      <c r="M29" s="792">
        <v>444</v>
      </c>
      <c r="N29" s="793">
        <v>60487.21</v>
      </c>
      <c r="O29" s="792">
        <v>470</v>
      </c>
      <c r="P29" s="793">
        <v>68575.92</v>
      </c>
      <c r="Q29" s="792">
        <v>479</v>
      </c>
      <c r="R29" s="793">
        <v>60750.06</v>
      </c>
      <c r="S29" s="792">
        <v>504</v>
      </c>
      <c r="T29" s="793">
        <v>69717.209999999992</v>
      </c>
      <c r="U29" s="467">
        <f>S29+14</f>
        <v>518</v>
      </c>
      <c r="V29" s="468">
        <f>U29*166</f>
        <v>85988</v>
      </c>
      <c r="W29" s="467">
        <f>U29+14</f>
        <v>532</v>
      </c>
      <c r="X29" s="468">
        <f>W29*166</f>
        <v>88312</v>
      </c>
      <c r="Y29" s="467">
        <f>W29+14</f>
        <v>546</v>
      </c>
      <c r="Z29" s="468">
        <f>Y29*166</f>
        <v>90636</v>
      </c>
      <c r="AA29" s="469">
        <f>F29+H29+J29+L29+N29+P29+R29+T29+V29+X29+Z29+D29</f>
        <v>815049.93</v>
      </c>
      <c r="AB29" s="98"/>
    </row>
    <row r="30" spans="1:31" s="364" customFormat="1" ht="16.5" customHeight="1" x14ac:dyDescent="0.3">
      <c r="A30" s="1103" t="s">
        <v>324</v>
      </c>
      <c r="B30" s="1103"/>
      <c r="C30" s="1103"/>
      <c r="D30" s="1103"/>
      <c r="E30" s="1103"/>
      <c r="F30" s="1103"/>
      <c r="G30" s="1103"/>
      <c r="H30" s="1103"/>
      <c r="I30" s="1103"/>
      <c r="J30" s="1103"/>
      <c r="K30" s="1103"/>
      <c r="L30" s="1103"/>
      <c r="M30" s="1103"/>
      <c r="N30" s="1103"/>
      <c r="O30" s="1103"/>
      <c r="P30" s="1103"/>
      <c r="Q30" s="1103"/>
      <c r="R30" s="1103"/>
      <c r="S30" s="1103"/>
      <c r="T30" s="1103"/>
      <c r="U30" s="1103"/>
      <c r="V30" s="1103"/>
      <c r="W30" s="1103"/>
      <c r="X30" s="1103"/>
      <c r="Y30" s="1103"/>
      <c r="Z30" s="1103"/>
      <c r="AA30" s="1103"/>
      <c r="AD30" s="33"/>
      <c r="AE30" s="33"/>
    </row>
    <row r="31" spans="1:31" s="3" customFormat="1" ht="15.65" customHeight="1" x14ac:dyDescent="0.3">
      <c r="A31" s="368"/>
      <c r="B31" s="368"/>
      <c r="C31" s="368"/>
      <c r="D31" s="368"/>
      <c r="E31" s="368"/>
      <c r="F31" s="368"/>
      <c r="G31" s="368"/>
      <c r="H31" s="368"/>
      <c r="I31" s="368"/>
      <c r="J31" s="368"/>
      <c r="K31" s="368"/>
      <c r="L31" s="368"/>
      <c r="M31" s="368"/>
      <c r="N31" s="368"/>
      <c r="O31" s="368"/>
      <c r="P31" s="368"/>
      <c r="Q31" s="368"/>
      <c r="R31" s="368"/>
      <c r="S31" s="368"/>
      <c r="T31" s="368"/>
      <c r="U31" s="368"/>
      <c r="V31" s="368"/>
      <c r="W31" s="368"/>
      <c r="X31" s="368"/>
      <c r="Y31" s="368"/>
      <c r="Z31" s="368"/>
      <c r="AA31" s="368"/>
      <c r="AD31" s="33"/>
      <c r="AE31" s="33"/>
    </row>
    <row r="32" spans="1:31" x14ac:dyDescent="0.3">
      <c r="U32" s="98"/>
      <c r="W32" s="98"/>
      <c r="Y32" s="98"/>
    </row>
    <row r="33" spans="1:31" s="364" customFormat="1" ht="17.149999999999999" customHeight="1" thickBot="1" x14ac:dyDescent="0.35">
      <c r="A33" s="475" t="s">
        <v>242</v>
      </c>
      <c r="B33" s="377"/>
      <c r="C33" s="377"/>
      <c r="D33" s="377"/>
      <c r="E33" s="377"/>
      <c r="F33" s="377"/>
      <c r="G33" s="377"/>
      <c r="H33" s="377"/>
      <c r="I33" s="377"/>
      <c r="J33" s="377"/>
      <c r="K33" s="377"/>
      <c r="L33" s="377"/>
      <c r="M33" s="377"/>
      <c r="N33" s="377"/>
      <c r="O33" s="377"/>
      <c r="P33" s="377"/>
      <c r="Q33" s="377"/>
      <c r="R33" s="377"/>
      <c r="S33" s="377"/>
      <c r="T33" s="377"/>
      <c r="U33" s="377"/>
      <c r="V33" s="377"/>
      <c r="W33" s="377"/>
      <c r="X33" s="377"/>
      <c r="Y33" s="377"/>
      <c r="Z33" s="377"/>
      <c r="AA33" s="377"/>
      <c r="AB33" s="377"/>
      <c r="AD33" s="33"/>
      <c r="AE33" s="33"/>
    </row>
    <row r="34" spans="1:31" s="364" customFormat="1" x14ac:dyDescent="0.3">
      <c r="A34" s="1116" t="s">
        <v>12</v>
      </c>
      <c r="B34" s="1117"/>
      <c r="C34" s="1054" t="s">
        <v>244</v>
      </c>
      <c r="D34" s="1055"/>
      <c r="E34" s="1054" t="s">
        <v>244</v>
      </c>
      <c r="F34" s="1055"/>
      <c r="G34" s="1054" t="s">
        <v>244</v>
      </c>
      <c r="H34" s="1055"/>
      <c r="I34" s="1054" t="s">
        <v>244</v>
      </c>
      <c r="J34" s="1055"/>
      <c r="K34" s="1054" t="s">
        <v>244</v>
      </c>
      <c r="L34" s="1055"/>
      <c r="M34" s="1054" t="s">
        <v>244</v>
      </c>
      <c r="N34" s="1055"/>
      <c r="O34" s="1054" t="s">
        <v>244</v>
      </c>
      <c r="P34" s="1055"/>
      <c r="Q34" s="1054" t="s">
        <v>244</v>
      </c>
      <c r="R34" s="1055"/>
      <c r="S34" s="1054" t="s">
        <v>244</v>
      </c>
      <c r="T34" s="1055"/>
      <c r="U34" s="1054" t="s">
        <v>244</v>
      </c>
      <c r="V34" s="1055"/>
      <c r="W34" s="1054" t="s">
        <v>244</v>
      </c>
      <c r="X34" s="1055"/>
      <c r="Y34" s="1054" t="s">
        <v>244</v>
      </c>
      <c r="Z34" s="1055"/>
      <c r="AA34" s="451" t="s">
        <v>244</v>
      </c>
      <c r="AD34" s="33"/>
      <c r="AE34" s="33"/>
    </row>
    <row r="35" spans="1:31" s="364" customFormat="1" x14ac:dyDescent="0.3">
      <c r="A35" s="1118" t="s">
        <v>13</v>
      </c>
      <c r="B35" s="1119"/>
      <c r="C35" s="1062" t="s">
        <v>89</v>
      </c>
      <c r="D35" s="1063"/>
      <c r="E35" s="1062" t="s">
        <v>49</v>
      </c>
      <c r="F35" s="1063"/>
      <c r="G35" s="1062" t="s">
        <v>50</v>
      </c>
      <c r="H35" s="1063"/>
      <c r="I35" s="1060" t="s">
        <v>51</v>
      </c>
      <c r="J35" s="1061"/>
      <c r="K35" s="1062" t="s">
        <v>52</v>
      </c>
      <c r="L35" s="1063"/>
      <c r="M35" s="1062" t="s">
        <v>53</v>
      </c>
      <c r="N35" s="1063"/>
      <c r="O35" s="1062" t="s">
        <v>54</v>
      </c>
      <c r="P35" s="1063"/>
      <c r="Q35" s="1060" t="s">
        <v>81</v>
      </c>
      <c r="R35" s="1060"/>
      <c r="S35" s="1062" t="s">
        <v>90</v>
      </c>
      <c r="T35" s="1063"/>
      <c r="U35" s="1062" t="s">
        <v>91</v>
      </c>
      <c r="V35" s="1063"/>
      <c r="W35" s="1062" t="s">
        <v>92</v>
      </c>
      <c r="X35" s="1063"/>
      <c r="Y35" s="1062" t="s">
        <v>93</v>
      </c>
      <c r="Z35" s="1060"/>
      <c r="AA35" s="452" t="s">
        <v>36</v>
      </c>
      <c r="AD35" s="33"/>
      <c r="AE35" s="33"/>
    </row>
    <row r="36" spans="1:31" s="364" customFormat="1" x14ac:dyDescent="0.3">
      <c r="A36" s="1120" t="s">
        <v>32</v>
      </c>
      <c r="B36" s="1121"/>
      <c r="C36" s="453"/>
      <c r="D36" s="454" t="s">
        <v>24</v>
      </c>
      <c r="E36" s="453"/>
      <c r="F36" s="454" t="s">
        <v>24</v>
      </c>
      <c r="G36" s="453"/>
      <c r="H36" s="454" t="s">
        <v>24</v>
      </c>
      <c r="I36" s="456"/>
      <c r="J36" s="456" t="s">
        <v>24</v>
      </c>
      <c r="K36" s="453"/>
      <c r="L36" s="454" t="s">
        <v>24</v>
      </c>
      <c r="M36" s="453"/>
      <c r="N36" s="454" t="s">
        <v>24</v>
      </c>
      <c r="O36" s="455"/>
      <c r="P36" s="454" t="s">
        <v>24</v>
      </c>
      <c r="Q36" s="456"/>
      <c r="R36" s="456" t="s">
        <v>24</v>
      </c>
      <c r="S36" s="455"/>
      <c r="T36" s="454" t="s">
        <v>24</v>
      </c>
      <c r="U36" s="455"/>
      <c r="V36" s="454" t="s">
        <v>24</v>
      </c>
      <c r="W36" s="455"/>
      <c r="X36" s="454" t="s">
        <v>24</v>
      </c>
      <c r="Y36" s="455"/>
      <c r="Z36" s="456" t="s">
        <v>24</v>
      </c>
      <c r="AA36" s="457" t="s">
        <v>24</v>
      </c>
      <c r="AD36" s="33"/>
      <c r="AE36" s="33"/>
    </row>
    <row r="37" spans="1:31" s="364" customFormat="1" ht="52" x14ac:dyDescent="0.3">
      <c r="A37" s="470" t="s">
        <v>25</v>
      </c>
      <c r="B37" s="470" t="s">
        <v>55</v>
      </c>
      <c r="C37" s="458" t="s">
        <v>56</v>
      </c>
      <c r="D37" s="459" t="s">
        <v>28</v>
      </c>
      <c r="E37" s="458" t="s">
        <v>56</v>
      </c>
      <c r="F37" s="459" t="s">
        <v>28</v>
      </c>
      <c r="G37" s="458" t="s">
        <v>56</v>
      </c>
      <c r="H37" s="459" t="s">
        <v>28</v>
      </c>
      <c r="I37" s="458" t="s">
        <v>56</v>
      </c>
      <c r="J37" s="459" t="s">
        <v>28</v>
      </c>
      <c r="K37" s="458" t="s">
        <v>56</v>
      </c>
      <c r="L37" s="459" t="s">
        <v>28</v>
      </c>
      <c r="M37" s="458" t="s">
        <v>56</v>
      </c>
      <c r="N37" s="459" t="s">
        <v>28</v>
      </c>
      <c r="O37" s="458" t="s">
        <v>56</v>
      </c>
      <c r="P37" s="459" t="s">
        <v>28</v>
      </c>
      <c r="Q37" s="460" t="s">
        <v>56</v>
      </c>
      <c r="R37" s="459" t="s">
        <v>28</v>
      </c>
      <c r="S37" s="458" t="s">
        <v>56</v>
      </c>
      <c r="T37" s="459" t="s">
        <v>28</v>
      </c>
      <c r="U37" s="458" t="s">
        <v>56</v>
      </c>
      <c r="V37" s="459" t="s">
        <v>28</v>
      </c>
      <c r="W37" s="458" t="s">
        <v>56</v>
      </c>
      <c r="X37" s="459" t="s">
        <v>28</v>
      </c>
      <c r="Y37" s="458" t="s">
        <v>56</v>
      </c>
      <c r="Z37" s="459" t="s">
        <v>28</v>
      </c>
      <c r="AA37" s="461" t="s">
        <v>28</v>
      </c>
      <c r="AD37" s="33"/>
      <c r="AE37" s="33"/>
    </row>
    <row r="38" spans="1:31" s="364" customFormat="1" x14ac:dyDescent="0.3">
      <c r="A38" s="471" t="s">
        <v>29</v>
      </c>
      <c r="B38" s="471" t="s">
        <v>57</v>
      </c>
      <c r="C38" s="462">
        <v>1</v>
      </c>
      <c r="D38" s="463">
        <v>2</v>
      </c>
      <c r="E38" s="462">
        <v>3</v>
      </c>
      <c r="F38" s="463">
        <v>4</v>
      </c>
      <c r="G38" s="464">
        <v>5</v>
      </c>
      <c r="H38" s="472">
        <v>6</v>
      </c>
      <c r="I38" s="462">
        <v>7</v>
      </c>
      <c r="J38" s="463">
        <v>8</v>
      </c>
      <c r="K38" s="462">
        <v>9</v>
      </c>
      <c r="L38" s="463">
        <v>10</v>
      </c>
      <c r="M38" s="462">
        <v>11</v>
      </c>
      <c r="N38" s="463">
        <v>12</v>
      </c>
      <c r="O38" s="464">
        <v>13</v>
      </c>
      <c r="P38" s="465">
        <v>14</v>
      </c>
      <c r="Q38" s="462">
        <v>15</v>
      </c>
      <c r="R38" s="463">
        <v>16</v>
      </c>
      <c r="S38" s="462">
        <v>17</v>
      </c>
      <c r="T38" s="463">
        <v>18</v>
      </c>
      <c r="U38" s="462">
        <v>19</v>
      </c>
      <c r="V38" s="463">
        <v>20</v>
      </c>
      <c r="W38" s="462">
        <v>21</v>
      </c>
      <c r="X38" s="463">
        <v>22</v>
      </c>
      <c r="Y38" s="462">
        <v>23</v>
      </c>
      <c r="Z38" s="465">
        <v>24</v>
      </c>
      <c r="AA38" s="466">
        <v>25</v>
      </c>
      <c r="AD38" s="33"/>
      <c r="AE38" s="33"/>
    </row>
    <row r="39" spans="1:31" s="364" customFormat="1" ht="26.5" thickBot="1" x14ac:dyDescent="0.35">
      <c r="A39" s="473" t="s">
        <v>177</v>
      </c>
      <c r="B39" s="474" t="s">
        <v>70</v>
      </c>
      <c r="C39" s="467">
        <f>Y29+14</f>
        <v>560</v>
      </c>
      <c r="D39" s="468">
        <f>C39*166</f>
        <v>92960</v>
      </c>
      <c r="E39" s="467">
        <f>C39+14</f>
        <v>574</v>
      </c>
      <c r="F39" s="468">
        <f>E39*187</f>
        <v>107338</v>
      </c>
      <c r="G39" s="467">
        <f>E39+14</f>
        <v>588</v>
      </c>
      <c r="H39" s="468">
        <f>G39*187</f>
        <v>109956</v>
      </c>
      <c r="I39" s="467">
        <f>G39+14</f>
        <v>602</v>
      </c>
      <c r="J39" s="468">
        <f>I39*187</f>
        <v>112574</v>
      </c>
      <c r="K39" s="467">
        <f>I39+14</f>
        <v>616</v>
      </c>
      <c r="L39" s="468">
        <f>K39*187</f>
        <v>115192</v>
      </c>
      <c r="M39" s="467">
        <f>K39+14</f>
        <v>630</v>
      </c>
      <c r="N39" s="468">
        <f>M39*187</f>
        <v>117810</v>
      </c>
      <c r="O39" s="467">
        <f>M39+14</f>
        <v>644</v>
      </c>
      <c r="P39" s="468">
        <f>O39*187</f>
        <v>120428</v>
      </c>
      <c r="Q39" s="467">
        <f>O39+14</f>
        <v>658</v>
      </c>
      <c r="R39" s="468">
        <f>Q39*187</f>
        <v>123046</v>
      </c>
      <c r="S39" s="467">
        <f>Q39+14</f>
        <v>672</v>
      </c>
      <c r="T39" s="468">
        <f>S39*187</f>
        <v>125664</v>
      </c>
      <c r="U39" s="467">
        <f>S39+14</f>
        <v>686</v>
      </c>
      <c r="V39" s="468">
        <f>U39*187</f>
        <v>128282</v>
      </c>
      <c r="W39" s="467">
        <f>U39+14</f>
        <v>700</v>
      </c>
      <c r="X39" s="468">
        <f>W39*187</f>
        <v>130900</v>
      </c>
      <c r="Y39" s="467">
        <f>W39+14</f>
        <v>714</v>
      </c>
      <c r="Z39" s="468">
        <f>Y39*187</f>
        <v>133518</v>
      </c>
      <c r="AA39" s="469">
        <f>F39+H39+J39+L39+N39+P39+R39+T39+V39+X39+Z39+D39</f>
        <v>1417668</v>
      </c>
      <c r="AB39" s="799"/>
      <c r="AD39" s="33"/>
      <c r="AE39" s="33"/>
    </row>
    <row r="40" spans="1:31" s="364" customFormat="1" x14ac:dyDescent="0.3">
      <c r="A40" s="1226" t="s">
        <v>325</v>
      </c>
      <c r="B40" s="1226"/>
      <c r="C40" s="1226"/>
      <c r="D40" s="1226"/>
      <c r="E40" s="1226"/>
      <c r="F40" s="1226"/>
      <c r="G40" s="1226"/>
      <c r="H40" s="1226"/>
      <c r="I40" s="1226"/>
      <c r="J40" s="1226"/>
      <c r="K40" s="1226"/>
      <c r="L40" s="1226"/>
      <c r="M40" s="1226"/>
      <c r="N40" s="1226"/>
      <c r="O40" s="1226"/>
      <c r="P40" s="1226"/>
      <c r="Q40" s="1226"/>
      <c r="R40" s="1226"/>
      <c r="S40" s="1226"/>
      <c r="T40" s="1226"/>
      <c r="U40" s="1226"/>
      <c r="V40" s="1226"/>
      <c r="W40" s="1226"/>
      <c r="X40" s="1226"/>
      <c r="Y40" s="1226"/>
      <c r="Z40" s="1226"/>
      <c r="AA40" s="1226"/>
      <c r="AD40" s="33"/>
      <c r="AE40" s="33"/>
    </row>
    <row r="42" spans="1:31" x14ac:dyDescent="0.3">
      <c r="C42" s="98"/>
      <c r="E42" s="98"/>
      <c r="AA42" s="98"/>
    </row>
    <row r="43" spans="1:31" x14ac:dyDescent="0.3">
      <c r="AA43" s="98"/>
    </row>
    <row r="44" spans="1:31" x14ac:dyDescent="0.3">
      <c r="C44" s="98"/>
      <c r="E44" s="98"/>
      <c r="G44" s="98"/>
      <c r="I44" s="98"/>
      <c r="K44" s="98"/>
      <c r="M44" s="98"/>
      <c r="O44" s="98"/>
      <c r="Q44" s="98"/>
      <c r="S44" s="98"/>
      <c r="U44" s="98"/>
      <c r="W44" s="98"/>
      <c r="Y44" s="98"/>
    </row>
  </sheetData>
  <mergeCells count="113">
    <mergeCell ref="A40:AA40"/>
    <mergeCell ref="K35:L35"/>
    <mergeCell ref="M35:N35"/>
    <mergeCell ref="O35:P35"/>
    <mergeCell ref="Q35:R35"/>
    <mergeCell ref="S35:T35"/>
    <mergeCell ref="A35:B35"/>
    <mergeCell ref="C35:D35"/>
    <mergeCell ref="E35:F35"/>
    <mergeCell ref="G35:H35"/>
    <mergeCell ref="I35:J35"/>
    <mergeCell ref="I34:J34"/>
    <mergeCell ref="K34:L34"/>
    <mergeCell ref="M34:N34"/>
    <mergeCell ref="O34:P34"/>
    <mergeCell ref="Q34:R34"/>
    <mergeCell ref="U35:V35"/>
    <mergeCell ref="W35:X35"/>
    <mergeCell ref="Y35:Z35"/>
    <mergeCell ref="A36:B36"/>
    <mergeCell ref="S34:T34"/>
    <mergeCell ref="U34:V34"/>
    <mergeCell ref="W34:X34"/>
    <mergeCell ref="Y34:Z34"/>
    <mergeCell ref="A34:B34"/>
    <mergeCell ref="C34:D34"/>
    <mergeCell ref="E34:F34"/>
    <mergeCell ref="G34:H34"/>
    <mergeCell ref="A30:AA30"/>
    <mergeCell ref="U25:V25"/>
    <mergeCell ref="W25:X25"/>
    <mergeCell ref="Y25:Z25"/>
    <mergeCell ref="A26:B26"/>
    <mergeCell ref="A25:B25"/>
    <mergeCell ref="C25:D25"/>
    <mergeCell ref="E25:F25"/>
    <mergeCell ref="G25:H25"/>
    <mergeCell ref="I25:J25"/>
    <mergeCell ref="K25:L25"/>
    <mergeCell ref="M25:N25"/>
    <mergeCell ref="O25:P25"/>
    <mergeCell ref="Q25:R25"/>
    <mergeCell ref="S25:T25"/>
    <mergeCell ref="A24:B24"/>
    <mergeCell ref="C24:D24"/>
    <mergeCell ref="E24:F24"/>
    <mergeCell ref="G24:H24"/>
    <mergeCell ref="I24:J24"/>
    <mergeCell ref="K24:L24"/>
    <mergeCell ref="M24:N24"/>
    <mergeCell ref="O24:P24"/>
    <mergeCell ref="Q24:R24"/>
    <mergeCell ref="S24:T24"/>
    <mergeCell ref="U24:V24"/>
    <mergeCell ref="W24:X24"/>
    <mergeCell ref="Y24:Z24"/>
    <mergeCell ref="Q5:R5"/>
    <mergeCell ref="K15:L15"/>
    <mergeCell ref="M15:N15"/>
    <mergeCell ref="O15:P15"/>
    <mergeCell ref="Q15:R15"/>
    <mergeCell ref="S16:T16"/>
    <mergeCell ref="U16:V16"/>
    <mergeCell ref="W16:X16"/>
    <mergeCell ref="Y16:Z16"/>
    <mergeCell ref="Y15:Z15"/>
    <mergeCell ref="Y6:Z6"/>
    <mergeCell ref="S15:T15"/>
    <mergeCell ref="U15:V15"/>
    <mergeCell ref="W15:X15"/>
    <mergeCell ref="A7:B7"/>
    <mergeCell ref="G6:H6"/>
    <mergeCell ref="I6:J6"/>
    <mergeCell ref="K6:L6"/>
    <mergeCell ref="A15:B15"/>
    <mergeCell ref="K5:L5"/>
    <mergeCell ref="M5:N5"/>
    <mergeCell ref="O5:P5"/>
    <mergeCell ref="C15:D15"/>
    <mergeCell ref="E15:F15"/>
    <mergeCell ref="G15:H15"/>
    <mergeCell ref="I15:J15"/>
    <mergeCell ref="A1:AA1"/>
    <mergeCell ref="A2:AA2"/>
    <mergeCell ref="A3:AA3"/>
    <mergeCell ref="M6:N6"/>
    <mergeCell ref="O6:P6"/>
    <mergeCell ref="Q6:R6"/>
    <mergeCell ref="S6:T6"/>
    <mergeCell ref="U6:V6"/>
    <mergeCell ref="W6:X6"/>
    <mergeCell ref="S5:T5"/>
    <mergeCell ref="U5:V5"/>
    <mergeCell ref="W5:X5"/>
    <mergeCell ref="Y5:Z5"/>
    <mergeCell ref="A6:B6"/>
    <mergeCell ref="C6:D6"/>
    <mergeCell ref="E6:F6"/>
    <mergeCell ref="A5:B5"/>
    <mergeCell ref="C5:D5"/>
    <mergeCell ref="E5:F5"/>
    <mergeCell ref="G5:H5"/>
    <mergeCell ref="I5:J5"/>
    <mergeCell ref="A17:B17"/>
    <mergeCell ref="C16:D16"/>
    <mergeCell ref="E16:F16"/>
    <mergeCell ref="G16:H16"/>
    <mergeCell ref="I16:J16"/>
    <mergeCell ref="K16:L16"/>
    <mergeCell ref="M16:N16"/>
    <mergeCell ref="O16:P16"/>
    <mergeCell ref="Q16:R16"/>
    <mergeCell ref="A16:B16"/>
  </mergeCells>
  <pageMargins left="0.70866141732283505" right="0.70866141732283505" top="0.74803149606299202" bottom="0.74803149606299202" header="0.31496062992126" footer="0.31496062992126"/>
  <pageSetup paperSize="9" scale="49"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Ietekme_LM_2026_</vt:lpstr>
      <vt:lpstr>1.tab.</vt:lpstr>
      <vt:lpstr>2.tab.</vt:lpstr>
      <vt:lpstr>3.tab.</vt:lpstr>
      <vt:lpstr>4.tab.</vt:lpstr>
      <vt:lpstr>5.tab.</vt:lpstr>
      <vt:lpstr>6.tab.</vt:lpstr>
      <vt:lpstr>7.tab.</vt:lpstr>
      <vt:lpstr>8.tab.</vt:lpstr>
      <vt:lpstr>9.tab.</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2015-06-05T18:17:20Z</dcterms:created>
  <dcterms:modified xsi:type="dcterms:W3CDTF">2025-12-04T10:25:08Z</dcterms:modified>
  <cp:category/>
</cp:coreProperties>
</file>