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codeName="ThisWorkbook" defaultThemeVersion="166925"/>
  <mc:AlternateContent xmlns:mc="http://schemas.openxmlformats.org/markup-compatibility/2006">
    <mc:Choice Requires="x15">
      <x15ac:absPath xmlns:x15ac="http://schemas.microsoft.com/office/spreadsheetml/2010/11/ac" url="\\vnozare.pri\vm\Redirect_profiles\lzandberga\Desktop\FM\555_070823\220823\"/>
    </mc:Choice>
  </mc:AlternateContent>
  <xr:revisionPtr revIDLastSave="0" documentId="8_{2A994C8D-33E9-48C9-B035-78125378014D}" xr6:coauthVersionLast="47" xr6:coauthVersionMax="47" xr10:uidLastSave="{00000000-0000-0000-0000-000000000000}"/>
  <bookViews>
    <workbookView xWindow="-120" yWindow="-120" windowWidth="29040" windowHeight="15840" xr2:uid="{33C0D9CD-EFDD-463D-8098-2ED9D3B0C046}"/>
  </bookViews>
  <sheets>
    <sheet name="1.pielikums" sheetId="68" r:id="rId1"/>
    <sheet name="2.pielikums" sheetId="102" r:id="rId2"/>
    <sheet name="3. pielikums" sheetId="109" r:id="rId3"/>
    <sheet name="4.pielikums" sheetId="104" r:id="rId4"/>
    <sheet name="4.p.turp.1" sheetId="99" r:id="rId5"/>
    <sheet name="4p.turp.2" sheetId="105" r:id="rId6"/>
    <sheet name="5.pielikums" sheetId="108" r:id="rId7"/>
    <sheet name="5p.turp.1" sheetId="78" r:id="rId8"/>
  </sheets>
  <externalReferences>
    <externalReference r:id="rId9"/>
    <externalReference r:id="rId10"/>
    <externalReference r:id="rId11"/>
    <externalReference r:id="rId12"/>
    <externalReference r:id="rId13"/>
    <externalReference r:id="rId14"/>
    <externalReference r:id="rId15"/>
  </externalReferences>
  <definedNames>
    <definedName name="_1_2_d_NMP_lim">#REF!</definedName>
    <definedName name="_xlnm._FilterDatabase" localSheetId="1" hidden="1">'2.pielikums'!$B$4:$P$95</definedName>
    <definedName name="_xlnm._FilterDatabase" localSheetId="2" hidden="1">'3. pielikums'!$B$4:$P$95</definedName>
    <definedName name="aa">#REF!</definedName>
    <definedName name="_xlnm.Auto_Open">#REF!</definedName>
    <definedName name="b">#REF!</definedName>
    <definedName name="BEx3ATHHUCGCIRND8KLAREDV3L40" hidden="1">[1]HEADER!#REF!</definedName>
    <definedName name="BEx3QB2RILYEXIROLAFCWQMOJXMN" hidden="1">[1]HEADER!#REF!</definedName>
    <definedName name="BEx3RIJ9LXPXWNF4BFBFA4ILG6AY"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#REF!</definedName>
    <definedName name="BX">#REF!</definedName>
    <definedName name="CalendarYear">#REF!</definedName>
    <definedName name="ccc">#REF!</definedName>
    <definedName name="d">#REF!</definedName>
    <definedName name="D_Evija3">#REF!</definedName>
    <definedName name="DaysAndWeeks">{0,1,2,3,4,5,6} + {0;1;2;3;4;5}*7</definedName>
    <definedName name="de">#REF!</definedName>
    <definedName name="dff">#NAME?</definedName>
    <definedName name="DRGNAMES">#REF!</definedName>
    <definedName name="e">#REF!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ala">{0,1,2,3,4,5,6} + {0;1;2;3;4;5}*7</definedName>
    <definedName name="Gala_kopsavilkums">#REF!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[2]izm.posteni!$A$2:$A$216</definedName>
    <definedName name="izm.nos">#REF!</definedName>
    <definedName name="izm.nos_1">[2]izm.posteni!$B$2:$B$216</definedName>
    <definedName name="jhg">#REF!</definedName>
    <definedName name="kk">#REF!</definedName>
    <definedName name="l">#REF!</definedName>
    <definedName name="Limeni_7_9group">#REF!</definedName>
    <definedName name="Macro1">#REF!</definedName>
    <definedName name="Macro2">#REF!</definedName>
    <definedName name="Macro3">#REF!</definedName>
    <definedName name="Macro4">#REF!</definedName>
    <definedName name="Macro5">#REF!</definedName>
    <definedName name="Macro6">#REF!</definedName>
    <definedName name="Macro7">#REF!</definedName>
    <definedName name="Macro8">#REF!</definedName>
    <definedName name="mmm" hidden="1">[1]ZQZBC_PLN__04_03_10!#REF!</definedName>
    <definedName name="n">#REF!</definedName>
    <definedName name="P_Dati_rikojums">#REF!</definedName>
    <definedName name="pp">#REF!</definedName>
    <definedName name="_xlnm.Print_Area" localSheetId="1">'2.pielikums'!$A$1:$AI$95</definedName>
    <definedName name="_xlnm.Print_Area" localSheetId="2">'3. pielikums'!$A$1:$AH$95</definedName>
    <definedName name="_xlnm.Print_Area" localSheetId="7">'5p.turp.1'!$A$1:$AD$47</definedName>
    <definedName name="Recover">[3]Macro1!$A$80</definedName>
    <definedName name="Rikojums2222">[4]Macro1!$A$106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[2]strukturkodi!$B$2:$B$232</definedName>
    <definedName name="Struktūrvien.kods">#REF!</definedName>
    <definedName name="Struktūrvien.kods_1">[2]strukturkodi!$A$2:$A$232</definedName>
    <definedName name="T13l6">[5]ATSKAITE_2v!#REF!</definedName>
    <definedName name="TableName">"Dummy"</definedName>
    <definedName name="Tarifs_28">#REF!</definedName>
    <definedName name="TWO_LINKS">'[6]8.1.'!$C$5</definedName>
    <definedName name="ty">#REF!</definedName>
    <definedName name="tyuj">#REF!</definedName>
    <definedName name="u">#REF!</definedName>
    <definedName name="U_N_A">#REF!</definedName>
    <definedName name="wedr">#REF!</definedName>
    <definedName name="WeekStart">#REF!</definedName>
    <definedName name="x">#REF!</definedName>
    <definedName name="XBD">[7]Dati!$B$6</definedName>
    <definedName name="XDD">[7]Dati!$B$4</definedName>
    <definedName name="XDS">[7]Dati!$B$5</definedName>
    <definedName name="XSVD">[7]Dati!$B$7</definedName>
    <definedName name="xxxx">#REF!</definedName>
    <definedName name="yuh">#REF!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 i="104" l="1"/>
  <c r="E10" i="104" s="1"/>
  <c r="B19" i="104" s="1"/>
  <c r="C19" i="104" s="1"/>
  <c r="H24" i="104"/>
  <c r="H20" i="104"/>
  <c r="G3" i="99"/>
  <c r="C53" i="99"/>
  <c r="D53" i="99"/>
  <c r="F53" i="99" s="1"/>
  <c r="G53" i="99" s="1"/>
  <c r="E53" i="99"/>
  <c r="C54" i="99"/>
  <c r="E54" i="99" s="1"/>
  <c r="D54" i="99"/>
  <c r="F54" i="99" s="1"/>
  <c r="G54" i="99" s="1"/>
  <c r="C55" i="99"/>
  <c r="E55" i="99" s="1"/>
  <c r="G55" i="99" s="1"/>
  <c r="D55" i="99"/>
  <c r="F55" i="99"/>
  <c r="C76" i="99"/>
  <c r="D76" i="99"/>
  <c r="E76" i="99"/>
  <c r="F76" i="99"/>
  <c r="G76" i="99"/>
  <c r="C132" i="99"/>
  <c r="E132" i="99" s="1"/>
  <c r="D132" i="99"/>
  <c r="F132" i="99" s="1"/>
  <c r="G132" i="99" s="1"/>
  <c r="C145" i="99"/>
  <c r="D145" i="99"/>
  <c r="F145" i="99" s="1"/>
  <c r="G145" i="99" s="1"/>
  <c r="E145" i="99"/>
  <c r="B4" i="104"/>
  <c r="C108" i="99"/>
  <c r="E108" i="99" s="1"/>
  <c r="D108" i="99"/>
  <c r="F108" i="99" s="1"/>
  <c r="G108" i="99" s="1"/>
  <c r="C90" i="99"/>
  <c r="D90" i="99"/>
  <c r="E90" i="99"/>
  <c r="F90" i="99"/>
  <c r="G90" i="99" s="1"/>
  <c r="C29" i="99"/>
  <c r="D29" i="99"/>
  <c r="E29" i="99"/>
  <c r="F29" i="99"/>
  <c r="G29" i="99" s="1"/>
  <c r="C42" i="99"/>
  <c r="E42" i="99" s="1"/>
  <c r="D42" i="99"/>
  <c r="F42" i="99"/>
  <c r="G42" i="99" s="1"/>
  <c r="C77" i="99"/>
  <c r="E77" i="99" s="1"/>
  <c r="D77" i="99"/>
  <c r="F77" i="99" s="1"/>
  <c r="G77" i="99" s="1"/>
  <c r="C78" i="99"/>
  <c r="E78" i="99" s="1"/>
  <c r="D78" i="99"/>
  <c r="F78" i="99" s="1"/>
  <c r="C26" i="99"/>
  <c r="D26" i="99"/>
  <c r="F26" i="99" s="1"/>
  <c r="G26" i="99" s="1"/>
  <c r="E26" i="99"/>
  <c r="C27" i="99"/>
  <c r="E27" i="99" s="1"/>
  <c r="D27" i="99"/>
  <c r="F27" i="99" s="1"/>
  <c r="G27" i="99" s="1"/>
  <c r="C28" i="99"/>
  <c r="E28" i="99" s="1"/>
  <c r="G28" i="99" s="1"/>
  <c r="D28" i="99"/>
  <c r="F28" i="99"/>
  <c r="C119" i="99"/>
  <c r="D119" i="99"/>
  <c r="E119" i="99"/>
  <c r="F119" i="99"/>
  <c r="G119" i="99"/>
  <c r="C120" i="99"/>
  <c r="E120" i="99" s="1"/>
  <c r="D120" i="99"/>
  <c r="F120" i="99" s="1"/>
  <c r="G120" i="99" s="1"/>
  <c r="C121" i="99"/>
  <c r="D121" i="99"/>
  <c r="F121" i="99" s="1"/>
  <c r="G121" i="99" s="1"/>
  <c r="E121" i="99"/>
  <c r="C146" i="99"/>
  <c r="D146" i="99"/>
  <c r="E146" i="99"/>
  <c r="F146" i="99"/>
  <c r="G146" i="99" s="1"/>
  <c r="C93" i="99"/>
  <c r="D93" i="99"/>
  <c r="F93" i="99" s="1"/>
  <c r="G93" i="99" s="1"/>
  <c r="E93" i="99"/>
  <c r="H22" i="104"/>
  <c r="G78" i="99" l="1"/>
  <c r="B23" i="104"/>
  <c r="G23" i="104"/>
  <c r="G19" i="104" l="1"/>
  <c r="H19" i="104" s="1"/>
  <c r="G21" i="104" l="1"/>
  <c r="D14" i="104"/>
  <c r="R77" i="102" l="1"/>
  <c r="AH19" i="109" l="1"/>
  <c r="AH15" i="109"/>
  <c r="AH16" i="109"/>
  <c r="AH17" i="109"/>
  <c r="AH18" i="109"/>
  <c r="AH14" i="109"/>
  <c r="AG19" i="109"/>
  <c r="B24" i="104"/>
  <c r="G4" i="99"/>
  <c r="C23" i="104" s="1"/>
  <c r="E6" i="105"/>
  <c r="F6" i="105" s="1"/>
  <c r="D3" i="99"/>
  <c r="E3" i="99"/>
  <c r="F3" i="99"/>
  <c r="F5" i="68"/>
  <c r="E5" i="68"/>
  <c r="D92" i="109" l="1"/>
  <c r="D91" i="109"/>
  <c r="O90" i="109"/>
  <c r="N90" i="109"/>
  <c r="M90" i="109"/>
  <c r="L90" i="109"/>
  <c r="J90" i="109"/>
  <c r="I90" i="109"/>
  <c r="H90" i="109"/>
  <c r="G90" i="109"/>
  <c r="P89" i="109"/>
  <c r="D89" i="109"/>
  <c r="F89" i="109" s="1"/>
  <c r="P88" i="109"/>
  <c r="F88" i="109"/>
  <c r="P87" i="109"/>
  <c r="F87" i="109"/>
  <c r="D87" i="109"/>
  <c r="P86" i="109"/>
  <c r="F86" i="109"/>
  <c r="D86" i="109" s="1"/>
  <c r="P85" i="109"/>
  <c r="F85" i="109"/>
  <c r="D85" i="109"/>
  <c r="P84" i="109"/>
  <c r="D84" i="109"/>
  <c r="F84" i="109" s="1"/>
  <c r="P83" i="109"/>
  <c r="D83" i="109"/>
  <c r="P82" i="109"/>
  <c r="F82" i="109"/>
  <c r="B82" i="109"/>
  <c r="B83" i="109" s="1"/>
  <c r="B84" i="109" s="1"/>
  <c r="B85" i="109" s="1"/>
  <c r="B86" i="109" s="1"/>
  <c r="B87" i="109" s="1"/>
  <c r="B88" i="109" s="1"/>
  <c r="B89" i="109" s="1"/>
  <c r="P81" i="109"/>
  <c r="F81" i="109"/>
  <c r="B81" i="109"/>
  <c r="P80" i="109"/>
  <c r="F80" i="109"/>
  <c r="D80" i="109"/>
  <c r="P79" i="109"/>
  <c r="P90" i="109" s="1"/>
  <c r="F79" i="109"/>
  <c r="P78" i="109"/>
  <c r="R77" i="109"/>
  <c r="R94" i="109" s="1"/>
  <c r="O76" i="109"/>
  <c r="N76" i="109"/>
  <c r="P75" i="109"/>
  <c r="O75" i="109"/>
  <c r="N75" i="109"/>
  <c r="M75" i="109"/>
  <c r="L75" i="109"/>
  <c r="J75" i="109"/>
  <c r="I75" i="109"/>
  <c r="H75" i="109"/>
  <c r="G75" i="109"/>
  <c r="F75" i="109"/>
  <c r="D75" i="109" s="1"/>
  <c r="O74" i="109"/>
  <c r="O95" i="109" s="1"/>
  <c r="N74" i="109"/>
  <c r="N95" i="109" s="1"/>
  <c r="M74" i="109"/>
  <c r="M77" i="109" s="1"/>
  <c r="L74" i="109"/>
  <c r="L77" i="109" s="1"/>
  <c r="J74" i="109"/>
  <c r="J77" i="109" s="1"/>
  <c r="I74" i="109"/>
  <c r="I95" i="109" s="1"/>
  <c r="H74" i="109"/>
  <c r="H77" i="109" s="1"/>
  <c r="G74" i="109"/>
  <c r="G95" i="109" s="1"/>
  <c r="F74" i="109"/>
  <c r="F95" i="109" s="1"/>
  <c r="D74" i="109"/>
  <c r="D77" i="109" s="1"/>
  <c r="P73" i="109"/>
  <c r="O72" i="109"/>
  <c r="N72" i="109"/>
  <c r="M72" i="109"/>
  <c r="L72" i="109"/>
  <c r="J72" i="109"/>
  <c r="I72" i="109"/>
  <c r="H72" i="109"/>
  <c r="G72" i="109"/>
  <c r="F72" i="109"/>
  <c r="D72" i="109"/>
  <c r="P71" i="109"/>
  <c r="P72" i="109" s="1"/>
  <c r="D71" i="109"/>
  <c r="P70" i="109"/>
  <c r="L69" i="109"/>
  <c r="J69" i="109"/>
  <c r="I69" i="109"/>
  <c r="H69" i="109"/>
  <c r="G69" i="109"/>
  <c r="P68" i="109"/>
  <c r="F68" i="109"/>
  <c r="D68" i="109" s="1"/>
  <c r="P67" i="109"/>
  <c r="F67" i="109"/>
  <c r="D67" i="109" s="1"/>
  <c r="P66" i="109"/>
  <c r="F66" i="109"/>
  <c r="L65" i="109"/>
  <c r="M65" i="109" s="1"/>
  <c r="N65" i="109" s="1"/>
  <c r="O65" i="109" s="1"/>
  <c r="P65" i="109" s="1"/>
  <c r="K65" i="109"/>
  <c r="F65" i="109"/>
  <c r="D65" i="109"/>
  <c r="L64" i="109"/>
  <c r="M64" i="109" s="1"/>
  <c r="K64" i="109"/>
  <c r="K69" i="109" s="1"/>
  <c r="K93" i="109" s="1"/>
  <c r="K94" i="109" s="1"/>
  <c r="D64" i="109"/>
  <c r="F64" i="109" s="1"/>
  <c r="B64" i="109"/>
  <c r="P63" i="109"/>
  <c r="F63" i="109"/>
  <c r="P62" i="109"/>
  <c r="F62" i="109"/>
  <c r="D62" i="109"/>
  <c r="P61" i="109"/>
  <c r="F61" i="109"/>
  <c r="P60" i="109"/>
  <c r="F60" i="109"/>
  <c r="P59" i="109"/>
  <c r="F59" i="109"/>
  <c r="P58" i="109"/>
  <c r="F58" i="109"/>
  <c r="P57" i="109"/>
  <c r="F57" i="109"/>
  <c r="B57" i="109"/>
  <c r="P56" i="109"/>
  <c r="F56" i="109"/>
  <c r="P55" i="109"/>
  <c r="F55" i="109"/>
  <c r="P54" i="109"/>
  <c r="F54" i="109"/>
  <c r="P53" i="109"/>
  <c r="F53" i="109"/>
  <c r="P52" i="109"/>
  <c r="F52" i="109"/>
  <c r="P51" i="109"/>
  <c r="F51" i="109"/>
  <c r="P50" i="109"/>
  <c r="F50" i="109"/>
  <c r="B50" i="109"/>
  <c r="P49" i="109"/>
  <c r="F49" i="109"/>
  <c r="P48" i="109"/>
  <c r="F48" i="109"/>
  <c r="P47" i="109"/>
  <c r="F47" i="109"/>
  <c r="P46" i="109"/>
  <c r="F46" i="109"/>
  <c r="P45" i="109"/>
  <c r="F45" i="109"/>
  <c r="P44" i="109"/>
  <c r="F44" i="109"/>
  <c r="P43" i="109"/>
  <c r="F43" i="109"/>
  <c r="B43" i="109"/>
  <c r="P42" i="109"/>
  <c r="F42" i="109"/>
  <c r="P41" i="109"/>
  <c r="F41" i="109"/>
  <c r="F69" i="109" s="1"/>
  <c r="P40" i="109"/>
  <c r="O39" i="109"/>
  <c r="N39" i="109"/>
  <c r="M39" i="109"/>
  <c r="L39" i="109"/>
  <c r="L93" i="109" s="1"/>
  <c r="L94" i="109" s="1"/>
  <c r="J39" i="109"/>
  <c r="I39" i="109"/>
  <c r="H39" i="109"/>
  <c r="H93" i="109" s="1"/>
  <c r="H94" i="109" s="1"/>
  <c r="G39" i="109"/>
  <c r="P38" i="109"/>
  <c r="F38" i="109"/>
  <c r="P37" i="109"/>
  <c r="F37" i="109"/>
  <c r="P36" i="109"/>
  <c r="F36" i="109"/>
  <c r="P35" i="109"/>
  <c r="F35" i="109"/>
  <c r="P34" i="109"/>
  <c r="F34" i="109"/>
  <c r="P33" i="109"/>
  <c r="F33" i="109"/>
  <c r="P32" i="109"/>
  <c r="F32" i="109"/>
  <c r="P31" i="109"/>
  <c r="F31" i="109"/>
  <c r="T30" i="109"/>
  <c r="T33" i="109" s="1"/>
  <c r="P30" i="109"/>
  <c r="F30" i="109"/>
  <c r="P29" i="109"/>
  <c r="F29" i="109"/>
  <c r="P28" i="109"/>
  <c r="F28" i="109"/>
  <c r="P27" i="109"/>
  <c r="F27" i="109"/>
  <c r="P26" i="109"/>
  <c r="F26" i="109"/>
  <c r="U25" i="109"/>
  <c r="V25" i="109" s="1"/>
  <c r="P25" i="109"/>
  <c r="F25" i="109"/>
  <c r="P24" i="109"/>
  <c r="F24" i="109"/>
  <c r="P23" i="109"/>
  <c r="F23" i="109"/>
  <c r="P22" i="109"/>
  <c r="F22" i="109"/>
  <c r="P21" i="109"/>
  <c r="F21" i="109"/>
  <c r="P20" i="109"/>
  <c r="F20" i="109"/>
  <c r="AE19" i="109"/>
  <c r="AD19" i="109"/>
  <c r="AC19" i="109"/>
  <c r="AB19" i="109"/>
  <c r="AA19" i="109"/>
  <c r="U19" i="109"/>
  <c r="T19" i="109"/>
  <c r="S19" i="109"/>
  <c r="P19" i="109"/>
  <c r="F19" i="109"/>
  <c r="AF18" i="109"/>
  <c r="AG18" i="109" s="1"/>
  <c r="AD18" i="109"/>
  <c r="AC18" i="109"/>
  <c r="V18" i="109"/>
  <c r="Y18" i="109" s="1"/>
  <c r="P18" i="109"/>
  <c r="F18" i="109"/>
  <c r="AF17" i="109"/>
  <c r="AG17" i="109" s="1"/>
  <c r="AD17" i="109"/>
  <c r="AC17" i="109"/>
  <c r="V17" i="109"/>
  <c r="Y17" i="109" s="1"/>
  <c r="P17" i="109"/>
  <c r="F17" i="109"/>
  <c r="AF16" i="109"/>
  <c r="AG16" i="109" s="1"/>
  <c r="AD16" i="109"/>
  <c r="AC16" i="109"/>
  <c r="V16" i="109"/>
  <c r="Y16" i="109" s="1"/>
  <c r="P16" i="109"/>
  <c r="F16" i="109"/>
  <c r="AF15" i="109"/>
  <c r="AG15" i="109" s="1"/>
  <c r="AD15" i="109"/>
  <c r="AC15" i="109"/>
  <c r="V15" i="109"/>
  <c r="Y15" i="109" s="1"/>
  <c r="P15" i="109"/>
  <c r="F15" i="109"/>
  <c r="D15" i="109"/>
  <c r="D39" i="109" s="1"/>
  <c r="AF14" i="109"/>
  <c r="AF19" i="109" s="1"/>
  <c r="AD14" i="109"/>
  <c r="AC14" i="109"/>
  <c r="V14" i="109"/>
  <c r="Y14" i="109" s="1"/>
  <c r="Y19" i="109" s="1"/>
  <c r="P14" i="109"/>
  <c r="F14" i="109"/>
  <c r="P13" i="109"/>
  <c r="F13" i="109"/>
  <c r="P12" i="109"/>
  <c r="F12" i="109"/>
  <c r="P11" i="109"/>
  <c r="F11" i="109"/>
  <c r="P10" i="109"/>
  <c r="F10" i="109"/>
  <c r="P9" i="109"/>
  <c r="F9" i="109"/>
  <c r="P8" i="109"/>
  <c r="P39" i="109" s="1"/>
  <c r="F8" i="109"/>
  <c r="P7" i="109"/>
  <c r="F7" i="109"/>
  <c r="P6" i="109"/>
  <c r="F6" i="109"/>
  <c r="F39" i="109" s="1"/>
  <c r="F90" i="109" l="1"/>
  <c r="M93" i="109"/>
  <c r="M94" i="109" s="1"/>
  <c r="J93" i="109"/>
  <c r="J94" i="109" s="1"/>
  <c r="D93" i="109"/>
  <c r="M69" i="109"/>
  <c r="N64" i="109"/>
  <c r="D90" i="109"/>
  <c r="F93" i="109"/>
  <c r="F94" i="109" s="1"/>
  <c r="I77" i="109"/>
  <c r="I93" i="109" s="1"/>
  <c r="I94" i="109" s="1"/>
  <c r="AG14" i="109"/>
  <c r="S31" i="109" s="1"/>
  <c r="F77" i="109"/>
  <c r="O77" i="109"/>
  <c r="H95" i="109"/>
  <c r="V19" i="109"/>
  <c r="N77" i="109"/>
  <c r="P74" i="109"/>
  <c r="G77" i="109"/>
  <c r="G93" i="109" s="1"/>
  <c r="G94" i="109" s="1"/>
  <c r="J95" i="109"/>
  <c r="L95" i="109"/>
  <c r="M95" i="109"/>
  <c r="D69" i="109"/>
  <c r="AH14" i="102"/>
  <c r="AI14" i="102" s="1"/>
  <c r="AH15" i="102"/>
  <c r="AI15" i="102" s="1"/>
  <c r="AH16" i="102"/>
  <c r="AI16" i="102" s="1"/>
  <c r="AH17" i="102"/>
  <c r="AI17" i="102" s="1"/>
  <c r="AH18" i="102"/>
  <c r="AI18" i="102" s="1"/>
  <c r="AG19" i="102"/>
  <c r="AD19" i="102"/>
  <c r="AC19" i="102"/>
  <c r="AE15" i="102"/>
  <c r="AF15" i="102" s="1"/>
  <c r="AE16" i="102"/>
  <c r="AF16" i="102" s="1"/>
  <c r="AE17" i="102"/>
  <c r="AF17" i="102" s="1"/>
  <c r="AE18" i="102"/>
  <c r="AF18" i="102" s="1"/>
  <c r="AE14" i="102"/>
  <c r="S37" i="109" l="1"/>
  <c r="S33" i="109"/>
  <c r="P95" i="109"/>
  <c r="P77" i="109"/>
  <c r="N69" i="109"/>
  <c r="N93" i="109" s="1"/>
  <c r="N94" i="109" s="1"/>
  <c r="AB12" i="109" s="1"/>
  <c r="O64" i="109"/>
  <c r="AI19" i="102"/>
  <c r="AH19" i="102"/>
  <c r="AE19" i="102"/>
  <c r="AF14" i="102"/>
  <c r="AF19" i="102" s="1"/>
  <c r="P79" i="102"/>
  <c r="P80" i="102"/>
  <c r="P81" i="102"/>
  <c r="P82" i="102"/>
  <c r="P83" i="102"/>
  <c r="P84" i="102"/>
  <c r="P85" i="102"/>
  <c r="P86" i="102"/>
  <c r="P87" i="102"/>
  <c r="P88" i="102"/>
  <c r="P89" i="102"/>
  <c r="P78" i="102"/>
  <c r="L25" i="99"/>
  <c r="L28" i="99"/>
  <c r="L32" i="99"/>
  <c r="K25" i="99"/>
  <c r="K28" i="99"/>
  <c r="K32" i="99"/>
  <c r="O74" i="102"/>
  <c r="O95" i="102" s="1"/>
  <c r="P75" i="102"/>
  <c r="P6" i="102"/>
  <c r="P7" i="102"/>
  <c r="P8" i="102"/>
  <c r="P9" i="102"/>
  <c r="P10" i="102"/>
  <c r="P11" i="102"/>
  <c r="P12" i="102"/>
  <c r="P13" i="102"/>
  <c r="P14" i="102"/>
  <c r="P15" i="102"/>
  <c r="P16" i="102"/>
  <c r="P17" i="102"/>
  <c r="P18" i="102"/>
  <c r="P19" i="102"/>
  <c r="P20" i="102"/>
  <c r="P21" i="102"/>
  <c r="P22" i="102"/>
  <c r="P23" i="102"/>
  <c r="P24" i="102"/>
  <c r="P25" i="102"/>
  <c r="P26" i="102"/>
  <c r="P27" i="102"/>
  <c r="P28" i="102"/>
  <c r="P29" i="102"/>
  <c r="P30" i="102"/>
  <c r="P31" i="102"/>
  <c r="P32" i="102"/>
  <c r="P33" i="102"/>
  <c r="P34" i="102"/>
  <c r="P35" i="102"/>
  <c r="P36" i="102"/>
  <c r="P37" i="102"/>
  <c r="P38" i="102"/>
  <c r="P41" i="102"/>
  <c r="P42" i="102"/>
  <c r="P43" i="102"/>
  <c r="P44" i="102"/>
  <c r="P45" i="102"/>
  <c r="P46" i="102"/>
  <c r="P47" i="102"/>
  <c r="P48" i="102"/>
  <c r="P49" i="102"/>
  <c r="P50" i="102"/>
  <c r="P51" i="102"/>
  <c r="P52" i="102"/>
  <c r="P53" i="102"/>
  <c r="P54" i="102"/>
  <c r="P55" i="102"/>
  <c r="P56" i="102"/>
  <c r="P57" i="102"/>
  <c r="P58" i="102"/>
  <c r="P59" i="102"/>
  <c r="P60" i="102"/>
  <c r="P61" i="102"/>
  <c r="P62" i="102"/>
  <c r="P63" i="102"/>
  <c r="K64" i="102"/>
  <c r="L64" i="102" s="1"/>
  <c r="M64" i="102" s="1"/>
  <c r="K65" i="102"/>
  <c r="L65" i="102" s="1"/>
  <c r="M65" i="102" s="1"/>
  <c r="N65" i="102" s="1"/>
  <c r="O65" i="102" s="1"/>
  <c r="P65" i="102" s="1"/>
  <c r="P66" i="102"/>
  <c r="P67" i="102"/>
  <c r="P68" i="102"/>
  <c r="P71" i="102"/>
  <c r="P72" i="102" s="1"/>
  <c r="P40" i="102"/>
  <c r="P70" i="102"/>
  <c r="P73" i="102"/>
  <c r="X14" i="102"/>
  <c r="AA14" i="102" s="1"/>
  <c r="O76" i="102"/>
  <c r="R94" i="102"/>
  <c r="E9" i="105"/>
  <c r="O75" i="102"/>
  <c r="D6" i="99"/>
  <c r="F6" i="99" s="1"/>
  <c r="C6" i="99"/>
  <c r="E6" i="99" s="1"/>
  <c r="C6" i="105"/>
  <c r="D9" i="105"/>
  <c r="C9" i="105"/>
  <c r="K28" i="108"/>
  <c r="K27" i="108"/>
  <c r="K26" i="108"/>
  <c r="AC22" i="108"/>
  <c r="V22" i="108"/>
  <c r="AC21" i="108"/>
  <c r="V21" i="108"/>
  <c r="AC20" i="108"/>
  <c r="V20" i="108"/>
  <c r="H14" i="108"/>
  <c r="H22" i="108"/>
  <c r="G14" i="108"/>
  <c r="G22" i="108"/>
  <c r="F14" i="108"/>
  <c r="F20" i="108"/>
  <c r="G20" i="108"/>
  <c r="N20" i="108"/>
  <c r="X20" i="108"/>
  <c r="H20" i="108"/>
  <c r="F21" i="108"/>
  <c r="G21" i="108"/>
  <c r="H21" i="108"/>
  <c r="F22" i="108"/>
  <c r="I20" i="108"/>
  <c r="U20" i="108"/>
  <c r="O20" i="108"/>
  <c r="Y20" i="108"/>
  <c r="P20" i="108"/>
  <c r="Z20" i="108"/>
  <c r="T20" i="108"/>
  <c r="AB20" i="108"/>
  <c r="AD20" i="108"/>
  <c r="P21" i="108"/>
  <c r="Z21" i="108"/>
  <c r="O21" i="108"/>
  <c r="Y21" i="108"/>
  <c r="N21" i="108"/>
  <c r="X21" i="108"/>
  <c r="I21" i="108"/>
  <c r="U21" i="108"/>
  <c r="T21" i="108"/>
  <c r="N22" i="108"/>
  <c r="X22" i="108"/>
  <c r="I22" i="108"/>
  <c r="U22" i="108"/>
  <c r="T22" i="108"/>
  <c r="O22" i="108"/>
  <c r="Y22" i="108"/>
  <c r="P22" i="108"/>
  <c r="Z22" i="108"/>
  <c r="Q20" i="108"/>
  <c r="S20" i="108"/>
  <c r="E26" i="108"/>
  <c r="G26" i="108"/>
  <c r="AB21" i="108"/>
  <c r="AD21" i="108"/>
  <c r="L26" i="108"/>
  <c r="V26" i="108"/>
  <c r="U26" i="108"/>
  <c r="Q22" i="108"/>
  <c r="S22" i="108"/>
  <c r="E28" i="108"/>
  <c r="G28" i="108"/>
  <c r="Q21" i="108"/>
  <c r="S21" i="108"/>
  <c r="E27" i="108"/>
  <c r="G27" i="108"/>
  <c r="AB22" i="108"/>
  <c r="AD22" i="108"/>
  <c r="U27" i="108"/>
  <c r="L27" i="108"/>
  <c r="V27" i="108"/>
  <c r="V28" i="108"/>
  <c r="U28" i="108"/>
  <c r="U29" i="108"/>
  <c r="B6" i="108"/>
  <c r="L28" i="108"/>
  <c r="V29" i="108"/>
  <c r="L29" i="108"/>
  <c r="C6" i="108"/>
  <c r="D6" i="108"/>
  <c r="C7" i="108"/>
  <c r="D7" i="108"/>
  <c r="C6" i="104"/>
  <c r="C5" i="104"/>
  <c r="D129" i="105"/>
  <c r="C129" i="105"/>
  <c r="D128" i="105"/>
  <c r="C128" i="105"/>
  <c r="D127" i="105"/>
  <c r="C127" i="105"/>
  <c r="D126" i="105"/>
  <c r="C126" i="105"/>
  <c r="D125" i="105"/>
  <c r="C125" i="105"/>
  <c r="E125" i="105"/>
  <c r="D124" i="105"/>
  <c r="C124" i="105"/>
  <c r="D123" i="105"/>
  <c r="C123" i="105"/>
  <c r="D122" i="105"/>
  <c r="C122" i="105"/>
  <c r="D121" i="105"/>
  <c r="C121" i="105"/>
  <c r="D120" i="105"/>
  <c r="C120" i="105"/>
  <c r="D119" i="105"/>
  <c r="C119" i="105"/>
  <c r="D118" i="105"/>
  <c r="C118" i="105"/>
  <c r="D117" i="105"/>
  <c r="C117" i="105"/>
  <c r="E117" i="105"/>
  <c r="D116" i="105"/>
  <c r="C116" i="105"/>
  <c r="D115" i="105"/>
  <c r="C115" i="105"/>
  <c r="D114" i="105"/>
  <c r="C114" i="105"/>
  <c r="D113" i="105"/>
  <c r="C113" i="105"/>
  <c r="D112" i="105"/>
  <c r="C112" i="105"/>
  <c r="D111" i="105"/>
  <c r="C111" i="105"/>
  <c r="D110" i="105"/>
  <c r="E110" i="105"/>
  <c r="C110" i="105"/>
  <c r="D109" i="105"/>
  <c r="C109" i="105"/>
  <c r="D108" i="105"/>
  <c r="C108" i="105"/>
  <c r="D107" i="105"/>
  <c r="C107" i="105"/>
  <c r="D106" i="105"/>
  <c r="C106" i="105"/>
  <c r="D105" i="105"/>
  <c r="C105" i="105"/>
  <c r="D104" i="105"/>
  <c r="C104" i="105"/>
  <c r="D103" i="105"/>
  <c r="C103" i="105"/>
  <c r="D102" i="105"/>
  <c r="C102" i="105"/>
  <c r="D101" i="105"/>
  <c r="C101" i="105"/>
  <c r="E101" i="105"/>
  <c r="D100" i="105"/>
  <c r="C100" i="105"/>
  <c r="D99" i="105"/>
  <c r="C99" i="105"/>
  <c r="D98" i="105"/>
  <c r="C98" i="105"/>
  <c r="D97" i="105"/>
  <c r="C97" i="105"/>
  <c r="D96" i="105"/>
  <c r="E96" i="105"/>
  <c r="C96" i="105"/>
  <c r="D95" i="105"/>
  <c r="C95" i="105"/>
  <c r="D94" i="105"/>
  <c r="C94" i="105"/>
  <c r="D93" i="105"/>
  <c r="C93" i="105"/>
  <c r="E93" i="105"/>
  <c r="D92" i="105"/>
  <c r="C92" i="105"/>
  <c r="E92" i="105"/>
  <c r="D91" i="105"/>
  <c r="C91" i="105"/>
  <c r="D90" i="105"/>
  <c r="C90" i="105"/>
  <c r="D89" i="105"/>
  <c r="C89" i="105"/>
  <c r="D88" i="105"/>
  <c r="C88" i="105"/>
  <c r="D87" i="105"/>
  <c r="C87" i="105"/>
  <c r="D86" i="105"/>
  <c r="C86" i="105"/>
  <c r="D85" i="105"/>
  <c r="C85" i="105"/>
  <c r="D84" i="105"/>
  <c r="C84" i="105"/>
  <c r="E84" i="105"/>
  <c r="D83" i="105"/>
  <c r="C83" i="105"/>
  <c r="D82" i="105"/>
  <c r="C82" i="105"/>
  <c r="D81" i="105"/>
  <c r="C81" i="105"/>
  <c r="D80" i="105"/>
  <c r="C80" i="105"/>
  <c r="E80" i="105"/>
  <c r="D79" i="105"/>
  <c r="C79" i="105"/>
  <c r="D78" i="105"/>
  <c r="C78" i="105"/>
  <c r="D77" i="105"/>
  <c r="C77" i="105"/>
  <c r="D76" i="105"/>
  <c r="C76" i="105"/>
  <c r="D75" i="105"/>
  <c r="C75" i="105"/>
  <c r="D74" i="105"/>
  <c r="C74" i="105"/>
  <c r="D73" i="105"/>
  <c r="C73" i="105"/>
  <c r="D72" i="105"/>
  <c r="C72" i="105"/>
  <c r="D71" i="105"/>
  <c r="C71" i="105"/>
  <c r="D70" i="105"/>
  <c r="C70" i="105"/>
  <c r="D69" i="105"/>
  <c r="C69" i="105"/>
  <c r="D68" i="105"/>
  <c r="C68" i="105"/>
  <c r="D67" i="105"/>
  <c r="C67" i="105"/>
  <c r="D66" i="105"/>
  <c r="C66" i="105"/>
  <c r="D65" i="105"/>
  <c r="C65" i="105"/>
  <c r="D64" i="105"/>
  <c r="C64" i="105"/>
  <c r="D63" i="105"/>
  <c r="C63" i="105"/>
  <c r="D62" i="105"/>
  <c r="C62" i="105"/>
  <c r="D61" i="105"/>
  <c r="C61" i="105"/>
  <c r="D60" i="105"/>
  <c r="C60" i="105"/>
  <c r="D59" i="105"/>
  <c r="C59" i="105"/>
  <c r="D58" i="105"/>
  <c r="C58" i="105"/>
  <c r="D57" i="105"/>
  <c r="C57" i="105"/>
  <c r="D56" i="105"/>
  <c r="C56" i="105"/>
  <c r="D55" i="105"/>
  <c r="C55" i="105"/>
  <c r="D54" i="105"/>
  <c r="E54" i="105"/>
  <c r="C54" i="105"/>
  <c r="D53" i="105"/>
  <c r="C53" i="105"/>
  <c r="D52" i="105"/>
  <c r="C52" i="105"/>
  <c r="D51" i="105"/>
  <c r="C51" i="105"/>
  <c r="D50" i="105"/>
  <c r="C50" i="105"/>
  <c r="D49" i="105"/>
  <c r="C49" i="105"/>
  <c r="D48" i="105"/>
  <c r="C48" i="105"/>
  <c r="D47" i="105"/>
  <c r="C47" i="105"/>
  <c r="D46" i="105"/>
  <c r="C46" i="105"/>
  <c r="D45" i="105"/>
  <c r="C45" i="105"/>
  <c r="D44" i="105"/>
  <c r="C44" i="105"/>
  <c r="D43" i="105"/>
  <c r="C43" i="105"/>
  <c r="D42" i="105"/>
  <c r="C42" i="105"/>
  <c r="D41" i="105"/>
  <c r="E41" i="105"/>
  <c r="C41" i="105"/>
  <c r="D40" i="105"/>
  <c r="C40" i="105"/>
  <c r="E40" i="105"/>
  <c r="D39" i="105"/>
  <c r="C39" i="105"/>
  <c r="D38" i="105"/>
  <c r="C38" i="105"/>
  <c r="D37" i="105"/>
  <c r="E37" i="105"/>
  <c r="C37" i="105"/>
  <c r="D36" i="105"/>
  <c r="C36" i="105"/>
  <c r="D35" i="105"/>
  <c r="E35" i="105"/>
  <c r="C35" i="105"/>
  <c r="D34" i="105"/>
  <c r="C34" i="105"/>
  <c r="D33" i="105"/>
  <c r="E33" i="105"/>
  <c r="C33" i="105"/>
  <c r="D32" i="105"/>
  <c r="C32" i="105"/>
  <c r="D31" i="105"/>
  <c r="E31" i="105"/>
  <c r="C31" i="105"/>
  <c r="D30" i="105"/>
  <c r="C30" i="105"/>
  <c r="D29" i="105"/>
  <c r="C29" i="105"/>
  <c r="D28" i="105"/>
  <c r="C28" i="105"/>
  <c r="E28" i="105"/>
  <c r="D27" i="105"/>
  <c r="C27" i="105"/>
  <c r="D26" i="105"/>
  <c r="C26" i="105"/>
  <c r="D25" i="105"/>
  <c r="C25" i="105"/>
  <c r="D24" i="105"/>
  <c r="C24" i="105"/>
  <c r="D23" i="105"/>
  <c r="C23" i="105"/>
  <c r="D22" i="105"/>
  <c r="C22" i="105"/>
  <c r="D21" i="105"/>
  <c r="C21" i="105"/>
  <c r="D20" i="105"/>
  <c r="C20" i="105"/>
  <c r="D19" i="105"/>
  <c r="C19" i="105"/>
  <c r="D18" i="105"/>
  <c r="C18" i="105"/>
  <c r="D17" i="105"/>
  <c r="C17" i="105"/>
  <c r="D16" i="105"/>
  <c r="C16" i="105"/>
  <c r="D15" i="105"/>
  <c r="C15" i="105"/>
  <c r="D14" i="105"/>
  <c r="C14" i="105"/>
  <c r="D13" i="105"/>
  <c r="C13" i="105"/>
  <c r="D12" i="105"/>
  <c r="C12" i="105"/>
  <c r="D11" i="105"/>
  <c r="C11" i="105"/>
  <c r="D10" i="105"/>
  <c r="C10" i="105"/>
  <c r="E102" i="105"/>
  <c r="E44" i="105"/>
  <c r="E56" i="105"/>
  <c r="E32" i="105"/>
  <c r="E13" i="105"/>
  <c r="E21" i="105"/>
  <c r="E100" i="105"/>
  <c r="E104" i="105"/>
  <c r="E108" i="105"/>
  <c r="E112" i="105"/>
  <c r="E57" i="105"/>
  <c r="E65" i="105"/>
  <c r="E81" i="105"/>
  <c r="E30" i="105"/>
  <c r="E34" i="105"/>
  <c r="E38" i="105"/>
  <c r="E50" i="105"/>
  <c r="E70" i="105"/>
  <c r="E62" i="105"/>
  <c r="E86" i="105"/>
  <c r="E43" i="105"/>
  <c r="E47" i="105"/>
  <c r="E12" i="105"/>
  <c r="E16" i="105"/>
  <c r="E20" i="105"/>
  <c r="E55" i="105"/>
  <c r="E87" i="105"/>
  <c r="E91" i="105"/>
  <c r="E36" i="105"/>
  <c r="E48" i="105"/>
  <c r="E115" i="105"/>
  <c r="E119" i="105"/>
  <c r="E53" i="105"/>
  <c r="E64" i="105"/>
  <c r="E88" i="105"/>
  <c r="E17" i="105"/>
  <c r="E29" i="105"/>
  <c r="E51" i="105"/>
  <c r="E74" i="105"/>
  <c r="E78" i="105"/>
  <c r="E82" i="105"/>
  <c r="E97" i="105"/>
  <c r="E116" i="105"/>
  <c r="E120" i="105"/>
  <c r="E124" i="105"/>
  <c r="E128" i="105"/>
  <c r="E14" i="105"/>
  <c r="E18" i="105"/>
  <c r="E22" i="105"/>
  <c r="E26" i="105"/>
  <c r="E52" i="105"/>
  <c r="E60" i="105"/>
  <c r="E67" i="105"/>
  <c r="E71" i="105"/>
  <c r="E75" i="105"/>
  <c r="E94" i="105"/>
  <c r="E98" i="105"/>
  <c r="E129" i="105"/>
  <c r="E27" i="105"/>
  <c r="E46" i="105"/>
  <c r="E61" i="105"/>
  <c r="E68" i="105"/>
  <c r="E72" i="105"/>
  <c r="E76" i="105"/>
  <c r="E99" i="105"/>
  <c r="E114" i="105"/>
  <c r="E118" i="105"/>
  <c r="E122" i="105"/>
  <c r="E126" i="105"/>
  <c r="E24" i="105"/>
  <c r="E69" i="105"/>
  <c r="E77" i="105"/>
  <c r="E85" i="105"/>
  <c r="E15" i="105"/>
  <c r="E25" i="105"/>
  <c r="E42" i="105"/>
  <c r="E59" i="105"/>
  <c r="E79" i="105"/>
  <c r="E89" i="105"/>
  <c r="E106" i="105"/>
  <c r="E123" i="105"/>
  <c r="E19" i="105"/>
  <c r="E39" i="105"/>
  <c r="E49" i="105"/>
  <c r="E66" i="105"/>
  <c r="E83" i="105"/>
  <c r="E103" i="105"/>
  <c r="E113" i="105"/>
  <c r="E63" i="105"/>
  <c r="E73" i="105"/>
  <c r="E90" i="105"/>
  <c r="E107" i="105"/>
  <c r="E127" i="105"/>
  <c r="E23" i="105"/>
  <c r="D6" i="105"/>
  <c r="E111" i="105"/>
  <c r="E121" i="105"/>
  <c r="E11" i="105"/>
  <c r="E45" i="105"/>
  <c r="E58" i="105"/>
  <c r="E95" i="105"/>
  <c r="E105" i="105"/>
  <c r="E109" i="105"/>
  <c r="E10" i="105"/>
  <c r="D92" i="102"/>
  <c r="D91" i="102"/>
  <c r="O90" i="102"/>
  <c r="N90" i="102"/>
  <c r="M90" i="102"/>
  <c r="L90" i="102"/>
  <c r="J90" i="102"/>
  <c r="I90" i="102"/>
  <c r="H90" i="102"/>
  <c r="G90" i="102"/>
  <c r="D89" i="102"/>
  <c r="F89" i="102" s="1"/>
  <c r="F88" i="102"/>
  <c r="D87" i="102"/>
  <c r="F87" i="102" s="1"/>
  <c r="F86" i="102"/>
  <c r="D86" i="102" s="1"/>
  <c r="D85" i="102"/>
  <c r="F85" i="102" s="1"/>
  <c r="D84" i="102"/>
  <c r="F84" i="102" s="1"/>
  <c r="D83" i="102"/>
  <c r="F82" i="102"/>
  <c r="F81" i="102"/>
  <c r="B81" i="102"/>
  <c r="B82" i="102" s="1"/>
  <c r="B83" i="102" s="1"/>
  <c r="B84" i="102" s="1"/>
  <c r="B85" i="102" s="1"/>
  <c r="B86" i="102" s="1"/>
  <c r="B87" i="102" s="1"/>
  <c r="B88" i="102" s="1"/>
  <c r="B89" i="102" s="1"/>
  <c r="D80" i="102"/>
  <c r="F80" i="102" s="1"/>
  <c r="F79" i="102"/>
  <c r="N76" i="102"/>
  <c r="N75" i="102"/>
  <c r="M75" i="102"/>
  <c r="L75" i="102"/>
  <c r="J75" i="102"/>
  <c r="I75" i="102"/>
  <c r="H75" i="102"/>
  <c r="G75" i="102"/>
  <c r="F75" i="102"/>
  <c r="D75" i="102" s="1"/>
  <c r="N74" i="102"/>
  <c r="N95" i="102" s="1"/>
  <c r="M74" i="102"/>
  <c r="M95" i="102" s="1"/>
  <c r="L74" i="102"/>
  <c r="L95" i="102" s="1"/>
  <c r="J74" i="102"/>
  <c r="J95" i="102" s="1"/>
  <c r="I74" i="102"/>
  <c r="I95" i="102" s="1"/>
  <c r="H74" i="102"/>
  <c r="H95" i="102" s="1"/>
  <c r="G74" i="102"/>
  <c r="G95" i="102" s="1"/>
  <c r="F74" i="102"/>
  <c r="F95" i="102" s="1"/>
  <c r="O72" i="102"/>
  <c r="N72" i="102"/>
  <c r="M72" i="102"/>
  <c r="L72" i="102"/>
  <c r="J72" i="102"/>
  <c r="I72" i="102"/>
  <c r="H72" i="102"/>
  <c r="G72" i="102"/>
  <c r="F72" i="102"/>
  <c r="D71" i="102"/>
  <c r="D72" i="102" s="1"/>
  <c r="J69" i="102"/>
  <c r="I69" i="102"/>
  <c r="H69" i="102"/>
  <c r="G69" i="102"/>
  <c r="F68" i="102"/>
  <c r="D68" i="102" s="1"/>
  <c r="F67" i="102"/>
  <c r="D67" i="102" s="1"/>
  <c r="F66" i="102"/>
  <c r="F65" i="102"/>
  <c r="D65" i="102" s="1"/>
  <c r="D64" i="102"/>
  <c r="F64" i="102" s="1"/>
  <c r="B64" i="102"/>
  <c r="F63" i="102"/>
  <c r="D62" i="102"/>
  <c r="F62" i="102" s="1"/>
  <c r="F61" i="102"/>
  <c r="F60" i="102"/>
  <c r="F59" i="102"/>
  <c r="F58" i="102"/>
  <c r="F57" i="102"/>
  <c r="B57" i="102"/>
  <c r="F56" i="102"/>
  <c r="F55" i="102"/>
  <c r="F54" i="102"/>
  <c r="F53" i="102"/>
  <c r="F52" i="102"/>
  <c r="F51" i="102"/>
  <c r="F50" i="102"/>
  <c r="B50" i="102"/>
  <c r="F49" i="102"/>
  <c r="F48" i="102"/>
  <c r="F47" i="102"/>
  <c r="F46" i="102"/>
  <c r="F45" i="102"/>
  <c r="F44" i="102"/>
  <c r="F43" i="102"/>
  <c r="B43" i="102"/>
  <c r="F42" i="102"/>
  <c r="F41" i="102"/>
  <c r="O39" i="102"/>
  <c r="N39" i="102"/>
  <c r="M39" i="102"/>
  <c r="L39" i="102"/>
  <c r="J39" i="102"/>
  <c r="I39" i="102"/>
  <c r="H39" i="102"/>
  <c r="G39" i="102"/>
  <c r="F38" i="102"/>
  <c r="F37" i="102"/>
  <c r="F36" i="102"/>
  <c r="F35" i="102"/>
  <c r="F34" i="102"/>
  <c r="F33" i="102"/>
  <c r="F32" i="102"/>
  <c r="F31" i="102"/>
  <c r="F30" i="102"/>
  <c r="F29" i="102"/>
  <c r="F28" i="102"/>
  <c r="F27" i="102"/>
  <c r="F26" i="102"/>
  <c r="F25" i="102"/>
  <c r="F24" i="102"/>
  <c r="F23" i="102"/>
  <c r="F22" i="102"/>
  <c r="F21" i="102"/>
  <c r="F20" i="102"/>
  <c r="W19" i="102"/>
  <c r="V19" i="102"/>
  <c r="U19" i="102"/>
  <c r="F19" i="102"/>
  <c r="X18" i="102"/>
  <c r="AA18" i="102" s="1"/>
  <c r="F18" i="102"/>
  <c r="X17" i="102"/>
  <c r="AA17" i="102" s="1"/>
  <c r="F17" i="102"/>
  <c r="X16" i="102"/>
  <c r="AA16" i="102" s="1"/>
  <c r="F16" i="102"/>
  <c r="X15" i="102"/>
  <c r="AA15" i="102" s="1"/>
  <c r="D15" i="102"/>
  <c r="D39" i="102" s="1"/>
  <c r="F14" i="102"/>
  <c r="F13" i="102"/>
  <c r="F12" i="102"/>
  <c r="F11" i="102"/>
  <c r="F10" i="102"/>
  <c r="F9" i="102"/>
  <c r="F8" i="102"/>
  <c r="F7" i="102"/>
  <c r="F6" i="102"/>
  <c r="M77" i="102"/>
  <c r="F77" i="102"/>
  <c r="D152" i="99"/>
  <c r="F152" i="99" s="1"/>
  <c r="C152" i="99"/>
  <c r="E152" i="99" s="1"/>
  <c r="D151" i="99"/>
  <c r="F151" i="99" s="1"/>
  <c r="C151" i="99"/>
  <c r="E151" i="99" s="1"/>
  <c r="D150" i="99"/>
  <c r="F150" i="99" s="1"/>
  <c r="C150" i="99"/>
  <c r="E150" i="99" s="1"/>
  <c r="D149" i="99"/>
  <c r="F149" i="99" s="1"/>
  <c r="C149" i="99"/>
  <c r="E149" i="99" s="1"/>
  <c r="D148" i="99"/>
  <c r="F148" i="99" s="1"/>
  <c r="C148" i="99"/>
  <c r="E148" i="99" s="1"/>
  <c r="D147" i="99"/>
  <c r="F147" i="99" s="1"/>
  <c r="C147" i="99"/>
  <c r="E147" i="99" s="1"/>
  <c r="D144" i="99"/>
  <c r="F144" i="99" s="1"/>
  <c r="C144" i="99"/>
  <c r="E144" i="99" s="1"/>
  <c r="D143" i="99"/>
  <c r="F143" i="99" s="1"/>
  <c r="C143" i="99"/>
  <c r="E143" i="99" s="1"/>
  <c r="D142" i="99"/>
  <c r="F142" i="99" s="1"/>
  <c r="C142" i="99"/>
  <c r="E142" i="99" s="1"/>
  <c r="D141" i="99"/>
  <c r="F141" i="99" s="1"/>
  <c r="C141" i="99"/>
  <c r="E141" i="99" s="1"/>
  <c r="D140" i="99"/>
  <c r="F140" i="99" s="1"/>
  <c r="C140" i="99"/>
  <c r="E140" i="99" s="1"/>
  <c r="D139" i="99"/>
  <c r="F139" i="99" s="1"/>
  <c r="C139" i="99"/>
  <c r="E139" i="99" s="1"/>
  <c r="D138" i="99"/>
  <c r="F138" i="99" s="1"/>
  <c r="C138" i="99"/>
  <c r="E138" i="99" s="1"/>
  <c r="D137" i="99"/>
  <c r="F137" i="99" s="1"/>
  <c r="C137" i="99"/>
  <c r="E137" i="99" s="1"/>
  <c r="D136" i="99"/>
  <c r="F136" i="99" s="1"/>
  <c r="C136" i="99"/>
  <c r="E136" i="99" s="1"/>
  <c r="D135" i="99"/>
  <c r="F135" i="99" s="1"/>
  <c r="C135" i="99"/>
  <c r="E135" i="99" s="1"/>
  <c r="D134" i="99"/>
  <c r="F134" i="99" s="1"/>
  <c r="C134" i="99"/>
  <c r="E134" i="99" s="1"/>
  <c r="D133" i="99"/>
  <c r="F133" i="99" s="1"/>
  <c r="C133" i="99"/>
  <c r="E133" i="99" s="1"/>
  <c r="D131" i="99"/>
  <c r="F131" i="99" s="1"/>
  <c r="C131" i="99"/>
  <c r="E131" i="99" s="1"/>
  <c r="D130" i="99"/>
  <c r="F130" i="99" s="1"/>
  <c r="C130" i="99"/>
  <c r="E130" i="99" s="1"/>
  <c r="D129" i="99"/>
  <c r="F129" i="99" s="1"/>
  <c r="C129" i="99"/>
  <c r="E129" i="99" s="1"/>
  <c r="D128" i="99"/>
  <c r="F128" i="99" s="1"/>
  <c r="C128" i="99"/>
  <c r="E128" i="99" s="1"/>
  <c r="D127" i="99"/>
  <c r="F127" i="99" s="1"/>
  <c r="C127" i="99"/>
  <c r="E127" i="99" s="1"/>
  <c r="D126" i="99"/>
  <c r="F126" i="99" s="1"/>
  <c r="C126" i="99"/>
  <c r="E126" i="99" s="1"/>
  <c r="D125" i="99"/>
  <c r="F125" i="99" s="1"/>
  <c r="C125" i="99"/>
  <c r="E125" i="99" s="1"/>
  <c r="D124" i="99"/>
  <c r="F124" i="99" s="1"/>
  <c r="C124" i="99"/>
  <c r="E124" i="99" s="1"/>
  <c r="D123" i="99"/>
  <c r="F123" i="99" s="1"/>
  <c r="C123" i="99"/>
  <c r="E123" i="99" s="1"/>
  <c r="D122" i="99"/>
  <c r="F122" i="99" s="1"/>
  <c r="C122" i="99"/>
  <c r="E122" i="99" s="1"/>
  <c r="D118" i="99"/>
  <c r="F118" i="99" s="1"/>
  <c r="C118" i="99"/>
  <c r="E118" i="99" s="1"/>
  <c r="E117" i="99"/>
  <c r="D117" i="99"/>
  <c r="F117" i="99" s="1"/>
  <c r="D116" i="99"/>
  <c r="F116" i="99" s="1"/>
  <c r="C116" i="99"/>
  <c r="E116" i="99" s="1"/>
  <c r="D115" i="99"/>
  <c r="F115" i="99" s="1"/>
  <c r="C115" i="99"/>
  <c r="E115" i="99" s="1"/>
  <c r="D114" i="99"/>
  <c r="F114" i="99" s="1"/>
  <c r="C114" i="99"/>
  <c r="E114" i="99" s="1"/>
  <c r="D113" i="99"/>
  <c r="F113" i="99" s="1"/>
  <c r="C113" i="99"/>
  <c r="E113" i="99" s="1"/>
  <c r="D112" i="99"/>
  <c r="F112" i="99" s="1"/>
  <c r="C112" i="99"/>
  <c r="E112" i="99" s="1"/>
  <c r="D111" i="99"/>
  <c r="F111" i="99" s="1"/>
  <c r="C111" i="99"/>
  <c r="E111" i="99" s="1"/>
  <c r="D110" i="99"/>
  <c r="F110" i="99" s="1"/>
  <c r="C110" i="99"/>
  <c r="E110" i="99" s="1"/>
  <c r="D109" i="99"/>
  <c r="F109" i="99" s="1"/>
  <c r="C109" i="99"/>
  <c r="E109" i="99" s="1"/>
  <c r="D107" i="99"/>
  <c r="F107" i="99" s="1"/>
  <c r="C107" i="99"/>
  <c r="E107" i="99" s="1"/>
  <c r="D106" i="99"/>
  <c r="F106" i="99" s="1"/>
  <c r="C106" i="99"/>
  <c r="E106" i="99" s="1"/>
  <c r="D105" i="99"/>
  <c r="F105" i="99" s="1"/>
  <c r="C105" i="99"/>
  <c r="E105" i="99" s="1"/>
  <c r="D104" i="99"/>
  <c r="F104" i="99" s="1"/>
  <c r="C104" i="99"/>
  <c r="E104" i="99" s="1"/>
  <c r="D103" i="99"/>
  <c r="F103" i="99" s="1"/>
  <c r="C103" i="99"/>
  <c r="E103" i="99" s="1"/>
  <c r="D102" i="99"/>
  <c r="F102" i="99" s="1"/>
  <c r="C102" i="99"/>
  <c r="E102" i="99" s="1"/>
  <c r="D101" i="99"/>
  <c r="F101" i="99" s="1"/>
  <c r="C101" i="99"/>
  <c r="E101" i="99" s="1"/>
  <c r="D100" i="99"/>
  <c r="F100" i="99" s="1"/>
  <c r="C100" i="99"/>
  <c r="E100" i="99" s="1"/>
  <c r="D99" i="99"/>
  <c r="F99" i="99" s="1"/>
  <c r="C99" i="99"/>
  <c r="E99" i="99" s="1"/>
  <c r="D98" i="99"/>
  <c r="F98" i="99" s="1"/>
  <c r="C98" i="99"/>
  <c r="E98" i="99" s="1"/>
  <c r="D97" i="99"/>
  <c r="F97" i="99" s="1"/>
  <c r="C97" i="99"/>
  <c r="E97" i="99" s="1"/>
  <c r="D96" i="99"/>
  <c r="F96" i="99" s="1"/>
  <c r="C96" i="99"/>
  <c r="E96" i="99" s="1"/>
  <c r="D95" i="99"/>
  <c r="F95" i="99" s="1"/>
  <c r="C95" i="99"/>
  <c r="E95" i="99" s="1"/>
  <c r="D94" i="99"/>
  <c r="F94" i="99" s="1"/>
  <c r="C94" i="99"/>
  <c r="E94" i="99" s="1"/>
  <c r="D92" i="99"/>
  <c r="F92" i="99" s="1"/>
  <c r="C92" i="99"/>
  <c r="E92" i="99" s="1"/>
  <c r="D91" i="99"/>
  <c r="F91" i="99" s="1"/>
  <c r="C91" i="99"/>
  <c r="E91" i="99" s="1"/>
  <c r="D89" i="99"/>
  <c r="F89" i="99" s="1"/>
  <c r="C89" i="99"/>
  <c r="E89" i="99" s="1"/>
  <c r="D88" i="99"/>
  <c r="F88" i="99" s="1"/>
  <c r="C88" i="99"/>
  <c r="E88" i="99" s="1"/>
  <c r="D87" i="99"/>
  <c r="F87" i="99" s="1"/>
  <c r="C87" i="99"/>
  <c r="E87" i="99" s="1"/>
  <c r="D86" i="99"/>
  <c r="F86" i="99" s="1"/>
  <c r="C86" i="99"/>
  <c r="E86" i="99" s="1"/>
  <c r="D85" i="99"/>
  <c r="F85" i="99" s="1"/>
  <c r="C85" i="99"/>
  <c r="E85" i="99" s="1"/>
  <c r="D84" i="99"/>
  <c r="F84" i="99" s="1"/>
  <c r="C84" i="99"/>
  <c r="E84" i="99" s="1"/>
  <c r="D83" i="99"/>
  <c r="F83" i="99" s="1"/>
  <c r="C83" i="99"/>
  <c r="E83" i="99" s="1"/>
  <c r="D82" i="99"/>
  <c r="F82" i="99" s="1"/>
  <c r="C82" i="99"/>
  <c r="E82" i="99" s="1"/>
  <c r="D81" i="99"/>
  <c r="F81" i="99" s="1"/>
  <c r="C81" i="99"/>
  <c r="E81" i="99" s="1"/>
  <c r="D80" i="99"/>
  <c r="F80" i="99" s="1"/>
  <c r="C80" i="99"/>
  <c r="E80" i="99" s="1"/>
  <c r="D79" i="99"/>
  <c r="F79" i="99" s="1"/>
  <c r="C79" i="99"/>
  <c r="E79" i="99" s="1"/>
  <c r="D75" i="99"/>
  <c r="F75" i="99" s="1"/>
  <c r="C75" i="99"/>
  <c r="E75" i="99" s="1"/>
  <c r="D74" i="99"/>
  <c r="F74" i="99" s="1"/>
  <c r="C74" i="99"/>
  <c r="E74" i="99" s="1"/>
  <c r="D73" i="99"/>
  <c r="F73" i="99" s="1"/>
  <c r="C73" i="99"/>
  <c r="E73" i="99" s="1"/>
  <c r="D72" i="99"/>
  <c r="F72" i="99" s="1"/>
  <c r="C72" i="99"/>
  <c r="E72" i="99" s="1"/>
  <c r="D71" i="99"/>
  <c r="F71" i="99" s="1"/>
  <c r="C71" i="99"/>
  <c r="E71" i="99" s="1"/>
  <c r="D70" i="99"/>
  <c r="F70" i="99" s="1"/>
  <c r="C70" i="99"/>
  <c r="E70" i="99" s="1"/>
  <c r="D69" i="99"/>
  <c r="F69" i="99" s="1"/>
  <c r="C69" i="99"/>
  <c r="E69" i="99" s="1"/>
  <c r="D68" i="99"/>
  <c r="F68" i="99" s="1"/>
  <c r="C68" i="99"/>
  <c r="E68" i="99" s="1"/>
  <c r="D67" i="99"/>
  <c r="F67" i="99" s="1"/>
  <c r="C67" i="99"/>
  <c r="E67" i="99" s="1"/>
  <c r="D66" i="99"/>
  <c r="F66" i="99" s="1"/>
  <c r="C66" i="99"/>
  <c r="E66" i="99" s="1"/>
  <c r="D65" i="99"/>
  <c r="F65" i="99" s="1"/>
  <c r="C65" i="99"/>
  <c r="E65" i="99" s="1"/>
  <c r="D64" i="99"/>
  <c r="F64" i="99" s="1"/>
  <c r="C64" i="99"/>
  <c r="E64" i="99" s="1"/>
  <c r="D63" i="99"/>
  <c r="F63" i="99" s="1"/>
  <c r="C63" i="99"/>
  <c r="E63" i="99" s="1"/>
  <c r="D62" i="99"/>
  <c r="F62" i="99" s="1"/>
  <c r="C62" i="99"/>
  <c r="E62" i="99" s="1"/>
  <c r="D61" i="99"/>
  <c r="F61" i="99" s="1"/>
  <c r="C61" i="99"/>
  <c r="E61" i="99" s="1"/>
  <c r="D60" i="99"/>
  <c r="F60" i="99" s="1"/>
  <c r="C60" i="99"/>
  <c r="E60" i="99" s="1"/>
  <c r="D59" i="99"/>
  <c r="F59" i="99" s="1"/>
  <c r="C59" i="99"/>
  <c r="E59" i="99" s="1"/>
  <c r="D58" i="99"/>
  <c r="F58" i="99" s="1"/>
  <c r="C58" i="99"/>
  <c r="E58" i="99" s="1"/>
  <c r="D57" i="99"/>
  <c r="F57" i="99" s="1"/>
  <c r="C57" i="99"/>
  <c r="E57" i="99" s="1"/>
  <c r="D56" i="99"/>
  <c r="F56" i="99" s="1"/>
  <c r="C56" i="99"/>
  <c r="E56" i="99" s="1"/>
  <c r="D52" i="99"/>
  <c r="F52" i="99" s="1"/>
  <c r="C52" i="99"/>
  <c r="E52" i="99" s="1"/>
  <c r="D51" i="99"/>
  <c r="F51" i="99" s="1"/>
  <c r="C51" i="99"/>
  <c r="E51" i="99" s="1"/>
  <c r="D50" i="99"/>
  <c r="F50" i="99" s="1"/>
  <c r="C50" i="99"/>
  <c r="E50" i="99" s="1"/>
  <c r="D49" i="99"/>
  <c r="F49" i="99" s="1"/>
  <c r="C49" i="99"/>
  <c r="E49" i="99" s="1"/>
  <c r="D48" i="99"/>
  <c r="F48" i="99" s="1"/>
  <c r="C48" i="99"/>
  <c r="E48" i="99" s="1"/>
  <c r="D47" i="99"/>
  <c r="F47" i="99" s="1"/>
  <c r="C47" i="99"/>
  <c r="E47" i="99" s="1"/>
  <c r="D46" i="99"/>
  <c r="F46" i="99" s="1"/>
  <c r="C46" i="99"/>
  <c r="E46" i="99" s="1"/>
  <c r="D45" i="99"/>
  <c r="F45" i="99" s="1"/>
  <c r="C45" i="99"/>
  <c r="E45" i="99" s="1"/>
  <c r="D44" i="99"/>
  <c r="F44" i="99" s="1"/>
  <c r="C44" i="99"/>
  <c r="E44" i="99" s="1"/>
  <c r="D43" i="99"/>
  <c r="F43" i="99" s="1"/>
  <c r="C43" i="99"/>
  <c r="E43" i="99" s="1"/>
  <c r="D41" i="99"/>
  <c r="F41" i="99" s="1"/>
  <c r="C41" i="99"/>
  <c r="E41" i="99" s="1"/>
  <c r="D40" i="99"/>
  <c r="F40" i="99" s="1"/>
  <c r="C40" i="99"/>
  <c r="E40" i="99" s="1"/>
  <c r="D39" i="99"/>
  <c r="F39" i="99" s="1"/>
  <c r="C39" i="99"/>
  <c r="E39" i="99" s="1"/>
  <c r="D38" i="99"/>
  <c r="F38" i="99" s="1"/>
  <c r="C38" i="99"/>
  <c r="E38" i="99" s="1"/>
  <c r="D37" i="99"/>
  <c r="F37" i="99" s="1"/>
  <c r="C37" i="99"/>
  <c r="E37" i="99" s="1"/>
  <c r="D36" i="99"/>
  <c r="F36" i="99" s="1"/>
  <c r="C36" i="99"/>
  <c r="E36" i="99" s="1"/>
  <c r="D35" i="99"/>
  <c r="F35" i="99" s="1"/>
  <c r="C35" i="99"/>
  <c r="E35" i="99" s="1"/>
  <c r="D34" i="99"/>
  <c r="F34" i="99" s="1"/>
  <c r="C34" i="99"/>
  <c r="E34" i="99" s="1"/>
  <c r="D33" i="99"/>
  <c r="F33" i="99" s="1"/>
  <c r="C33" i="99"/>
  <c r="E33" i="99" s="1"/>
  <c r="D32" i="99"/>
  <c r="F32" i="99" s="1"/>
  <c r="C32" i="99"/>
  <c r="E32" i="99" s="1"/>
  <c r="D31" i="99"/>
  <c r="F31" i="99" s="1"/>
  <c r="C31" i="99"/>
  <c r="E31" i="99" s="1"/>
  <c r="D30" i="99"/>
  <c r="F30" i="99" s="1"/>
  <c r="C30" i="99"/>
  <c r="E30" i="99" s="1"/>
  <c r="D25" i="99"/>
  <c r="F25" i="99" s="1"/>
  <c r="C25" i="99"/>
  <c r="E25" i="99" s="1"/>
  <c r="D24" i="99"/>
  <c r="F24" i="99" s="1"/>
  <c r="C24" i="99"/>
  <c r="E24" i="99" s="1"/>
  <c r="D23" i="99"/>
  <c r="F23" i="99" s="1"/>
  <c r="C23" i="99"/>
  <c r="E23" i="99" s="1"/>
  <c r="D22" i="99"/>
  <c r="F22" i="99" s="1"/>
  <c r="C22" i="99"/>
  <c r="E22" i="99" s="1"/>
  <c r="D21" i="99"/>
  <c r="F21" i="99" s="1"/>
  <c r="C21" i="99"/>
  <c r="E21" i="99" s="1"/>
  <c r="D20" i="99"/>
  <c r="F20" i="99" s="1"/>
  <c r="C20" i="99"/>
  <c r="E20" i="99" s="1"/>
  <c r="D19" i="99"/>
  <c r="F19" i="99" s="1"/>
  <c r="C19" i="99"/>
  <c r="E19" i="99" s="1"/>
  <c r="D18" i="99"/>
  <c r="F18" i="99" s="1"/>
  <c r="C18" i="99"/>
  <c r="E18" i="99" s="1"/>
  <c r="D17" i="99"/>
  <c r="F17" i="99" s="1"/>
  <c r="C17" i="99"/>
  <c r="E17" i="99" s="1"/>
  <c r="D16" i="99"/>
  <c r="F16" i="99" s="1"/>
  <c r="C16" i="99"/>
  <c r="E16" i="99" s="1"/>
  <c r="D15" i="99"/>
  <c r="F15" i="99" s="1"/>
  <c r="C15" i="99"/>
  <c r="E15" i="99" s="1"/>
  <c r="D14" i="99"/>
  <c r="F14" i="99" s="1"/>
  <c r="C14" i="99"/>
  <c r="E14" i="99" s="1"/>
  <c r="D13" i="99"/>
  <c r="F13" i="99" s="1"/>
  <c r="C13" i="99"/>
  <c r="E13" i="99" s="1"/>
  <c r="D12" i="99"/>
  <c r="F12" i="99" s="1"/>
  <c r="C12" i="99"/>
  <c r="E12" i="99" s="1"/>
  <c r="D11" i="99"/>
  <c r="F11" i="99" s="1"/>
  <c r="C11" i="99"/>
  <c r="E11" i="99" s="1"/>
  <c r="D10" i="99"/>
  <c r="F10" i="99" s="1"/>
  <c r="C10" i="99"/>
  <c r="E10" i="99" s="1"/>
  <c r="D9" i="99"/>
  <c r="F9" i="99" s="1"/>
  <c r="C9" i="99"/>
  <c r="E9" i="99" s="1"/>
  <c r="D8" i="99"/>
  <c r="F8" i="99" s="1"/>
  <c r="C8" i="99"/>
  <c r="E8" i="99" s="1"/>
  <c r="D7" i="99"/>
  <c r="F7" i="99" s="1"/>
  <c r="C7" i="99"/>
  <c r="E7" i="99" s="1"/>
  <c r="T46" i="78"/>
  <c r="T45" i="78"/>
  <c r="T47" i="78" s="1"/>
  <c r="T35" i="78"/>
  <c r="R38" i="78" s="1"/>
  <c r="R40" i="78" s="1"/>
  <c r="J27" i="78"/>
  <c r="H27" i="78"/>
  <c r="K26" i="78"/>
  <c r="F26" i="78"/>
  <c r="K25" i="78"/>
  <c r="F25" i="78"/>
  <c r="AC21" i="78"/>
  <c r="J21" i="78"/>
  <c r="V21" i="78" s="1"/>
  <c r="H21" i="78"/>
  <c r="AC20" i="78"/>
  <c r="J20" i="78"/>
  <c r="V20" i="78" s="1"/>
  <c r="H20" i="78"/>
  <c r="H14" i="78"/>
  <c r="G14" i="78"/>
  <c r="G21" i="78" s="1"/>
  <c r="F14" i="78"/>
  <c r="F20" i="78" s="1"/>
  <c r="K27" i="78"/>
  <c r="G20" i="78"/>
  <c r="I104" i="68"/>
  <c r="G104" i="68"/>
  <c r="I103" i="68"/>
  <c r="G103" i="68"/>
  <c r="I102" i="68"/>
  <c r="G102" i="68"/>
  <c r="I101" i="68"/>
  <c r="G101" i="68"/>
  <c r="I100" i="68"/>
  <c r="G100" i="68"/>
  <c r="I99" i="68"/>
  <c r="G99" i="68"/>
  <c r="I98" i="68"/>
  <c r="G98" i="68"/>
  <c r="I97" i="68"/>
  <c r="G97" i="68"/>
  <c r="I96" i="68"/>
  <c r="G96" i="68"/>
  <c r="I95" i="68"/>
  <c r="G95" i="68"/>
  <c r="I94" i="68"/>
  <c r="G94" i="68"/>
  <c r="I93" i="68"/>
  <c r="G93" i="68"/>
  <c r="I92" i="68"/>
  <c r="G92" i="68"/>
  <c r="I91" i="68"/>
  <c r="G91" i="68"/>
  <c r="I90" i="68"/>
  <c r="G90" i="68"/>
  <c r="I89" i="68"/>
  <c r="G89" i="68"/>
  <c r="I88" i="68"/>
  <c r="G88" i="68"/>
  <c r="I87" i="68"/>
  <c r="G87" i="68"/>
  <c r="I86" i="68"/>
  <c r="G86" i="68"/>
  <c r="I85" i="68"/>
  <c r="G85" i="68"/>
  <c r="I84" i="68"/>
  <c r="G84" i="68"/>
  <c r="I83" i="68"/>
  <c r="G83" i="68"/>
  <c r="I82" i="68"/>
  <c r="G82" i="68"/>
  <c r="I81" i="68"/>
  <c r="G81" i="68"/>
  <c r="I80" i="68"/>
  <c r="G80" i="68"/>
  <c r="I79" i="68"/>
  <c r="G79" i="68"/>
  <c r="F69" i="68"/>
  <c r="K69" i="68" s="1"/>
  <c r="H66" i="68"/>
  <c r="I74" i="68" s="1"/>
  <c r="J51" i="68"/>
  <c r="G51" i="68"/>
  <c r="K50" i="68"/>
  <c r="L50" i="68"/>
  <c r="H50" i="68"/>
  <c r="I50" i="68" s="1"/>
  <c r="K49" i="68"/>
  <c r="L49" i="68"/>
  <c r="H49" i="68"/>
  <c r="I49" i="68" s="1"/>
  <c r="K48" i="68"/>
  <c r="L48" i="68"/>
  <c r="H48" i="68"/>
  <c r="I48" i="68" s="1"/>
  <c r="K47" i="68"/>
  <c r="L47" i="68"/>
  <c r="H47" i="68"/>
  <c r="I47" i="68" s="1"/>
  <c r="K46" i="68"/>
  <c r="L46" i="68"/>
  <c r="H46" i="68"/>
  <c r="I46" i="68" s="1"/>
  <c r="K45" i="68"/>
  <c r="L45" i="68"/>
  <c r="H45" i="68"/>
  <c r="I45" i="68" s="1"/>
  <c r="K44" i="68"/>
  <c r="L44" i="68"/>
  <c r="H44" i="68"/>
  <c r="I44" i="68" s="1"/>
  <c r="K43" i="68"/>
  <c r="L43" i="68"/>
  <c r="H43" i="68"/>
  <c r="I43" i="68" s="1"/>
  <c r="K42" i="68"/>
  <c r="L42" i="68"/>
  <c r="H42" i="68"/>
  <c r="I42" i="68" s="1"/>
  <c r="K41" i="68"/>
  <c r="L41" i="68"/>
  <c r="H41" i="68"/>
  <c r="I41" i="68" s="1"/>
  <c r="K40" i="68"/>
  <c r="L40" i="68"/>
  <c r="H40" i="68"/>
  <c r="I40" i="68" s="1"/>
  <c r="K39" i="68"/>
  <c r="L39" i="68"/>
  <c r="H39" i="68"/>
  <c r="I39" i="68" s="1"/>
  <c r="K38" i="68"/>
  <c r="L38" i="68"/>
  <c r="H38" i="68"/>
  <c r="I38" i="68" s="1"/>
  <c r="K37" i="68"/>
  <c r="L37" i="68"/>
  <c r="H37" i="68"/>
  <c r="I37" i="68" s="1"/>
  <c r="K36" i="68"/>
  <c r="L36" i="68"/>
  <c r="H36" i="68"/>
  <c r="I36" i="68" s="1"/>
  <c r="K35" i="68"/>
  <c r="L35" i="68"/>
  <c r="H35" i="68"/>
  <c r="I35" i="68" s="1"/>
  <c r="K34" i="68"/>
  <c r="L34" i="68"/>
  <c r="H34" i="68"/>
  <c r="I34" i="68" s="1"/>
  <c r="K33" i="68"/>
  <c r="L33" i="68"/>
  <c r="H33" i="68"/>
  <c r="I33" i="68" s="1"/>
  <c r="K32" i="68"/>
  <c r="L32" i="68"/>
  <c r="H32" i="68"/>
  <c r="I32" i="68" s="1"/>
  <c r="K31" i="68"/>
  <c r="L31" i="68"/>
  <c r="H31" i="68"/>
  <c r="I31" i="68" s="1"/>
  <c r="K30" i="68"/>
  <c r="L30" i="68"/>
  <c r="H30" i="68"/>
  <c r="I30" i="68" s="1"/>
  <c r="K29" i="68"/>
  <c r="L29" i="68"/>
  <c r="H29" i="68"/>
  <c r="I29" i="68" s="1"/>
  <c r="K28" i="68"/>
  <c r="L28" i="68"/>
  <c r="H28" i="68"/>
  <c r="I28" i="68" s="1"/>
  <c r="K27" i="68"/>
  <c r="L27" i="68"/>
  <c r="H27" i="68"/>
  <c r="I27" i="68" s="1"/>
  <c r="K26" i="68"/>
  <c r="L26" i="68"/>
  <c r="H26" i="68"/>
  <c r="I26" i="68" s="1"/>
  <c r="K25" i="68"/>
  <c r="L25" i="68"/>
  <c r="H25" i="68"/>
  <c r="I25" i="68" s="1"/>
  <c r="K24" i="68"/>
  <c r="L24" i="68"/>
  <c r="H24" i="68"/>
  <c r="I24" i="68" s="1"/>
  <c r="K23" i="68"/>
  <c r="L23" i="68"/>
  <c r="H23" i="68"/>
  <c r="I23" i="68" s="1"/>
  <c r="K22" i="68"/>
  <c r="L22" i="68"/>
  <c r="H22" i="68"/>
  <c r="I22" i="68" s="1"/>
  <c r="K21" i="68"/>
  <c r="L21" i="68"/>
  <c r="H21" i="68"/>
  <c r="I21" i="68" s="1"/>
  <c r="K20" i="68"/>
  <c r="L20" i="68"/>
  <c r="H20" i="68"/>
  <c r="I20" i="68" s="1"/>
  <c r="K19" i="68"/>
  <c r="L19" i="68"/>
  <c r="H19" i="68"/>
  <c r="I19" i="68" s="1"/>
  <c r="K18" i="68"/>
  <c r="L18" i="68"/>
  <c r="H18" i="68"/>
  <c r="I18" i="68" s="1"/>
  <c r="K17" i="68"/>
  <c r="L17" i="68"/>
  <c r="H17" i="68"/>
  <c r="I17" i="68" s="1"/>
  <c r="K16" i="68"/>
  <c r="L16" i="68"/>
  <c r="H16" i="68"/>
  <c r="I16" i="68" s="1"/>
  <c r="K15" i="68"/>
  <c r="L15" i="68"/>
  <c r="H15" i="68"/>
  <c r="I15" i="68" s="1"/>
  <c r="K14" i="68"/>
  <c r="L14" i="68"/>
  <c r="H14" i="68"/>
  <c r="I14" i="68" s="1"/>
  <c r="K13" i="68"/>
  <c r="L13" i="68"/>
  <c r="H13" i="68"/>
  <c r="I13" i="68" s="1"/>
  <c r="K12" i="68"/>
  <c r="L12" i="68"/>
  <c r="H12" i="68"/>
  <c r="I12" i="68" s="1"/>
  <c r="K11" i="68"/>
  <c r="K51" i="68" s="1"/>
  <c r="L11" i="68"/>
  <c r="L51" i="68" s="1"/>
  <c r="J59" i="68" s="1"/>
  <c r="H11" i="68"/>
  <c r="I11" i="68" s="1"/>
  <c r="K10" i="68"/>
  <c r="L10" i="68"/>
  <c r="H10" i="68"/>
  <c r="H51" i="68" s="1"/>
  <c r="G105" i="68"/>
  <c r="I110" i="68"/>
  <c r="I105" i="68"/>
  <c r="J110" i="68" s="1"/>
  <c r="C4" i="104" l="1"/>
  <c r="G59" i="68"/>
  <c r="I10" i="68"/>
  <c r="I51" i="68" s="1"/>
  <c r="I59" i="68" s="1"/>
  <c r="O69" i="109"/>
  <c r="O93" i="109" s="1"/>
  <c r="O94" i="109" s="1"/>
  <c r="AE12" i="109" s="1"/>
  <c r="P64" i="109"/>
  <c r="P69" i="109" s="1"/>
  <c r="P93" i="109" s="1"/>
  <c r="P94" i="109" s="1"/>
  <c r="N20" i="78"/>
  <c r="X20" i="78" s="1"/>
  <c r="T20" i="78"/>
  <c r="P20" i="78"/>
  <c r="Z20" i="78" s="1"/>
  <c r="O20" i="78"/>
  <c r="Y20" i="78" s="1"/>
  <c r="I20" i="78"/>
  <c r="U20" i="78" s="1"/>
  <c r="F21" i="78"/>
  <c r="H77" i="102"/>
  <c r="H93" i="102" s="1"/>
  <c r="H94" i="102" s="1"/>
  <c r="P39" i="102"/>
  <c r="L77" i="102"/>
  <c r="N77" i="102"/>
  <c r="J77" i="102"/>
  <c r="J93" i="102" s="1"/>
  <c r="J94" i="102" s="1"/>
  <c r="O77" i="102"/>
  <c r="X19" i="102"/>
  <c r="F69" i="102"/>
  <c r="I77" i="102"/>
  <c r="I93" i="102" s="1"/>
  <c r="I94" i="102" s="1"/>
  <c r="P90" i="102"/>
  <c r="K69" i="102"/>
  <c r="K93" i="102" s="1"/>
  <c r="K94" i="102" s="1"/>
  <c r="D90" i="102"/>
  <c r="F15" i="102"/>
  <c r="F39" i="102" s="1"/>
  <c r="G77" i="102"/>
  <c r="G93" i="102" s="1"/>
  <c r="G94" i="102" s="1"/>
  <c r="M69" i="102"/>
  <c r="M93" i="102" s="1"/>
  <c r="M94" i="102" s="1"/>
  <c r="N64" i="102"/>
  <c r="AA19" i="102"/>
  <c r="F90" i="102"/>
  <c r="D69" i="102"/>
  <c r="D74" i="102"/>
  <c r="D77" i="102" s="1"/>
  <c r="L69" i="102"/>
  <c r="P74" i="102"/>
  <c r="G92" i="99"/>
  <c r="G52" i="99"/>
  <c r="G56" i="99"/>
  <c r="G23" i="99"/>
  <c r="G117" i="99"/>
  <c r="G148" i="99"/>
  <c r="G16" i="99"/>
  <c r="G51" i="99"/>
  <c r="G67" i="99"/>
  <c r="G71" i="99"/>
  <c r="G75" i="99"/>
  <c r="G79" i="99"/>
  <c r="G60" i="99"/>
  <c r="G64" i="99"/>
  <c r="G104" i="99"/>
  <c r="G14" i="99"/>
  <c r="G85" i="99"/>
  <c r="G58" i="99"/>
  <c r="G66" i="99"/>
  <c r="G70" i="99"/>
  <c r="G74" i="99"/>
  <c r="G102" i="99"/>
  <c r="L33" i="99"/>
  <c r="G134" i="99"/>
  <c r="G30" i="99"/>
  <c r="G126" i="99"/>
  <c r="G10" i="99"/>
  <c r="G101" i="99"/>
  <c r="G109" i="99"/>
  <c r="G12" i="99"/>
  <c r="G94" i="99"/>
  <c r="G99" i="99"/>
  <c r="G131" i="99"/>
  <c r="G32" i="99"/>
  <c r="G36" i="99"/>
  <c r="G44" i="99"/>
  <c r="G48" i="99"/>
  <c r="G122" i="99"/>
  <c r="G142" i="99"/>
  <c r="K33" i="99"/>
  <c r="G57" i="99"/>
  <c r="G61" i="99"/>
  <c r="G65" i="99"/>
  <c r="G112" i="99"/>
  <c r="G130" i="99"/>
  <c r="G147" i="99"/>
  <c r="G103" i="99"/>
  <c r="G136" i="99"/>
  <c r="G68" i="99"/>
  <c r="G43" i="99"/>
  <c r="G111" i="99"/>
  <c r="G118" i="99"/>
  <c r="G138" i="99"/>
  <c r="G89" i="99"/>
  <c r="G105" i="99"/>
  <c r="G128" i="99"/>
  <c r="G140" i="99"/>
  <c r="G72" i="99"/>
  <c r="G18" i="99"/>
  <c r="G86" i="99"/>
  <c r="G80" i="99"/>
  <c r="G22" i="99"/>
  <c r="G113" i="99"/>
  <c r="G7" i="99"/>
  <c r="G107" i="99"/>
  <c r="G11" i="99"/>
  <c r="G20" i="99"/>
  <c r="G39" i="99"/>
  <c r="G83" i="99"/>
  <c r="G97" i="99"/>
  <c r="G129" i="99"/>
  <c r="G17" i="99"/>
  <c r="G33" i="99"/>
  <c r="G49" i="99"/>
  <c r="G87" i="99"/>
  <c r="G115" i="99"/>
  <c r="G127" i="99"/>
  <c r="G143" i="99"/>
  <c r="G151" i="99"/>
  <c r="G59" i="99"/>
  <c r="G21" i="99"/>
  <c r="G37" i="99"/>
  <c r="G81" i="99"/>
  <c r="G95" i="99"/>
  <c r="G15" i="99"/>
  <c r="G31" i="99"/>
  <c r="G47" i="99"/>
  <c r="G63" i="99"/>
  <c r="G137" i="99"/>
  <c r="G150" i="99"/>
  <c r="G9" i="99"/>
  <c r="G25" i="99"/>
  <c r="G41" i="99"/>
  <c r="G19" i="99"/>
  <c r="G35" i="99"/>
  <c r="G124" i="99"/>
  <c r="G13" i="99"/>
  <c r="G45" i="99"/>
  <c r="G100" i="99"/>
  <c r="G46" i="99"/>
  <c r="G62" i="99"/>
  <c r="G8" i="99"/>
  <c r="G73" i="99"/>
  <c r="G91" i="99"/>
  <c r="G98" i="99"/>
  <c r="G110" i="99"/>
  <c r="G125" i="99"/>
  <c r="G141" i="99"/>
  <c r="G24" i="99"/>
  <c r="G40" i="99"/>
  <c r="G69" i="99"/>
  <c r="G84" i="99"/>
  <c r="G34" i="99"/>
  <c r="G50" i="99"/>
  <c r="G88" i="99"/>
  <c r="G116" i="99"/>
  <c r="G123" i="99"/>
  <c r="G139" i="99"/>
  <c r="G144" i="99"/>
  <c r="G149" i="99"/>
  <c r="G152" i="99"/>
  <c r="C3" i="99"/>
  <c r="G38" i="99"/>
  <c r="G82" i="99"/>
  <c r="G96" i="99"/>
  <c r="G135" i="99"/>
  <c r="G6" i="99"/>
  <c r="G106" i="99"/>
  <c r="G114" i="99"/>
  <c r="G133" i="99"/>
  <c r="L93" i="102" l="1"/>
  <c r="L94" i="102" s="1"/>
  <c r="F59" i="68"/>
  <c r="P21" i="78"/>
  <c r="Z21" i="78" s="1"/>
  <c r="O21" i="78"/>
  <c r="Y21" i="78" s="1"/>
  <c r="T21" i="78"/>
  <c r="N21" i="78"/>
  <c r="X21" i="78" s="1"/>
  <c r="I21" i="78"/>
  <c r="U21" i="78" s="1"/>
  <c r="Q20" i="78"/>
  <c r="S20" i="78" s="1"/>
  <c r="E25" i="78" s="1"/>
  <c r="G25" i="78" s="1"/>
  <c r="AB20" i="78"/>
  <c r="AD20" i="78" s="1"/>
  <c r="F93" i="102"/>
  <c r="F94" i="102" s="1"/>
  <c r="D93" i="102"/>
  <c r="O64" i="102"/>
  <c r="N69" i="102"/>
  <c r="N93" i="102" s="1"/>
  <c r="N94" i="102" s="1"/>
  <c r="AD12" i="102" s="1"/>
  <c r="P95" i="102"/>
  <c r="P77" i="102"/>
  <c r="U25" i="78" l="1"/>
  <c r="L25" i="78"/>
  <c r="V25" i="78"/>
  <c r="Q21" i="78"/>
  <c r="S21" i="78" s="1"/>
  <c r="E26" i="78" s="1"/>
  <c r="G26" i="78" s="1"/>
  <c r="AB21" i="78"/>
  <c r="AD21" i="78" s="1"/>
  <c r="O69" i="102"/>
  <c r="O93" i="102" s="1"/>
  <c r="O94" i="102" s="1"/>
  <c r="AG12" i="102" s="1"/>
  <c r="P64" i="102"/>
  <c r="P69" i="102" s="1"/>
  <c r="P93" i="102" s="1"/>
  <c r="P94" i="102" s="1"/>
  <c r="L26" i="78" l="1"/>
  <c r="V26" i="78"/>
  <c r="U26" i="78"/>
  <c r="V27" i="78"/>
  <c r="B6" i="78" s="1"/>
  <c r="L27" i="78"/>
  <c r="U27" i="78"/>
  <c r="B5" i="78" s="1"/>
  <c r="B12" i="78" l="1"/>
  <c r="C5" i="78"/>
  <c r="B7" i="78"/>
  <c r="Q5" i="78" s="1"/>
  <c r="L5" i="78"/>
  <c r="C6" i="78"/>
  <c r="M6" i="78" s="1"/>
  <c r="L6" i="78"/>
  <c r="L7" i="78" l="1"/>
  <c r="C7" i="78"/>
  <c r="M5" i="78"/>
  <c r="M7" i="78" s="1"/>
  <c r="C12" i="78"/>
  <c r="B21" i="104" l="1"/>
  <c r="H21" i="104"/>
  <c r="C21" i="104"/>
</calcChain>
</file>

<file path=xl/sharedStrings.xml><?xml version="1.0" encoding="utf-8"?>
<sst xmlns="http://schemas.openxmlformats.org/spreadsheetml/2006/main" count="1294" uniqueCount="653">
  <si>
    <t>Pakalpojumu programma</t>
  </si>
  <si>
    <t>Manipulācijas nosaukums</t>
  </si>
  <si>
    <t>Manipulācijas kods</t>
  </si>
  <si>
    <t>Kopā</t>
  </si>
  <si>
    <t>KOPĀ:</t>
  </si>
  <si>
    <t>2.pielikums MK noteikumu projekta "Grozījumi Ministru kabineta 2018.gada 28.augusta noteikumos Nr.555 „Veselības aprūpes pakalpojumu organizēšanas un samaksas kārtība"" anotācijai</t>
  </si>
  <si>
    <t>Nr.p.k.</t>
  </si>
  <si>
    <t>1.pielikums MK noteikumu projekta "Grozījumi Ministru kabineta 2018.gada 28.augusta noteikumos Nr.555 „Veselības aprūpes pakalpojumu organizēšanas un samaksas kārtība"" anotācijai</t>
  </si>
  <si>
    <t>4.pielikums MK noteikumu projekta "Grozījumi Ministru kabineta 2018.gada 28.augusta noteikumos Nr.555 „Veselības aprūpes pakalpojumu organizēšanas un samaksas kārtība"" anotācijai</t>
  </si>
  <si>
    <t>2023. gadam</t>
  </si>
  <si>
    <t>2024. gadam un turpmāk ik gadu</t>
  </si>
  <si>
    <t>KOPĀ</t>
  </si>
  <si>
    <t>Pasākumu plānots īstenot apakšprogrammas 33.14.00 "Primārās ambulatorās veselības aprūpes nodrošināšana" ietvaros</t>
  </si>
  <si>
    <t>Specializētas pārtikas nodrošināšana</t>
  </si>
  <si>
    <t>1. Speciālais uzturs pacientiem ar uztura nepietiekamību</t>
  </si>
  <si>
    <t>2023.gads</t>
  </si>
  <si>
    <t>2024.gads un turpmāk ik gadu</t>
  </si>
  <si>
    <t>N. p. k.</t>
  </si>
  <si>
    <t>Pozīciju nosaukumi</t>
  </si>
  <si>
    <t>Dzeramā medicīniskā uztura oriģinālais nosaukums</t>
  </si>
  <si>
    <t>Vienas vienības cena (litrs), euro bez PVN</t>
  </si>
  <si>
    <t>PVN, %</t>
  </si>
  <si>
    <t>Faktiski nepieciešamo vienību (litru) skaits 9 mēnešiem *</t>
  </si>
  <si>
    <t>Izmaksu kopsumma bez PVN 2023.gada 9 mēnešiem, euro</t>
  </si>
  <si>
    <t>Izmaksu kopsumma ar PVN 2023.gada 9 mēnešiem, euro</t>
  </si>
  <si>
    <t>Faktiski nepieciešamo vienību (litru) skaits 12 mēnešiem *</t>
  </si>
  <si>
    <t>Izmaksu kopsumma bez PVN gadam, euro</t>
  </si>
  <si>
    <t>Izmaksu kopsumma ar PVN gadam, euro</t>
  </si>
  <si>
    <t>5= 4*0.8927</t>
  </si>
  <si>
    <t>6=1*5</t>
  </si>
  <si>
    <t>7=6*1.21</t>
  </si>
  <si>
    <t>1</t>
  </si>
  <si>
    <t>Īpašiem medicīniskiem nolūkiem paredzēts dzeramais medicīniskais uzturs</t>
  </si>
  <si>
    <t>Nutricomp Drink Plus vaniļas garša</t>
  </si>
  <si>
    <t>2</t>
  </si>
  <si>
    <t>Nutricomp Drink Plus banānu garša</t>
  </si>
  <si>
    <t>3</t>
  </si>
  <si>
    <t>Nutricomp Drink Plus zemeņu garša</t>
  </si>
  <si>
    <t>4</t>
  </si>
  <si>
    <t>Nutricomp Drink Plus šokolādes garša</t>
  </si>
  <si>
    <t>5</t>
  </si>
  <si>
    <t>Nutricomp soup ar šķiedrvielām, dārzeņu</t>
  </si>
  <si>
    <t>6</t>
  </si>
  <si>
    <t>Nutricomp soup ar šķiedrvielām, vistas karija</t>
  </si>
  <si>
    <t>7</t>
  </si>
  <si>
    <t>Nutricomp® Drink Plus Fibre vaniļas garša</t>
  </si>
  <si>
    <t>8</t>
  </si>
  <si>
    <t>Nutricomp® Drink Plus Fibre persiku-aprikožu garša</t>
  </si>
  <si>
    <t>9</t>
  </si>
  <si>
    <t>Nutricomp® Drink Plus Fibre šokolādes garša</t>
  </si>
  <si>
    <t>10</t>
  </si>
  <si>
    <t>Nutricomp® Drink Plus Fibre kafijas garša</t>
  </si>
  <si>
    <t>11</t>
  </si>
  <si>
    <t>Remune ar persiku garšu</t>
  </si>
  <si>
    <t>12</t>
  </si>
  <si>
    <t>Remune ar aveņu garšu</t>
  </si>
  <si>
    <t>13</t>
  </si>
  <si>
    <t>Supportan® Drink ar kapučīno garšu</t>
  </si>
  <si>
    <t>14</t>
  </si>
  <si>
    <t>Nutricomp® Drink 2.0 kcal Fibre cherry/ chocolate praline/ caramel toffee</t>
  </si>
  <si>
    <t>15</t>
  </si>
  <si>
    <t>Nutridrink ar vaniļas garšu</t>
  </si>
  <si>
    <t>16</t>
  </si>
  <si>
    <t>Cubitan (ar vaniļas garšu)</t>
  </si>
  <si>
    <t>17</t>
  </si>
  <si>
    <t>Cubitan (ar zemeņu garšu)</t>
  </si>
  <si>
    <t>18</t>
  </si>
  <si>
    <t>Cubitan (ar šokolādes garšu)</t>
  </si>
  <si>
    <t>19</t>
  </si>
  <si>
    <t>Nutridrink Protein (bez specifiskas garšas)</t>
  </si>
  <si>
    <t>20</t>
  </si>
  <si>
    <t>Nutridrink Protein Sildošā ingvera un tropisko augļu garša</t>
  </si>
  <si>
    <t>21</t>
  </si>
  <si>
    <t>Nutridrink Protein Atsvaidzinošā sarkano augļu garša</t>
  </si>
  <si>
    <t>22</t>
  </si>
  <si>
    <t>Nutridrink Protein ar ogu garšu</t>
  </si>
  <si>
    <t>23</t>
  </si>
  <si>
    <t>Nutridrink Protein ar vaniļas garšu</t>
  </si>
  <si>
    <t>24</t>
  </si>
  <si>
    <t>Nutridrink Protein ar zemeņu garšu</t>
  </si>
  <si>
    <t>25</t>
  </si>
  <si>
    <t>Nutridrink Protein ar mokas kafijas garšu</t>
  </si>
  <si>
    <t>26</t>
  </si>
  <si>
    <t>Nutridrink Protein ar persiku-mango garšu</t>
  </si>
  <si>
    <t>27</t>
  </si>
  <si>
    <t>Nutridrink bez specifiskas garšas</t>
  </si>
  <si>
    <t>28</t>
  </si>
  <si>
    <t>29</t>
  </si>
  <si>
    <t>Nutridrink ar zemeņu garšu</t>
  </si>
  <si>
    <t>30</t>
  </si>
  <si>
    <t>Nutridrink ar meža ogu garšu</t>
  </si>
  <si>
    <t>31</t>
  </si>
  <si>
    <t>Nutridrink ar šokolādes garšu</t>
  </si>
  <si>
    <t>32</t>
  </si>
  <si>
    <t>Nutridrink Yoghurt style (ar vaniļas un citrona garšu)</t>
  </si>
  <si>
    <t>33</t>
  </si>
  <si>
    <t>Nutridrink Yoghurt style (ar aveņu garšu)</t>
  </si>
  <si>
    <t>34</t>
  </si>
  <si>
    <t>Nutridrink Juice style (ar apelsīnu garšu)</t>
  </si>
  <si>
    <t>35</t>
  </si>
  <si>
    <t>Nutridrink Juice style (ar ābolu garšu)</t>
  </si>
  <si>
    <t>36</t>
  </si>
  <si>
    <t>Diasip (ar vaniļas garšu)</t>
  </si>
  <si>
    <t>37</t>
  </si>
  <si>
    <t>Diasip (ar zemeņu garšu)</t>
  </si>
  <si>
    <t>38</t>
  </si>
  <si>
    <t>Renilon 4,0 ar aprikožu garšu</t>
  </si>
  <si>
    <t>39</t>
  </si>
  <si>
    <t>Renilon 7,5 ar karameļu garšu</t>
  </si>
  <si>
    <t>40</t>
  </si>
  <si>
    <t>Nutridrink® Multi Fibre ar vaniļas garšu</t>
  </si>
  <si>
    <t>41</t>
  </si>
  <si>
    <t>Nutridrink® Multi Fibre ar zemeņu garšu</t>
  </si>
  <si>
    <t>KOPĀ GADAM:</t>
  </si>
  <si>
    <t>* 2023.gada 9 mēnešiem faktiski nepieciešamo vienību (litru) skaits: 600 pacienti X 274 dienas X 0.7825 ml (vidēji uz pacientu) dienā = ~ 128 643 litri. Vidējais mililitru apjoms dienā uz konkrētu pacientu var mainīties, jo tas atkarīgs no pacienta individuālajiem kritērijiem (vecums, svars, veselības stāvoklis).</t>
  </si>
  <si>
    <t>** Gadam faktiski nepieciešamo vienību (litru) skaits: 600 pacienti X 365 dienas X 0.785 ml (vidēji uz pacientu) dienā = ~ 171 915 litri. Vidējais mililitru apjoms dienā uz konkrētu pacientu var mainīties, jo tas atkarīgs no pacienta individuālajiem kritērijiem (vecums, svars, veselības stāvoklis).</t>
  </si>
  <si>
    <t>Pasākumu plānots īstenot apakšprogrammas 33.04.00 "Centralizēta medikamentu un materiālu iegāde" ietvaros</t>
  </si>
  <si>
    <t>2. Speciālais uzturs bērniem ar uztura nepietiekamību ar hematoonkoloģiskām saslimšanām</t>
  </si>
  <si>
    <t>Kods</t>
  </si>
  <si>
    <t>Manipulācijas plānotais nosaukums</t>
  </si>
  <si>
    <t>Manipulācijas tarifs, EUR</t>
  </si>
  <si>
    <t>Pacienta līdzmaksājums,EUR</t>
  </si>
  <si>
    <t>Plānotais pacientu skaits</t>
  </si>
  <si>
    <t>Plānotais manipulāciju skaits vienam pacientam</t>
  </si>
  <si>
    <t>Nepieciešamais finansējums, EUR</t>
  </si>
  <si>
    <t>Īss pakalpojuma apraksts</t>
  </si>
  <si>
    <t>Jauns</t>
  </si>
  <si>
    <t>Speciālais uzturs pacientiem ar uztura nepietiekamību par vienu diennakti (ar piegādi)</t>
  </si>
  <si>
    <t>Lai novērstu kritisku svara samazināšanos vai atgūtu normālu svaru bērniem ar hematoonkoloģiskām saslimšanām, kas nespēj uzņemt pietiekoši lielu kalorāžu ar pārtiku, nepieciešama uztura terapija ar speciāliem enterālās ēdināšanas produktiem. Manipulāciju apmaksā bērniem ar diagnozēm C00-C97.  D46, D61, Z94.7 un Z94.8. Manipulāciju ievada 1 reizi diennaktī.</t>
  </si>
  <si>
    <t>D</t>
  </si>
  <si>
    <t>S</t>
  </si>
  <si>
    <t>M *</t>
  </si>
  <si>
    <t>E</t>
  </si>
  <si>
    <t>U**</t>
  </si>
  <si>
    <t>A</t>
  </si>
  <si>
    <t>N</t>
  </si>
  <si>
    <t>Tarifs</t>
  </si>
  <si>
    <t>jauns</t>
  </si>
  <si>
    <t>* Vidējās barošanas maisījuma izmaksas 1 reizei (3.609 EUR) * 3 reizes diennaktī</t>
  </si>
  <si>
    <t>** Transporta izmaksas par piegādi pacientam uz mājām</t>
  </si>
  <si>
    <t>2023. gadam un turpmāk ik gadu</t>
  </si>
  <si>
    <t>3. Laboratoriskie izmeklējumi pacientiem, kam nepieciešams speciālais medicīniskais uzturs</t>
  </si>
  <si>
    <t>Izmeklējuma nosaukums</t>
  </si>
  <si>
    <t>Manipulācijas tarifs</t>
  </si>
  <si>
    <t>Tarifs, EUR</t>
  </si>
  <si>
    <t>2023.gada 9 mēnešos nepieciešamais izmeklējumu skaits 1 pacientam</t>
  </si>
  <si>
    <t>2023.gada 9 mēnešos nepieciešamais papildus finansējums, EUR *</t>
  </si>
  <si>
    <t>Gadā nepieciešamais izmeklējumu skaits 1 pacientam</t>
  </si>
  <si>
    <t>Pilna asins aina</t>
  </si>
  <si>
    <r>
      <rPr>
        <b/>
        <sz val="10"/>
        <color theme="1"/>
        <rFont val="Times New Roman"/>
        <family val="1"/>
        <charset val="186"/>
      </rPr>
      <t>40042</t>
    </r>
    <r>
      <rPr>
        <sz val="10"/>
        <color theme="1"/>
        <rFont val="Times New Roman"/>
        <family val="1"/>
        <charset val="186"/>
      </rPr>
      <t xml:space="preserve"> (Pilna asins aina (hemoglobīns, eritrocīti, leikocīti, trombocīti, hematokrīts, leikocītu formula (vismaz neitrofīli, eozinofīli, bazofīli, limfocīti, monocīti)). Papildus nenorādīt manipulācijas 40010, 40014)</t>
    </r>
  </si>
  <si>
    <t>Bilirubīns</t>
  </si>
  <si>
    <r>
      <rPr>
        <b/>
        <sz val="10"/>
        <color theme="1"/>
        <rFont val="Times New Roman"/>
        <family val="1"/>
        <charset val="186"/>
      </rPr>
      <t>41052</t>
    </r>
    <r>
      <rPr>
        <sz val="10"/>
        <color theme="1"/>
        <rFont val="Times New Roman"/>
        <family val="1"/>
        <charset val="186"/>
      </rPr>
      <t xml:space="preserve"> (Bilirubīns, frakcijas)</t>
    </r>
  </si>
  <si>
    <t>Alanīnaminotrasneferāze (ALAT)</t>
  </si>
  <si>
    <r>
      <rPr>
        <b/>
        <sz val="10"/>
        <color theme="1"/>
        <rFont val="Times New Roman"/>
        <family val="1"/>
        <charset val="186"/>
      </rPr>
      <t>41022</t>
    </r>
    <r>
      <rPr>
        <sz val="10"/>
        <color theme="1"/>
        <rFont val="Times New Roman"/>
        <family val="1"/>
        <charset val="186"/>
      </rPr>
      <t xml:space="preserve"> (ALAT – alanīnaminotransferāze)</t>
    </r>
  </si>
  <si>
    <t>Urīnviela (UREA)</t>
  </si>
  <si>
    <r>
      <rPr>
        <b/>
        <sz val="10"/>
        <color theme="1"/>
        <rFont val="Times New Roman"/>
        <family val="1"/>
        <charset val="186"/>
      </rPr>
      <t>41004</t>
    </r>
    <r>
      <rPr>
        <sz val="10"/>
        <color theme="1"/>
        <rFont val="Times New Roman"/>
        <family val="1"/>
        <charset val="186"/>
      </rPr>
      <t xml:space="preserve"> (Urīnviela)</t>
    </r>
  </si>
  <si>
    <t>Kreatinīns</t>
  </si>
  <si>
    <r>
      <rPr>
        <b/>
        <sz val="10"/>
        <color theme="1"/>
        <rFont val="Times New Roman"/>
        <family val="1"/>
        <charset val="186"/>
      </rPr>
      <t>41006</t>
    </r>
    <r>
      <rPr>
        <sz val="10"/>
        <color theme="1"/>
        <rFont val="Times New Roman"/>
        <family val="1"/>
        <charset val="186"/>
      </rPr>
      <t xml:space="preserve"> (Kreatinīns)</t>
    </r>
  </si>
  <si>
    <t>Kopējais olbaltums</t>
  </si>
  <si>
    <r>
      <rPr>
        <b/>
        <sz val="10"/>
        <color theme="1"/>
        <rFont val="Times New Roman"/>
        <family val="1"/>
        <charset val="186"/>
      </rPr>
      <t>41001</t>
    </r>
    <r>
      <rPr>
        <sz val="10"/>
        <color theme="1"/>
        <rFont val="Times New Roman"/>
        <family val="1"/>
        <charset val="186"/>
      </rPr>
      <t xml:space="preserve"> (Kopējais olbaltums)</t>
    </r>
  </si>
  <si>
    <t>Albumīns</t>
  </si>
  <si>
    <r>
      <rPr>
        <b/>
        <sz val="10"/>
        <color theme="1"/>
        <rFont val="Times New Roman"/>
        <family val="1"/>
        <charset val="186"/>
      </rPr>
      <t>41002</t>
    </r>
    <r>
      <rPr>
        <sz val="10"/>
        <color theme="1"/>
        <rFont val="Times New Roman"/>
        <family val="1"/>
        <charset val="186"/>
      </rPr>
      <t xml:space="preserve"> (Albumīns)</t>
    </r>
  </si>
  <si>
    <t>C reaktīvais olbaltums (CRO)</t>
  </si>
  <si>
    <r>
      <rPr>
        <b/>
        <sz val="10"/>
        <color theme="1"/>
        <rFont val="Times New Roman"/>
        <family val="1"/>
        <charset val="186"/>
      </rPr>
      <t>41127</t>
    </r>
    <r>
      <rPr>
        <sz val="10"/>
        <color theme="1"/>
        <rFont val="Times New Roman"/>
        <family val="1"/>
        <charset val="186"/>
      </rPr>
      <t xml:space="preserve"> (CRO (kvantitatīvi))</t>
    </r>
  </si>
  <si>
    <t>Glikoze</t>
  </si>
  <si>
    <r>
      <rPr>
        <b/>
        <sz val="10"/>
        <color theme="1"/>
        <rFont val="Times New Roman"/>
        <family val="1"/>
        <charset val="186"/>
      </rPr>
      <t>41095</t>
    </r>
    <r>
      <rPr>
        <sz val="10"/>
        <color theme="1"/>
        <rFont val="Times New Roman"/>
        <family val="1"/>
        <charset val="186"/>
      </rPr>
      <t xml:space="preserve"> (Glikoze asinīs)</t>
    </r>
  </si>
  <si>
    <t>Nātrijs</t>
  </si>
  <si>
    <r>
      <rPr>
        <b/>
        <sz val="10"/>
        <color theme="1"/>
        <rFont val="Times New Roman"/>
        <family val="1"/>
        <charset val="186"/>
      </rPr>
      <t>41067</t>
    </r>
    <r>
      <rPr>
        <sz val="10"/>
        <color theme="1"/>
        <rFont val="Times New Roman"/>
        <family val="1"/>
        <charset val="186"/>
      </rPr>
      <t xml:space="preserve"> (Nātrijs)</t>
    </r>
  </si>
  <si>
    <t>Kālijs</t>
  </si>
  <si>
    <r>
      <rPr>
        <b/>
        <sz val="10"/>
        <color theme="1"/>
        <rFont val="Times New Roman"/>
        <family val="1"/>
        <charset val="186"/>
      </rPr>
      <t>41065</t>
    </r>
    <r>
      <rPr>
        <sz val="10"/>
        <color theme="1"/>
        <rFont val="Times New Roman"/>
        <family val="1"/>
        <charset val="186"/>
      </rPr>
      <t xml:space="preserve"> (Kālijs)</t>
    </r>
  </si>
  <si>
    <t>Kalcijs</t>
  </si>
  <si>
    <r>
      <rPr>
        <b/>
        <sz val="10"/>
        <color theme="1"/>
        <rFont val="Times New Roman"/>
        <family val="1"/>
        <charset val="186"/>
      </rPr>
      <t>41068</t>
    </r>
    <r>
      <rPr>
        <sz val="10"/>
        <color theme="1"/>
        <rFont val="Times New Roman"/>
        <family val="1"/>
        <charset val="186"/>
      </rPr>
      <t xml:space="preserve"> (Kalcijs)</t>
    </r>
  </si>
  <si>
    <t>Fosfors</t>
  </si>
  <si>
    <r>
      <rPr>
        <b/>
        <sz val="10"/>
        <color theme="1"/>
        <rFont val="Times New Roman"/>
        <family val="1"/>
        <charset val="186"/>
      </rPr>
      <t xml:space="preserve">41069 </t>
    </r>
    <r>
      <rPr>
        <sz val="10"/>
        <color theme="1"/>
        <rFont val="Times New Roman"/>
        <family val="1"/>
        <charset val="186"/>
      </rPr>
      <t>(Fosfors)</t>
    </r>
  </si>
  <si>
    <t>Hlors</t>
  </si>
  <si>
    <r>
      <rPr>
        <b/>
        <sz val="10"/>
        <color theme="1"/>
        <rFont val="Times New Roman"/>
        <family val="1"/>
        <charset val="186"/>
      </rPr>
      <t>41070</t>
    </r>
    <r>
      <rPr>
        <sz val="10"/>
        <color theme="1"/>
        <rFont val="Times New Roman"/>
        <family val="1"/>
        <charset val="186"/>
      </rPr>
      <t xml:space="preserve"> (Hlorīdi )</t>
    </r>
  </si>
  <si>
    <t>Magnijs</t>
  </si>
  <si>
    <r>
      <rPr>
        <b/>
        <sz val="10"/>
        <color theme="1"/>
        <rFont val="Times New Roman"/>
        <family val="1"/>
        <charset val="186"/>
      </rPr>
      <t xml:space="preserve">41072 </t>
    </r>
    <r>
      <rPr>
        <sz val="10"/>
        <color theme="1"/>
        <rFont val="Times New Roman"/>
        <family val="1"/>
        <charset val="186"/>
      </rPr>
      <t>(Magnijs)</t>
    </r>
  </si>
  <si>
    <t>Kopējais holesterīns</t>
  </si>
  <si>
    <r>
      <rPr>
        <b/>
        <sz val="10"/>
        <color theme="1"/>
        <rFont val="Times New Roman"/>
        <family val="1"/>
        <charset val="186"/>
      </rPr>
      <t>41056</t>
    </r>
    <r>
      <rPr>
        <sz val="10"/>
        <color theme="1"/>
        <rFont val="Times New Roman"/>
        <family val="1"/>
        <charset val="186"/>
      </rPr>
      <t xml:space="preserve"> (Kopējais holesterīna līmenis asinīs – koncentrācija 5 mmol/L vai mazāka). </t>
    </r>
    <r>
      <rPr>
        <b/>
        <sz val="10"/>
        <color theme="1"/>
        <rFont val="Times New Roman"/>
        <family val="1"/>
        <charset val="186"/>
      </rPr>
      <t xml:space="preserve">41057 </t>
    </r>
    <r>
      <rPr>
        <sz val="10"/>
        <color theme="1"/>
        <rFont val="Times New Roman"/>
        <family val="1"/>
        <charset val="186"/>
      </rPr>
      <t>(Kopējais holesterīna līmenis asinīs –
koncentrācija, lielāka par 5 mmol/L )</t>
    </r>
  </si>
  <si>
    <t>Augsta blīvuma holesterīns</t>
  </si>
  <si>
    <r>
      <rPr>
        <b/>
        <sz val="10"/>
        <color theme="1"/>
        <rFont val="Times New Roman"/>
        <family val="1"/>
      </rPr>
      <t xml:space="preserve">41047 </t>
    </r>
    <r>
      <rPr>
        <sz val="10"/>
        <color theme="1"/>
        <rFont val="Times New Roman"/>
        <family val="1"/>
      </rPr>
      <t>(ABL – holesterīns (tiešā metode))</t>
    </r>
  </si>
  <si>
    <t>Zema blīvuma holesterīns</t>
  </si>
  <si>
    <r>
      <rPr>
        <b/>
        <sz val="10"/>
        <color theme="1"/>
        <rFont val="Times New Roman"/>
        <family val="1"/>
        <charset val="186"/>
      </rPr>
      <t>41058</t>
    </r>
    <r>
      <rPr>
        <sz val="10"/>
        <color theme="1"/>
        <rFont val="Times New Roman"/>
        <family val="1"/>
        <charset val="186"/>
      </rPr>
      <t xml:space="preserve"> (ZBL holesterīna līmenis asinīs – koncentrācija, mazāka par 2,0 mmol/L). </t>
    </r>
    <r>
      <rPr>
        <b/>
        <sz val="10"/>
        <color theme="1"/>
        <rFont val="Times New Roman"/>
        <family val="1"/>
        <charset val="186"/>
      </rPr>
      <t>41059</t>
    </r>
    <r>
      <rPr>
        <sz val="10"/>
        <color theme="1"/>
        <rFont val="Times New Roman"/>
        <family val="1"/>
        <charset val="186"/>
      </rPr>
      <t xml:space="preserve"> (ZBL holesterīna līmenis asinīs – koncentrācija no 2,0 mmol/L līdz 2,5 mmol/L). </t>
    </r>
    <r>
      <rPr>
        <b/>
        <sz val="10"/>
        <color theme="1"/>
        <rFont val="Times New Roman"/>
        <family val="1"/>
        <charset val="186"/>
      </rPr>
      <t>41060</t>
    </r>
    <r>
      <rPr>
        <sz val="10"/>
        <color theme="1"/>
        <rFont val="Times New Roman"/>
        <family val="1"/>
        <charset val="186"/>
      </rPr>
      <t xml:space="preserve"> (ZBL holesterīna līmenis asinīs – koncentrācija, lielāka par 2,5 mmol/L).</t>
    </r>
  </si>
  <si>
    <t>Triglicerīdi</t>
  </si>
  <si>
    <r>
      <rPr>
        <b/>
        <sz val="10"/>
        <color theme="1"/>
        <rFont val="Times New Roman"/>
        <family val="1"/>
        <charset val="186"/>
      </rPr>
      <t xml:space="preserve">41046 </t>
    </r>
    <r>
      <rPr>
        <sz val="10"/>
        <color theme="1"/>
        <rFont val="Times New Roman"/>
        <family val="1"/>
        <charset val="186"/>
      </rPr>
      <t>(Triglicerīdi)</t>
    </r>
  </si>
  <si>
    <t>Ferritīns</t>
  </si>
  <si>
    <r>
      <rPr>
        <b/>
        <sz val="10"/>
        <color theme="1"/>
        <rFont val="Times New Roman"/>
        <family val="1"/>
        <charset val="186"/>
      </rPr>
      <t>41124</t>
    </r>
    <r>
      <rPr>
        <sz val="10"/>
        <color theme="1"/>
        <rFont val="Times New Roman"/>
        <family val="1"/>
        <charset val="186"/>
      </rPr>
      <t xml:space="preserve"> (Feritīns)</t>
    </r>
  </si>
  <si>
    <t>Vitamīns B12</t>
  </si>
  <si>
    <r>
      <rPr>
        <b/>
        <sz val="10"/>
        <color theme="1"/>
        <rFont val="Times New Roman"/>
        <family val="1"/>
        <charset val="186"/>
      </rPr>
      <t>41200</t>
    </r>
    <r>
      <rPr>
        <sz val="10"/>
        <color theme="1"/>
        <rFont val="Times New Roman"/>
        <family val="1"/>
        <charset val="186"/>
      </rPr>
      <t xml:space="preserve"> (Vitamīns B 12)</t>
    </r>
  </si>
  <si>
    <t>Folskābe</t>
  </si>
  <si>
    <r>
      <rPr>
        <b/>
        <sz val="10"/>
        <color theme="1"/>
        <rFont val="Times New Roman"/>
        <family val="1"/>
        <charset val="186"/>
      </rPr>
      <t>41201</t>
    </r>
    <r>
      <rPr>
        <sz val="10"/>
        <color theme="1"/>
        <rFont val="Times New Roman"/>
        <family val="1"/>
        <charset val="186"/>
      </rPr>
      <t xml:space="preserve"> (Folskābe)</t>
    </r>
  </si>
  <si>
    <t>Urīnskābe</t>
  </si>
  <si>
    <r>
      <rPr>
        <b/>
        <sz val="10"/>
        <color theme="1"/>
        <rFont val="Times New Roman"/>
        <family val="1"/>
        <charset val="186"/>
      </rPr>
      <t xml:space="preserve">41005 </t>
    </r>
    <r>
      <rPr>
        <sz val="10"/>
        <color theme="1"/>
        <rFont val="Times New Roman"/>
        <family val="1"/>
        <charset val="186"/>
      </rPr>
      <t>(Urīnskābe)</t>
    </r>
  </si>
  <si>
    <t>Urīna analīze</t>
  </si>
  <si>
    <t>40131-40150</t>
  </si>
  <si>
    <t>Koprogramma</t>
  </si>
  <si>
    <r>
      <rPr>
        <b/>
        <sz val="10"/>
        <color theme="1"/>
        <rFont val="Times New Roman"/>
        <family val="1"/>
        <charset val="186"/>
      </rPr>
      <t>40160</t>
    </r>
    <r>
      <rPr>
        <sz val="10"/>
        <color theme="1"/>
        <rFont val="Times New Roman"/>
        <family val="1"/>
        <charset val="186"/>
      </rPr>
      <t xml:space="preserve"> (Koprogramma)</t>
    </r>
  </si>
  <si>
    <t>Ultrasonogrāfija vēdera dobuma orgāniem</t>
  </si>
  <si>
    <r>
      <rPr>
        <b/>
        <sz val="10"/>
        <color theme="1"/>
        <rFont val="Times New Roman"/>
        <family val="1"/>
        <charset val="186"/>
      </rPr>
      <t xml:space="preserve">50700 </t>
    </r>
    <r>
      <rPr>
        <sz val="10"/>
        <color theme="1"/>
        <rFont val="Times New Roman"/>
        <family val="1"/>
        <charset val="186"/>
      </rPr>
      <t>(Abdominālā ultrasonogrāfija)</t>
    </r>
  </si>
  <si>
    <t>* Izmeklējumi plānots atbilstoši 600 pacientiem, kas saņem 1.punktā minēto speciālo uzturu</t>
  </si>
  <si>
    <t>2023. gada     9 mēnešiem</t>
  </si>
  <si>
    <t>Pasākumu plānots īstenot apakšprogrammas 33.15.00 "Laboratorisko izmeklējumu nodrošināšana ambulatorajā aprūpē" ietvaros</t>
  </si>
  <si>
    <t>Rezultatīvie rādītāji ir norādīti indikatīvi, kas parāda šī brīža ieskatu, ņemot vērā to, ka šobrīd notiek intensīvs darbs pie tarifu pārrēķina. Gala rezultāts var atšķirsies.</t>
  </si>
  <si>
    <t>M</t>
  </si>
  <si>
    <t>U</t>
  </si>
  <si>
    <t>P</t>
  </si>
  <si>
    <t>2023.g.</t>
  </si>
  <si>
    <t>2024.g</t>
  </si>
  <si>
    <t>Turpmāk ik gadu 
(ja pasākums nav terminēts)</t>
  </si>
  <si>
    <t>33.18.00</t>
  </si>
  <si>
    <t>33.16.00</t>
  </si>
  <si>
    <t>Ārsts</t>
  </si>
  <si>
    <t>Māsa</t>
  </si>
  <si>
    <t>Soc.nodoklis </t>
  </si>
  <si>
    <t xml:space="preserve">Pieskaitāmās un netiešās ražošanas izmaksas </t>
  </si>
  <si>
    <t xml:space="preserve">Administratīvās izmaksas </t>
  </si>
  <si>
    <t xml:space="preserve">Pārējo pamatlīdzekļu amortizācija </t>
  </si>
  <si>
    <t>Mēneša darba samaksa</t>
  </si>
  <si>
    <t>1 minūtes vērtība darba samaksai</t>
  </si>
  <si>
    <t>Koeficienti</t>
  </si>
  <si>
    <t>Mainīgās izmaksas</t>
  </si>
  <si>
    <t>Pacienta līdzmaksājums, euro</t>
  </si>
  <si>
    <t>Darba laiks (minūtes)</t>
  </si>
  <si>
    <t>Darba samaksa D, euro</t>
  </si>
  <si>
    <t>Valsts sociālās adrošināšanas obligātās iemaksas S, euro</t>
  </si>
  <si>
    <t>Ārstniecības līdzekļi M, euro</t>
  </si>
  <si>
    <t>Iekārtu amortizācija N, euro</t>
  </si>
  <si>
    <t>Pieskaitāmās un netiešās ražošanas izmaksas U, euro</t>
  </si>
  <si>
    <t>Administratīvās izmaksas A, euro</t>
  </si>
  <si>
    <t>Pārējo pamatlīdzekļu amortizācija n, euro</t>
  </si>
  <si>
    <t>ārstam</t>
  </si>
  <si>
    <t>māsai</t>
  </si>
  <si>
    <t>jaunākajam personālām</t>
  </si>
  <si>
    <t>jaunākajam personālam</t>
  </si>
  <si>
    <t>ārstam, māsai un jaunākajam personālām kopā</t>
  </si>
  <si>
    <t>M kopā</t>
  </si>
  <si>
    <t>Medikamenti</t>
  </si>
  <si>
    <t>Materiāli</t>
  </si>
  <si>
    <t>10 = 11 + 12</t>
  </si>
  <si>
    <t>JAUNS4</t>
  </si>
  <si>
    <t>Laparoskopiska miomektomija ar virsmas laukumu līdz 5cm</t>
  </si>
  <si>
    <t>JAUNS5</t>
  </si>
  <si>
    <t>Laparoskopiska miomektomija ar virsmas laukumu virs 5cm</t>
  </si>
  <si>
    <t>Manipulācijas pašreizējais nosaukums</t>
  </si>
  <si>
    <t>Manipulācijas pašreizējais tarifs, euro</t>
  </si>
  <si>
    <t>Pārrēķinātais manipulācijas tarifs, euro</t>
  </si>
  <si>
    <t>Manipulācijas tarifam nepieciešamais finansējums (uz 1 manipulāciju), euro</t>
  </si>
  <si>
    <t>Vidējais manipulāciju skaits gadā (saskaņā ar statistikas datiem par 1 kalendāro gadu)</t>
  </si>
  <si>
    <t>Nepieciešamais finansējums gadā, euro</t>
  </si>
  <si>
    <t>Spēkā esošie apmaksas nosacījumi</t>
  </si>
  <si>
    <t>Plānotās apmaksas nosacījumu izmaiņas (ja plānotas)</t>
  </si>
  <si>
    <t>Ja nepieciešams, norāda informāciju par veicamiem grozījumiem MK noteikumos Nr.555</t>
  </si>
  <si>
    <t>33.18.00 Plānveida stacionāro veselības aprūpes pakalpojumu nodrošināšana</t>
  </si>
  <si>
    <t>33.16.00 Pārējo ambulatoro veselības aprūpes pakalpojumu nodrošināšana</t>
  </si>
  <si>
    <t>33.15.00 Laboratorisko izmeklējumu nodrošināšana ambulatorajā aprūpē</t>
  </si>
  <si>
    <t>33.17.00 Neatliekamās medicīniskās palīdzības nodrošināšana stacionārās ārstniecības iestādēs</t>
  </si>
  <si>
    <t>Ambulatori</t>
  </si>
  <si>
    <t>Dienas stacionārā</t>
  </si>
  <si>
    <t>Stacionārā</t>
  </si>
  <si>
    <t>Zvaigznītes (* vai **)</t>
  </si>
  <si>
    <t>Lielā ķirurģiskā operācija</t>
  </si>
  <si>
    <t>Citi apmaksas nosacījumi</t>
  </si>
  <si>
    <t>Bez izmaiņām</t>
  </si>
  <si>
    <t>-</t>
  </si>
  <si>
    <t>**</t>
  </si>
  <si>
    <r>
      <t xml:space="preserve">Manipulācijas plānotās nosaukuma izmaiņas, ja plānotas. Ja nav plānotas – rakstīt </t>
    </r>
    <r>
      <rPr>
        <i/>
        <sz val="10"/>
        <color theme="1"/>
        <rFont val="Times New Roman"/>
        <family val="1"/>
      </rPr>
      <t>Bez izmaiņām.</t>
    </r>
  </si>
  <si>
    <t>Manipulācijas pašreizējais tarifs, eiro</t>
  </si>
  <si>
    <t>Pārrēķinātais manipulācijas tarifs, eiro</t>
  </si>
  <si>
    <t>Pacienta līdzmaksājums, eiro</t>
  </si>
  <si>
    <t>Manipulācijas tarifam nepieciešamais finansējums (uz 1 manipulāciju), eiro</t>
  </si>
  <si>
    <t>Nepieciešamais finansējums gadā, eiro</t>
  </si>
  <si>
    <t>*</t>
  </si>
  <si>
    <t>Starpība, euro</t>
  </si>
  <si>
    <r>
      <t xml:space="preserve">Manipulācijas plānotās nosaukuma izmaiņas, ja plānotas. Ja nav plānotas – rakstīt </t>
    </r>
    <r>
      <rPr>
        <i/>
        <sz val="10"/>
        <color rgb="FF000000"/>
        <rFont val="Times New Roman"/>
        <family val="1"/>
      </rPr>
      <t>Bez izmaiņām.</t>
    </r>
  </si>
  <si>
    <t>Ar 2023.gada atalgojumu</t>
  </si>
  <si>
    <t>Palīgpersonāls</t>
  </si>
  <si>
    <t>Kopējās izmaksas, euro</t>
  </si>
  <si>
    <t>Tarifs, euro</t>
  </si>
  <si>
    <t>Kopējās izmaksas</t>
  </si>
  <si>
    <t>Pacienta līdzmaksājums</t>
  </si>
  <si>
    <t xml:space="preserve"> Manipulācija "Laparoskopiska miomektomija ar virsmas laukumu līdz 5 cm " iekļauta prioritārā pasākuma "Veselības aprūpes pakalpojumu pieejamība" ietvaros un piešķirts finansējums</t>
  </si>
  <si>
    <t>Papildus nepieciešamā finansējuma starpība 2023.gadā un turpmāk ik gadu, euro</t>
  </si>
  <si>
    <t>Atlikums</t>
  </si>
  <si>
    <t>Narkoloģija</t>
  </si>
  <si>
    <t>Novirzīts finansējums Laparoskopiskas miomektomijas apmaksai</t>
  </si>
  <si>
    <t>Pakalpojumi aprūpes slimnīcā vai aprūpes gultā 2023/2022</t>
  </si>
  <si>
    <t>Laparoskopiskas miomektomijas nodrošināšanai nepieciešamais finansējums</t>
  </si>
  <si>
    <t>2023. gadā, atbilstoši veiktajam darbam 4+8 periodā, samazinās Pakalpojumi aprūpes slimnīcā vai aprūpes gultā plānotais finansējums pret 2022. gadu</t>
  </si>
  <si>
    <t>Pakalpojumi aprūpes slimnīcā vai aprūpes gultā</t>
  </si>
  <si>
    <t>Finansējuma pārvirzīšanas avots (iekšēji starp iestādes stacionājiem pakalpojumu veidiem)</t>
  </si>
  <si>
    <t>Kopsavilkums</t>
  </si>
  <si>
    <t>Finansējuma pārvirzīšanas avots (ambulatori)</t>
  </si>
  <si>
    <t>Atlikums novirzīts Aortālā vārstuļa transkatetrāla implantācija (TAVI) apmaksai</t>
  </si>
  <si>
    <t>JAUNS</t>
  </si>
  <si>
    <t>Kolposkopija bez mērķbiopsijas</t>
  </si>
  <si>
    <t>Dozētā koagulācija lokālā anestēzijā</t>
  </si>
  <si>
    <t>Vulvas biopsija</t>
  </si>
  <si>
    <t>Teritoriālā nodaļa</t>
  </si>
  <si>
    <t xml:space="preserve">Kopējais reģistrēto pacientu skaits no PSR </t>
  </si>
  <si>
    <t>Kurzemes nodaļa</t>
  </si>
  <si>
    <t>Latgales nodaļa</t>
  </si>
  <si>
    <t>Rīgas nodaļa</t>
  </si>
  <si>
    <t>Vidzemes nodaļa</t>
  </si>
  <si>
    <t>Zemgales nodaļa</t>
  </si>
  <si>
    <t>Ģimenes ārstu prakšu otrai prakses vietai</t>
  </si>
  <si>
    <t>Feldšerpunktiem</t>
  </si>
  <si>
    <t>Nosaukums</t>
  </si>
  <si>
    <t>Pagasts</t>
  </si>
  <si>
    <t>Gramzdas pagasts</t>
  </si>
  <si>
    <t>Bunkas pagasts</t>
  </si>
  <si>
    <t>Grobiņas pagasts</t>
  </si>
  <si>
    <t>Gaviezes pagasts</t>
  </si>
  <si>
    <t>Kalētu pagasts</t>
  </si>
  <si>
    <t>Kalvenes pagasts</t>
  </si>
  <si>
    <t>Medzes pagasts</t>
  </si>
  <si>
    <t>Otaņķu pagasts</t>
  </si>
  <si>
    <t>Kazdangas pagasts</t>
  </si>
  <si>
    <t>Rudbāržu pagasts</t>
  </si>
  <si>
    <t>Nīkrāces pagasts</t>
  </si>
  <si>
    <t>Padures pagasts</t>
  </si>
  <si>
    <t>Kursīšu pagasts</t>
  </si>
  <si>
    <t>Zirņu pagasts</t>
  </si>
  <si>
    <t>Gaiķu pagasts</t>
  </si>
  <si>
    <t>Ķūļciema pagasts</t>
  </si>
  <si>
    <t>Jaunsātu pagasts</t>
  </si>
  <si>
    <t>Lestenes pagasts</t>
  </si>
  <si>
    <t>Zemītes pagasts</t>
  </si>
  <si>
    <t>Zantes pagasts</t>
  </si>
  <si>
    <t>Cēres pagasts</t>
  </si>
  <si>
    <t>Engures pagasts</t>
  </si>
  <si>
    <t>Andrupenes pagasts</t>
  </si>
  <si>
    <t>Asūnes pagasts</t>
  </si>
  <si>
    <t>Aulejas pagasts</t>
  </si>
  <si>
    <t>Cirmas pagasts</t>
  </si>
  <si>
    <t>Grāveru pagasts</t>
  </si>
  <si>
    <t>Griškānu pagasts</t>
  </si>
  <si>
    <t>Isnaudas pagasts</t>
  </si>
  <si>
    <t>Kalniešu pagasts</t>
  </si>
  <si>
    <t>Kantinieku pagasts</t>
  </si>
  <si>
    <t>Kaplavas pagasts</t>
  </si>
  <si>
    <t>Kombuļu pagasts</t>
  </si>
  <si>
    <t>Konstantinovas pagasts</t>
  </si>
  <si>
    <t>Lendžu pagasts</t>
  </si>
  <si>
    <t>Mežvidu pagasts</t>
  </si>
  <si>
    <t>Nagļu pagasts</t>
  </si>
  <si>
    <t>Nirzas pagasts</t>
  </si>
  <si>
    <t>Nīcgales pagasts</t>
  </si>
  <si>
    <t>Ņukšu pagasts</t>
  </si>
  <si>
    <t>Pasienes pagasts</t>
  </si>
  <si>
    <t>Piedrujas pagasts</t>
  </si>
  <si>
    <t>Kastuļinas pagasts</t>
  </si>
  <si>
    <t>Saunas pagasts</t>
  </si>
  <si>
    <t>Pureņu pagasts</t>
  </si>
  <si>
    <t>Rikavas pagasts</t>
  </si>
  <si>
    <t>Robežnieku pagasts</t>
  </si>
  <si>
    <t>Silmalas pagasts</t>
  </si>
  <si>
    <t>Skaistas pagasts</t>
  </si>
  <si>
    <t>Stoļerovas pagasts</t>
  </si>
  <si>
    <t>Sventes pagasts</t>
  </si>
  <si>
    <t>Šķaunes pagasts</t>
  </si>
  <si>
    <t>Šķeltovas pagasts</t>
  </si>
  <si>
    <t>Vecsalienas pagasts</t>
  </si>
  <si>
    <t>Pelēču pagasts</t>
  </si>
  <si>
    <t>Feimaņu pagasts</t>
  </si>
  <si>
    <t>Sokolku pagasts</t>
  </si>
  <si>
    <t>Medumu pagasts</t>
  </si>
  <si>
    <t>Dekšāres pagasts</t>
  </si>
  <si>
    <t>Ūdrīšu pagasts</t>
  </si>
  <si>
    <t>Mērdzenes pagasts</t>
  </si>
  <si>
    <t>Goliševas pagasts</t>
  </si>
  <si>
    <t>Līdumnieku pagasts</t>
  </si>
  <si>
    <t>Malnavas pagasts</t>
  </si>
  <si>
    <t>Pušmucovas pagasts</t>
  </si>
  <si>
    <t>Salnavas pagasts</t>
  </si>
  <si>
    <t>Ciblas pagasts</t>
  </si>
  <si>
    <t>Galēnu pagasts</t>
  </si>
  <si>
    <t xml:space="preserve">Strenči </t>
  </si>
  <si>
    <t>Alsviķu pagasts</t>
  </si>
  <si>
    <t>Nītaures pagasts</t>
  </si>
  <si>
    <t>Jaunalūksnes pagasts</t>
  </si>
  <si>
    <t>Bērzaunes pagasts</t>
  </si>
  <si>
    <t>Bilskas pagasts</t>
  </si>
  <si>
    <t>Blomes pagasts</t>
  </si>
  <si>
    <t>Briežuciema pagasts</t>
  </si>
  <si>
    <t>Daukstu pagasts</t>
  </si>
  <si>
    <t>Ošupes pagasts</t>
  </si>
  <si>
    <t>Druvienas pagasts</t>
  </si>
  <si>
    <t>Lazdulejas pagasts</t>
  </si>
  <si>
    <t>Ērģemes pagasts</t>
  </si>
  <si>
    <t>Galgauskas pagasts</t>
  </si>
  <si>
    <t>Grundzāles pagasts</t>
  </si>
  <si>
    <t>Amatas pagasts</t>
  </si>
  <si>
    <t>Drabešu pagasts</t>
  </si>
  <si>
    <t>Jumurdas pagasts</t>
  </si>
  <si>
    <t>Kalncempju pagasts</t>
  </si>
  <si>
    <t>Salacgrīvas pagasts</t>
  </si>
  <si>
    <t>Krišjāņu pagasts</t>
  </si>
  <si>
    <t>Kubulu pagasts</t>
  </si>
  <si>
    <t>Kupravas pagasts</t>
  </si>
  <si>
    <t>Mārkalnes pagasts</t>
  </si>
  <si>
    <t>Mārsnēnu pagasts</t>
  </si>
  <si>
    <t>Murmastienes pagasts</t>
  </si>
  <si>
    <t>Pededzes pagasts</t>
  </si>
  <si>
    <t>Ramatas pagasts</t>
  </si>
  <si>
    <t>Sausnējas pagasts</t>
  </si>
  <si>
    <t>Sēļu pagasts</t>
  </si>
  <si>
    <t>Lazdukalna pagasts</t>
  </si>
  <si>
    <t>Varakļānu pagasts</t>
  </si>
  <si>
    <t>Taurenes pagasts</t>
  </si>
  <si>
    <t>Šķilbēnu pagasts</t>
  </si>
  <si>
    <t>Variņu pagasts</t>
  </si>
  <si>
    <t>Vecates pagasts</t>
  </si>
  <si>
    <t>Vectilžas pagasts</t>
  </si>
  <si>
    <t>Veselavas pagasts</t>
  </si>
  <si>
    <t>Vestienas pagasts</t>
  </si>
  <si>
    <t>Vijciema pagasts</t>
  </si>
  <si>
    <t>Vīksnas pagasts</t>
  </si>
  <si>
    <t>Zosēnu pagasts</t>
  </si>
  <si>
    <t>Kārķu pagasts</t>
  </si>
  <si>
    <t>Dignājas pagasts</t>
  </si>
  <si>
    <t>Dunavas pagasts</t>
  </si>
  <si>
    <t>Ukru pagasts</t>
  </si>
  <si>
    <t>Mazozolu pagasts</t>
  </si>
  <si>
    <t>Seces pagasts</t>
  </si>
  <si>
    <r>
      <t xml:space="preserve">No 600 plānotajiem pacientiem </t>
    </r>
    <r>
      <rPr>
        <b/>
        <sz val="10"/>
        <color theme="1"/>
        <rFont val="Times New Roman"/>
        <family val="1"/>
        <charset val="186"/>
      </rPr>
      <t>15 ir bērni</t>
    </r>
    <r>
      <rPr>
        <sz val="10"/>
        <color theme="1"/>
        <rFont val="Times New Roman"/>
        <family val="1"/>
      </rPr>
      <t>. No kopējām izmaksām summa, kas nepieciešama bērniem ar ēšanas traucējumiem, kuriem, izrakstoties no stacionārās ārstniecības iestādes, saglabājas malnutrīcija:</t>
    </r>
  </si>
  <si>
    <t>Papildus nepieciešams finansējums ģimenes ārstu kapitācijas naudas pieaugumam 2023. gada četriem mēnešiem</t>
  </si>
  <si>
    <t>Ģimenes ārstu kapitācijas naudas aprēķins</t>
  </si>
  <si>
    <t>01.01.2022.-30.03.2023</t>
  </si>
  <si>
    <t>Medicīnas instrumenti un iekārtas</t>
  </si>
  <si>
    <t>Gadi</t>
  </si>
  <si>
    <t>Izmaksas 1 mēnesī no 01.01.2018</t>
  </si>
  <si>
    <t>Izmaksas 1 mēnesī no 01.01.2019</t>
  </si>
  <si>
    <t>Izmaksas 1 mēnesī no 01.01.2020.</t>
  </si>
  <si>
    <t>Izmaksas 1 mēnesī no 01.01.2021.</t>
  </si>
  <si>
    <t>Izmaksas 1 mēnesī no 01.01.2022.</t>
  </si>
  <si>
    <t>PVN izmaiņu aprēkins 8% pieaugums  materiāliem 57. un 58. punktā</t>
  </si>
  <si>
    <t>Izmaksas 1 mēnesī no 01.01.2022. (57.,58. +8%)</t>
  </si>
  <si>
    <t xml:space="preserve">01.04.2023. </t>
  </si>
  <si>
    <t>Ierīce redzes asuma pārbaudei (apgaismota tabula)</t>
  </si>
  <si>
    <t>Otoskops</t>
  </si>
  <si>
    <t>Oftalmoskops</t>
  </si>
  <si>
    <t xml:space="preserve">Inhalators </t>
  </si>
  <si>
    <t>Ierīce rentgenogrammu apskatei (negatoskops) 88.33</t>
  </si>
  <si>
    <t>NMP komplekts</t>
  </si>
  <si>
    <t>Fonendoskops (ārstam) pieaugušajiem</t>
  </si>
  <si>
    <t xml:space="preserve">Fonendoskops (ārstam) bērniem </t>
  </si>
  <si>
    <t>Prakšu skaits</t>
  </si>
  <si>
    <t>Esošais kapitācijas naudas apjoms mēnesī, EUR*</t>
  </si>
  <si>
    <t>Esošais kapitācijas naudas apjoms 4.mēnešiem, EUR</t>
  </si>
  <si>
    <t xml:space="preserve">Ierīce netiešai asins spiediena mērīšanai </t>
  </si>
  <si>
    <t xml:space="preserve">Medicīniskie svari un auguma mērītājs (pieaugušajiem) </t>
  </si>
  <si>
    <t>Medicīniskie svari (zīdaiņiem) (piemēram, KERN – MBC 15K2DM)</t>
  </si>
  <si>
    <t>Auguma mērītājs (zīdaiņiem)</t>
  </si>
  <si>
    <t xml:space="preserve">Medicīniskā lampa </t>
  </si>
  <si>
    <t>Nokomplektētā ārsta soma</t>
  </si>
  <si>
    <t>Medicīniskā kušete</t>
  </si>
  <si>
    <t xml:space="preserve">Instrumentu galds </t>
  </si>
  <si>
    <t>*Kapitācijas apjoms mēnesī ģimenes ārstam tiek rēķināts, reizinot pie ģimenes ārsta reģistrēto pacientu skaitu (kas katrā praksē ir atšķirīgs) ar ģimenes ārsta pacientu diferencēto koeficientu (kas katrā praksē ir atšķirīgs) un kapitācijas naudu uz vienu pacientu mēnesī (MK555 11.pielikuma 2. punkts). Ģimenes ārsta pacientu diferencēto koeficientu aprēķina, dalot katra ģimenes ārsta reģistrēto pacientu koeficientu (kas katrā praksē ir atšķirīgs) ar valsts koeficientu, kas uz 2023. gadu ir 0.999387207960371.
Kapitācijas pieaugums tabulā veidojās uz kapitācijas naudas uz vienu pacientu mēnesī paaugstināšanu no 2.642177 EUR uz pacientu mēnesī uz 3.336053 EUR uz pacientu mēnesī. Kapitācijas naudas un koeficientu aprēķini balstās un MK555 11.pielikuma 4.punktu.</t>
  </si>
  <si>
    <t xml:space="preserve">Bērnu izmeklēšanas galds </t>
  </si>
  <si>
    <t xml:space="preserve">Ledusskapis vakcīnu glabāšanai (ar saldētavu) </t>
  </si>
  <si>
    <t>Medikamentu skapis</t>
  </si>
  <si>
    <t xml:space="preserve">Aizslietnis pārvietojams </t>
  </si>
  <si>
    <t>Medicīniskais termometrs</t>
  </si>
  <si>
    <t>Lupa</t>
  </si>
  <si>
    <t>Venozais žņaugs</t>
  </si>
  <si>
    <t>Refleksu āmuriņš</t>
  </si>
  <si>
    <t>Anatomiskās un ķirurģiskās pincetes</t>
  </si>
  <si>
    <t>Medicīniskās grieznes</t>
  </si>
  <si>
    <t>Adatturi</t>
  </si>
  <si>
    <t>Garās pincetes</t>
  </si>
  <si>
    <t>Difūziju statīvs</t>
  </si>
  <si>
    <t>Ierīce augļa sirdstoņu izklausīšanai</t>
  </si>
  <si>
    <t>Lampiņa ar homogēnu gaismu</t>
  </si>
  <si>
    <t>Pulsometrs</t>
  </si>
  <si>
    <t>Mērlente</t>
  </si>
  <si>
    <t>Kopā Medicīnas instrumenti un iekārtas</t>
  </si>
  <si>
    <t>Medikamenti un materiāli</t>
  </si>
  <si>
    <t>Nenarkotiskām analģētiķa šķīdums injekcijām (Sol.Diclofenaci 75 mg/ml - 5 ampulas)</t>
  </si>
  <si>
    <t>Nestreroīdā pretiekaisuma līdzekļa tabletes (Tab.Paracetamoli 500mg 10 tabletes vai Tab Ibuprofeni 200 mg 10 tbl)</t>
  </si>
  <si>
    <t>M holinoblokatora šķīdums injekcijām (Atropini sulphate 10 mg/ml 1ml ampulas -  5gab.)</t>
  </si>
  <si>
    <t>Adrenomimētiskā  līdzekļa šķīdums  injekcijām (Adrenalini 1 mg/ml,  1ml ampulas - 5 gab.)</t>
  </si>
  <si>
    <t>Sirds glikozīda šķīdums injekcijām (Digoxini 250 qg/ml - 5 gab)</t>
  </si>
  <si>
    <t>Neglikozīdā kardiotoniskā līdzekļa šķīdums infūzijām (Intropais simpatomimētiķis) ( Dobutamine 12,5 mg/ml Pr.II stac 5 ampulas)</t>
  </si>
  <si>
    <t>Antiaritmiskā līdzkļu, nātrija antagonistu šķīdums injekcijām (I klases antiaritmētiskie līdzkļi, ātriju, superventrikulārās un ventrukulārās aritmijas) (Lidocaini 20 mg/ml, 2 ml ampulas - 5 gab.)</t>
  </si>
  <si>
    <t>Antiaritmiskā līdzkļa, kalcija antagonista šķīdums injekcijām (IV klases anti aritmētiskie līdzkļi) ( Verapamili hrdrochloridi 2.5 mh/ml - 5 ampulas vai Verapamili 40 mg - 10 tabletes)</t>
  </si>
  <si>
    <t>Antiaritmētiskā līdzekļa, kālija antagonista šķīdums injekcijām ( III klases antiaritmiskais līdzeklis, supraventikulārās un ventikulārās aritmijas) ( Amiodaroni hydrohloridi 30 mg/ml, 10 ml ampula - 5 gab. vai 200 mg tbl - 10 gab)</t>
  </si>
  <si>
    <t>Neitropā hipotenzīvā līdzekļa šķīdums injekcijām (Clonidini 150qm/ml, 1 ml ampula - 5 gab)</t>
  </si>
  <si>
    <t>Neitropā hipotenzīvā līdzekļa tabletes (Clonidin 150 qg tbl - 10 tabletes vai Moxonidini 200 qg tbl - 10 tabletes)</t>
  </si>
  <si>
    <t>Koronarolītiskā līdzekļa, kalcija antagonista tabletes (Amlodipine 5 mg tabletes -10 gab. vai Nifedipine 10 mg - 20 mg tabletes - 10 gab., vai Felodipine 5 mg tabletes - 10 gb., vai Nicardipine 20 mg tabletes -10 gb)</t>
  </si>
  <si>
    <t>Koronarolītiska līdzkļa zemmēles aerosols (Nitromit 0,4mg) 180 devas</t>
  </si>
  <si>
    <t>Koronarolītiska līdzekļa tabletes ( Isosorbidi 10-30 mg - 10 gab. vai Isosorbidi mononitrate 10 mg tabletes - 10 gab., vai Glycerili trinitrate qg - 2 mg tabletes - 10 gab.)</t>
  </si>
  <si>
    <t>Bronholotiskā līdzkļa aerosols inhalācijām (Salbutamoli 100qg/deva -1 orģināls</t>
  </si>
  <si>
    <t>Bronholītiskā līdzkļa  šķīdums injekcijām  (Aminophylini 24 mg/ml, 5 ml vai 10 ml ampulas - 5 gab.)</t>
  </si>
  <si>
    <t>Trankvilizatora šķīdums  injekcijām (Diazepami 5 mg/ml, 2 ml ampulas - 5 gab.)</t>
  </si>
  <si>
    <t>Neiroleptiskā līdzekļa šķīdums  injekcijām ( Furosemīdi 10 mg/ml 1 ml ampulas - 5 gab.)</t>
  </si>
  <si>
    <t>Glikokortikoīdu šķīdums injekcijām ( Dexamethasoni 4 mg/ml, 1 ml ampulas 5 gab)</t>
  </si>
  <si>
    <t>Pretindes pulveris, emulsija vai tabletes (Carbon activ. Tabletes vai pulveris, 25 g deva)</t>
  </si>
  <si>
    <t>Antihistamīno līdzekļu šķīdums injekcijām ( Clemastini 1 mg/ml, 2 ml ampulas - 5 gab. vai Chlorphenamini maleati 10 mg/ml/1 ml ampulas - 5 gab)</t>
  </si>
  <si>
    <t>Stripi Lipid Profile (vienā stripā HOL, TRG,ABH,ZBL,ne ABL)</t>
  </si>
  <si>
    <t>Sāļu šķīdumi infūzijām ( Natri cloride 9 mg/ml, 250-500ml šķīdums)</t>
  </si>
  <si>
    <t>Vienreizlietojamie cimdi</t>
  </si>
  <si>
    <t>Dezinfekcijas līdzekļi 5 ml</t>
  </si>
  <si>
    <t xml:space="preserve">sterils dzemdību komplekts </t>
  </si>
  <si>
    <t>Medicīniskais rullis</t>
  </si>
  <si>
    <t>Saimniecības preces, t.sk. roku dvielis</t>
  </si>
  <si>
    <t>Kopā Medikamenti un materiāli</t>
  </si>
  <si>
    <t xml:space="preserve">Medicīniskā dokumentācija </t>
  </si>
  <si>
    <t>Medicīniskā dokumentācija (ambulatoras kartes, receptes, citas veidlapas)</t>
  </si>
  <si>
    <t>Kopā medicīniskā dokumentācija</t>
  </si>
  <si>
    <t>Atalgojums</t>
  </si>
  <si>
    <t>Māsas alga</t>
  </si>
  <si>
    <t>Stundas mēnesī, h</t>
  </si>
  <si>
    <t>Reģistratora funkcijām</t>
  </si>
  <si>
    <t>Reģistratora funkcijām (māsa 5h-6h dienā, 5x nedēļā)</t>
  </si>
  <si>
    <t>Papildus reģistratora alga</t>
  </si>
  <si>
    <t>Kopā Atalgojums</t>
  </si>
  <si>
    <t>Datortehnika un apkalpošana</t>
  </si>
  <si>
    <t xml:space="preserve">Sistēmbloks ar aksesuāriem un operacionālo sistēmu, Firewall un antivīrusu programma </t>
  </si>
  <si>
    <t>Monitors 2 gab</t>
  </si>
  <si>
    <t xml:space="preserve">Daudzfunkcionālais Printeris - skeneris, fakss, kopētājs </t>
  </si>
  <si>
    <t>Tonera kasete printerim (3 nomaiņas gadā)</t>
  </si>
  <si>
    <t>Datortehnikas uzturēšana  (35 euro mēnesī)</t>
  </si>
  <si>
    <t>Mobilais telefons (2 gab.)</t>
  </si>
  <si>
    <t xml:space="preserve">Mobilo telefonu abonēšanas maksa mēnesī </t>
  </si>
  <si>
    <t xml:space="preserve">Stacionāro telefonu (2.gab) un  interneta abonēšanas maksa gadam </t>
  </si>
  <si>
    <t>Radiotelefons (2.gab)</t>
  </si>
  <si>
    <t xml:space="preserve">Portatīvais dators (piemēram, Lenovo B50-50 i3-5005U 15.6inch HD AntiGlare 4GB 128GB SSD DVDRW Intel HD5500 Non-intel 1x1BGN+BT CR4in1 4cell W7P64+W10P64 Flyer) </t>
  </si>
  <si>
    <t>Specializētā programmatūra (ārsta birojs pamata komplekts )</t>
  </si>
  <si>
    <t>Kopā Datortehnika un apkalpošana</t>
  </si>
  <si>
    <t>Mērķa kritēriju izpildes maksājums kapitācijas naudā</t>
  </si>
  <si>
    <t>Pacientu telefonkonsultāciju apmaksa*</t>
  </si>
  <si>
    <t>Kopā prakses izmaksas</t>
  </si>
  <si>
    <t>Kapitācijas nauda mēnesī uz 1 pacientu</t>
  </si>
  <si>
    <t>Vidēji dienā, h</t>
  </si>
  <si>
    <t>ĀRSTA atalgojuma nauda uz 1 pacientu mēnesī</t>
  </si>
  <si>
    <t>Vērtība, euro</t>
  </si>
  <si>
    <t>Papildus finansējums ģimenes ārstu prakšu otrai prakses vietai</t>
  </si>
  <si>
    <t>Finanšu ietekme, euro</t>
  </si>
  <si>
    <t>Papildus finansējums feldšerpunktiem</t>
  </si>
  <si>
    <t>Nepieciešamais finansējums 2023. gada 4 mēnešiem</t>
  </si>
  <si>
    <t>Fiksētais maksājums par ģ.ā. prakses otro un katru nākamo prakses vietu mēnesī (MK 555 11. pielik. 8. punkts), euro</t>
  </si>
  <si>
    <t>Veiktais darbs 2023. gada 6 mēnešos </t>
  </si>
  <si>
    <t xml:space="preserve"> Manipulācijas "Kolposkopija bez mērķbiopsijas", "Dzemdes kakla konusveida elektroekscīzija", "Dozētā koagulācija lokālā anestēzijā" un "Vulvas biopsija" iekļauta prioritārā pasākuma "Veselības aprūpes pakalpojumu pieejamība" ietvaros un piešķirts finansējums</t>
  </si>
  <si>
    <t>Apakšprogramma</t>
  </si>
  <si>
    <t>Valsts sociālās apdrošināšanas obligātās iemaksas S, euro</t>
  </si>
  <si>
    <t>Papildus finansējums ģimenes ārstu prakšu otrai prakses vietai un  feldšerpunktiem</t>
  </si>
  <si>
    <t>Plānotā līguma summa gadam, euro</t>
  </si>
  <si>
    <t xml:space="preserve">Par primārās veselības aprūpes līdzekļu sadalījuma plānojumu feldšerpunktos kopā </t>
  </si>
  <si>
    <t>Nepieciešamais finansējums 2024.gadam un turpmāk ik gadu</t>
  </si>
  <si>
    <t>Finansējuma ietaupījums 2023.gada 1.pusgadā, euro</t>
  </si>
  <si>
    <t>      Fiksētais maksājums primārās veselības aprūpes prakses uzturēšanai</t>
  </si>
  <si>
    <t>Finasējuma ietaupījums 2023.gadā no fiksētā maksājuma primārās veselības aprūpes prakses uzturēšnai</t>
  </si>
  <si>
    <t>Papildus nepieciešams finansējums ģimenes ārstu kapitācijas naudas pieaugumam 2023. gada četriem mēnešiem plānots</t>
  </si>
  <si>
    <t>Atlikuma starpība, euro</t>
  </si>
  <si>
    <t>4.pielikuma turpinājums MK noteikumu projekta "Grozījumi Ministru kabineta 2018.gada 28.augusta noteikumos Nr.555 „Veselības aprūpes pakalpojumu organizēšanas un samaksas kārtība"" anotācijai</t>
  </si>
  <si>
    <t>Novirzīts programmai Ķīmijterapija un hematoloģija dienas stacionārā</t>
  </si>
  <si>
    <t>PIEŠĶIRTAIS</t>
  </si>
  <si>
    <t>Dienas stacionāram nepieciešamais</t>
  </si>
  <si>
    <t>Dienas stacionārā*</t>
  </si>
  <si>
    <t>* Pēc Latvijas Ginekologu un dzemdību speciālistu asociācijas iesniegtās informācijas dienas stacionārā veicamo izmeklējumu skaits no visiem ambulatorajiem pakalpojumiem.</t>
  </si>
  <si>
    <t>Papildus nepieciešams finansējums ģimenes ārstu prakšu otrai prakses vietai, feldšerpunktiem</t>
  </si>
  <si>
    <t>Fiksētais maksājums par ģimenes ārsta  prakses otro un katru nākamo prakses vietu mēnesī (MK 555 11. pielik. 8. punkts), euro</t>
  </si>
  <si>
    <t>Fiksētais maksājums par ģimenes ārsta prakses otro un katru nākamo prakses vietu mēnesī (MK 555 11. pielik. 8. punkts), euro</t>
  </si>
  <si>
    <t>2023.g. 4 mēnešos nepieciešamais</t>
  </si>
  <si>
    <t>No kopējā ambulatorā piešķirtā finansējuma 22 503 euro gadā tiks sniegts dienas stacionārā</t>
  </si>
  <si>
    <t>22 503.00</t>
  </si>
  <si>
    <t>Fiksētais maksājums par ģimenes ārsta prakses otro un katru nākamo prakses vietu, euro</t>
  </si>
  <si>
    <t>Nepieciešamais finansējums 2023.gada 4 mēnešiem</t>
  </si>
  <si>
    <t>Plānotā summa par primārās veselības aprūpes pakalpojumu nodrošināšanu</t>
  </si>
  <si>
    <t>Plānotā summa  par primārās veselības aprūpes pakalpojumu nodrošināšanu</t>
  </si>
  <si>
    <t>2022.gads izpilde</t>
  </si>
  <si>
    <t>2023.gads un turpmāk ik gadu prognozētā izpilde</t>
  </si>
  <si>
    <t>Dienas stacionārs</t>
  </si>
  <si>
    <r>
      <t xml:space="preserve">Savukārt nepieciešamo starpību 2023.gadā un turpmāk ik gadu 629 euro (70 550 euro - 69 921 euro) plānots rast </t>
    </r>
    <r>
      <rPr>
        <b/>
        <sz val="10"/>
        <rFont val="Times New Roman"/>
        <family val="1"/>
      </rPr>
      <t>apakšprogrammas 33.16.00 "Pārējo ambulatoro veselības aprūpes pakalpojumu nodrošināšana" ietvaros 176 euro no pakalpojumu programmas “Narkoloģija”</t>
    </r>
    <r>
      <rPr>
        <sz val="10"/>
        <rFont val="Times New Roman"/>
        <family val="1"/>
      </rPr>
      <t xml:space="preserve"> un apakšprogrammas 33.18.00 “Plānveida stacionāro veselības aprūpes pakalpojumu nodrošināšana” 453 euro no pakalpojuma programmas “Pakalpojumi aprūpes slimnīcā vai aprūpes gultā”. 
</t>
    </r>
  </si>
  <si>
    <t>Ņemot vērā to, ka ar 2023.gada 1.aprīli palielinās ārstniecības personu atalgojums, līdz ar to palielinājās veselības aprūpes tarifs un  finansējums tika pārrēķināts.</t>
  </si>
  <si>
    <t>Teritoriālās nodaļas plānoto papildus pieņemšanas vietu skaits 2023.gadā</t>
  </si>
  <si>
    <t>Fiksētais maksājums primārās veselības aprūpes prakses uzturēšanai</t>
  </si>
  <si>
    <t>Ģimenes ārstu fiksētais maksājums mēnesī</t>
  </si>
  <si>
    <t>Saimniecības mēbeles un citi</t>
  </si>
  <si>
    <t>Fiksētās izmaksas mēnes 2022. gadā</t>
  </si>
  <si>
    <t>Fiksētais maksājums ar papildus pozīciju faktisko izmaksu segšanu 2023. gadam</t>
  </si>
  <si>
    <t>Darba galds ģimenes ārstam</t>
  </si>
  <si>
    <t>Krēsls ģimenes ārstam, māsai un ārsta palīgam (3.gab.)</t>
  </si>
  <si>
    <t>Apmeklētāju krēsli (10gb)</t>
  </si>
  <si>
    <t>Failu skapis pacientu ambulatorām kartēm (2* 430.52 eur)</t>
  </si>
  <si>
    <t>Drēbju skapis, drēbju pakaramie</t>
  </si>
  <si>
    <t>Plaukti (2.gab.)</t>
  </si>
  <si>
    <t xml:space="preserve">Aprīkota darba vieta māsai </t>
  </si>
  <si>
    <t>Iekarināmās mapes 100 gab.</t>
  </si>
  <si>
    <t>Durvju plāksne  (vairākas)</t>
  </si>
  <si>
    <t>Informatīvo materiālu stends, informācijas dēlis (Informatīvais stends SCXSC 8xA4 Cork)</t>
  </si>
  <si>
    <t>Papīrgrozi (4.gab.)</t>
  </si>
  <si>
    <t>Pulkstenis</t>
  </si>
  <si>
    <t>Ugundzēsības aparāts, dūmu detektori</t>
  </si>
  <si>
    <t>Skapis telpu uzkopšanas inventāram, tīrīšanas līdzekļiem</t>
  </si>
  <si>
    <t>Spogulis</t>
  </si>
  <si>
    <t>Ieejas paklājs</t>
  </si>
  <si>
    <t xml:space="preserve">Mantu skapis </t>
  </si>
  <si>
    <t xml:space="preserve">Seifs </t>
  </si>
  <si>
    <t>Kopā saimniecības mēbeles un citi</t>
  </si>
  <si>
    <t xml:space="preserve">Administratīvie izdevumi </t>
  </si>
  <si>
    <t xml:space="preserve">Telpu uzkopšanas izdevumi </t>
  </si>
  <si>
    <t>Telpu paplašināšana no 15 uz 20 kvm</t>
  </si>
  <si>
    <t>Kopā administratīvie izdevumi</t>
  </si>
  <si>
    <t>Telpu izmaksas</t>
  </si>
  <si>
    <t>Komunālie maksājumi uz 15 m2</t>
  </si>
  <si>
    <t>Kopā Telpu izmaksas</t>
  </si>
  <si>
    <t>Kopā prakses fiksētās izmaksas</t>
  </si>
  <si>
    <t>Kapitācijas naudas apjoms mēnesī pēc palielinājuma (no piešķirtā finansējuma), EUR*</t>
  </si>
  <si>
    <t>Papildus nepieciešamais finansējums 2023.gadam uz 4.mēnešiem no esošā budžeta (minimālās likmes palielināšana), EUR</t>
  </si>
  <si>
    <t>Finasējuma ietaupījums 2023.gadā no fiksētā maksājuma primārās veselības aprūpes prakses uzturēšanai</t>
  </si>
  <si>
    <t>Kapitācijas naudas apjoms mēnesī pirms palielinājuma no esošā budžeta, EUR</t>
  </si>
  <si>
    <t>Kapitācijas naudas apjoms pēc minimālās likmes palielinājuma mēnesī, EUR</t>
  </si>
  <si>
    <t>Kapitācijas naudas apjoms pēc palielinājuma 4.mēnešiem (no 57 milj. euro papildus piešķirtā finansējuma), EUR</t>
  </si>
  <si>
    <t>Papildus nepieciešamais finansējums 2023.gadam uz 4.mēnešiem (no 57 milj. euro papildus piešķirtā finansējuma), EUR</t>
  </si>
  <si>
    <t>Kapitācijas naudas apjoms mēnesī no 57 milj. euro papildus piešķirtā finansējuma, EUR</t>
  </si>
  <si>
    <t>Kapitācijas naudas apjoma palielinājums mēnesī no 57 milj. euro papildus piešķirtā finansējuma, EUR</t>
  </si>
  <si>
    <t>Papildus piešķirtais finansējums no 57 milj. euro papildus piešķirtā finansējuma 2023.gadam uz 4.mēnešiem, EUR</t>
  </si>
  <si>
    <t>Kapitācijas naudas palielinājums no 57 milj. euro papildus piešķirtā finansējuma un minimālās likmes palielināšanas mēnesim, EUR</t>
  </si>
  <si>
    <r>
      <t>Noma uz</t>
    </r>
    <r>
      <rPr>
        <sz val="10"/>
        <rFont val="Times New Roman"/>
        <family val="1"/>
        <charset val="186"/>
      </rPr>
      <t xml:space="preserve"> 15</t>
    </r>
    <r>
      <rPr>
        <sz val="10"/>
        <rFont val="Times New Roman"/>
        <family val="1"/>
      </rPr>
      <t xml:space="preserve"> m2</t>
    </r>
  </si>
  <si>
    <r>
      <t xml:space="preserve">Plānotā līguma summa periodam </t>
    </r>
    <r>
      <rPr>
        <b/>
        <sz val="10"/>
        <rFont val="Times New Roman"/>
        <family val="1"/>
        <charset val="186"/>
      </rPr>
      <t>janvāris-jūnijs</t>
    </r>
  </si>
  <si>
    <t>Kapitācijas naudas apmērs no 01.01.2024 un turpmāk ik gadu, EUR</t>
  </si>
  <si>
    <t>Kapitācijas naudas apmērs no 01.09.2023-31.12.2023 (no papildus piešķirtā finansējuma + minimālās likmes palielināšana), EUR</t>
  </si>
  <si>
    <t>Kapitācijas naudas palielinājums no 1.09.-31.12.2023 (no papildus piešķirtā finansējuma), EUR</t>
  </si>
  <si>
    <t>2024. gadam un turpmāk ik gadu  nepieciešamais papildus finansējums, EUR *</t>
  </si>
  <si>
    <t>Papildus nepieciešamais finansējums</t>
  </si>
  <si>
    <t>Papildus nepieciešamais finansējums 2024.gadam un turpmāk no esošā budžeta (reģistratora algas palielināšana), EUR</t>
  </si>
  <si>
    <t>Papildus nepieciešamais finansējums 2023.gadam uz 4.mēnešiem no esošā budžeta (reģistratora algas palielināšana), EUR</t>
  </si>
  <si>
    <t>Kapitācijas naudas palielinājums no 57 milj. euro papildus piešķirtā finansējuma un reģistratora algas palielināšana mēnesim, EUR</t>
  </si>
  <si>
    <t>3. pielikums MK noteikumu projekta "Grozījumi Ministru kabineta 2018.gada 28.augusta noteikumos Nr.555 „Veselības aprūpes pakalpojumu organizēšanas un samaksas kārtība"" anotācijai</t>
  </si>
  <si>
    <t>5.pielikuma turpinājums MK noteikumu projekta "Grozījumi Ministru kabineta 2018.gada 28.augusta noteikumos Nr.555 „Veselības aprūpes pakalpojumu organizēšanas un samaksas kārtība"" anotācijai</t>
  </si>
  <si>
    <t>5.pielikums MK noteikumu projekta "Grozījumi Ministru kabineta 2018.gada 28.augusta noteikumos Nr.555 „Veselības aprūpes pakalpojumu organizēšanas un samaksas kārtība"" anotācijai</t>
  </si>
  <si>
    <t>Ģimenes ārstu gada darbības novērtējuma maksājumam</t>
  </si>
  <si>
    <t>Finasējuma ietaupījums 2024.gadā no Ģimenes ārstu gada darbības novērtējuma maksājumam</t>
  </si>
  <si>
    <t>Faktiski izmaksāts, euro</t>
  </si>
  <si>
    <t>Papildus nepieciešams finansējums ģimenes ārstu kapitācijas naudas pieaugumam (reģistratora algas palielinājumam) 2023. gada četriem mēnešiem plānots</t>
  </si>
  <si>
    <t>Plānotā līguma summa 2023. gadam, euro</t>
  </si>
  <si>
    <t>Kopā ietaupītais finansējums, euro</t>
  </si>
  <si>
    <t>Finansējuma ietaupījums 2023.gada 1.pusgadā, euro*</t>
  </si>
  <si>
    <t>Finansējuma ietaupījums 2023.gadā, euro**</t>
  </si>
  <si>
    <t xml:space="preserve">Finansējums </t>
  </si>
  <si>
    <t>Atlikuma starpība, kura novirzāma PVA piemaksājamo manipulāciju apmaksai</t>
  </si>
  <si>
    <t>Plānotā 2023.gada izpilde pēc 12 mēn.</t>
  </si>
  <si>
    <t>Veiktais darbs 2023. gada aprīlis-jūnijs</t>
  </si>
  <si>
    <t>Papildu finansējums ir nepieciešams tikai 2023.gadam un nav paredzams, ka tas būs nepieciešams 2024.gadā. 2023. gada septembra-decembra mēnešos ir paredzams ģimenes ārstu prakšu piemaksājamo manipulāciju skaita palielinājums sakarā ar to, ka aicinot pacientus, kas nebija pie ģimenes ārsta 3 gadu laikā klātienēs vizītēs, būs veiktas arī vairāk manipulācijas.</t>
  </si>
  <si>
    <t>Finansējuma ietaupījuma avoti un novirzāmie mērķi 1.</t>
  </si>
  <si>
    <t>Finansējuma ietaupījuma avoti un novirzāmie mērķi 2.</t>
  </si>
  <si>
    <t>Atlikums, atbilstoši budžeta izpildes rezultātiem tik vērtēts un novirzīts tam pasākumam, kuram radīsies pārstrādes</t>
  </si>
  <si>
    <t>Atlikums nekur nav novirzāms, sakarā ar to, ka šis ir prioritārs pasākums, šī summa tiks atsevišķi norādīta informatīvajā ziņojumā par prioritāro pasākumu pārdali</t>
  </si>
  <si>
    <r>
      <t xml:space="preserve">Prioritārs pasākums </t>
    </r>
    <r>
      <rPr>
        <i/>
        <sz val="10"/>
        <rFont val="Times New Roman"/>
        <family val="1"/>
      </rPr>
      <t>"Ģimenes ārstu uzturēšanas maksājuma pārskatīšana, lai nodrošinātu ambulatoro veselības aprūpes pakalpojumu sniegšanas nepārtrauktību"</t>
    </r>
    <r>
      <rPr>
        <sz val="10"/>
        <rFont val="Times New Roman"/>
        <family val="1"/>
      </rPr>
      <t>, kas bija paredzēts uzturēšanas maksājuma palielināšanai ģimenes ārstu praksēm. Šī pasākumā ietvaros tiks palielināts uzturēšanas maksājums ne tikai pamatpraksēm, bet arī otrām pieņemšanas vietām un feldšerpunktiem. *Ietaupījumi veidojas, jo samazinās ārstniecības iestādes, kuras neturpina savu prakses darbu vai aizver otrās un papildprakses vietas, jo ģimenes ārsti nolemj neturpināt sniegt pakalpojumus nepietiekama finansējuma dēļ,  novecošanās dēļ. Līdz ar to samazinās kopējais praktizējušo prakšu vai papildprakšu skaits, kam nepieciešams finansējums prakšu uzturēšanai.</t>
    </r>
  </si>
  <si>
    <r>
      <t>**2024.gadam Ģimenes ārstu gada darbības novērtējuma maksājumam finansējums tiks plānots šī gada apjomā, jo ģimenes ārsti neizpilda visus plānotos novērtēšanas kritērijus.</t>
    </r>
    <r>
      <rPr>
        <b/>
        <sz val="11"/>
        <rFont val="Times New Roman"/>
        <family val="1"/>
      </rPr>
      <t> </t>
    </r>
    <r>
      <rPr>
        <sz val="11"/>
        <rFont val="Times New Roman"/>
        <family val="1"/>
      </rPr>
      <t>Līdz ar to šos līdzekļus var novirzīt 2024.gadam reģistratora algas palielinājumam. Par 2020 un 2021.gadu aprēķins tika veikts atbilstoši 2019.gada raditājiem sakarā ar Covid pandēmiju, vērtējot datus par 2022.gada 12.mēnešiem izpilde ir samazināta.</t>
    </r>
  </si>
  <si>
    <t>Papildus nepieciešams finansējums ģimenes ārstu prakšu otrās prakses vietas uzturēšanai un feldšerpunktu uzturēšanai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</si>
</sst>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_-* #,##0_-;\-* #,##0_-;_-* &quot;-&quot;??_-;_-@_-"/>
    <numFmt numFmtId="165" formatCode="_-* #,##0.00\ _€_-;\-* #,##0.00\ _€_-;_-* &quot;-&quot;??\ _€_-;_-@_-"/>
    <numFmt numFmtId="166" formatCode="_-* #,##0\ _€_-;\-* #,##0\ _€_-;_-* &quot;-&quot;??\ _€_-;_-@_-"/>
    <numFmt numFmtId="167" formatCode="0.0"/>
    <numFmt numFmtId="168" formatCode="[$-F400]h:mm:ss\ AM/PM"/>
    <numFmt numFmtId="169" formatCode="0.000"/>
    <numFmt numFmtId="170" formatCode="#,##0.00_ ;\-#,##0.00\ "/>
    <numFmt numFmtId="171" formatCode="#,##0\ _€"/>
    <numFmt numFmtId="172" formatCode="#,##0.00000"/>
    <numFmt numFmtId="173" formatCode="#,##0.000000"/>
    <numFmt numFmtId="174" formatCode="0.00000000"/>
    <numFmt numFmtId="175" formatCode="0.000000000000000"/>
  </numFmts>
  <fonts count="58">
    <font>
      <sz val="11"/>
      <color theme="1"/>
      <name val="Calibri"/>
      <family val="2"/>
      <charset val="186"/>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186"/>
      <scheme val="minor"/>
    </font>
    <font>
      <sz val="10"/>
      <name val="Times New Roman"/>
      <family val="1"/>
    </font>
    <font>
      <sz val="10"/>
      <color theme="1"/>
      <name val="Arial"/>
      <family val="2"/>
      <charset val="186"/>
    </font>
    <font>
      <sz val="10"/>
      <name val="Arial"/>
      <family val="2"/>
      <charset val="186"/>
    </font>
    <font>
      <sz val="10"/>
      <name val="Arial"/>
      <family val="2"/>
    </font>
    <font>
      <sz val="11"/>
      <color theme="1"/>
      <name val="Calibri"/>
      <family val="2"/>
      <charset val="204"/>
      <scheme val="minor"/>
    </font>
    <font>
      <sz val="10"/>
      <name val="Arial"/>
      <family val="2"/>
    </font>
    <font>
      <sz val="10"/>
      <name val="Arial"/>
      <family val="2"/>
      <charset val="186"/>
    </font>
    <font>
      <sz val="10"/>
      <color rgb="FFFF0000"/>
      <name val="Times New Roman"/>
      <family val="1"/>
    </font>
    <font>
      <b/>
      <sz val="10"/>
      <color theme="1"/>
      <name val="Times New Roman"/>
      <family val="1"/>
    </font>
    <font>
      <sz val="10"/>
      <color theme="1"/>
      <name val="Times New Roman"/>
      <family val="1"/>
    </font>
    <font>
      <b/>
      <sz val="10"/>
      <name val="Times New Roman"/>
      <family val="1"/>
    </font>
    <font>
      <b/>
      <sz val="10"/>
      <color rgb="FF000000"/>
      <name val="Times New Roman"/>
      <family val="1"/>
    </font>
    <font>
      <sz val="10"/>
      <color rgb="FF000000"/>
      <name val="Times New Roman"/>
      <family val="1"/>
    </font>
    <font>
      <sz val="10"/>
      <name val="BaltHelvetica"/>
    </font>
    <font>
      <sz val="10"/>
      <name val="BaltGaramond"/>
      <family val="2"/>
      <charset val="186"/>
    </font>
    <font>
      <b/>
      <sz val="11"/>
      <color theme="3"/>
      <name val="Calibri"/>
      <family val="2"/>
      <charset val="186"/>
      <scheme val="minor"/>
    </font>
    <font>
      <sz val="11"/>
      <color rgb="FF000000"/>
      <name val="Calibri"/>
      <family val="2"/>
      <charset val="1"/>
    </font>
    <font>
      <b/>
      <sz val="10"/>
      <color rgb="FFFF0000"/>
      <name val="Times New Roman"/>
      <family val="1"/>
    </font>
    <font>
      <sz val="10"/>
      <color theme="1"/>
      <name val="Calibri"/>
      <family val="2"/>
      <charset val="186"/>
      <scheme val="minor"/>
    </font>
    <font>
      <i/>
      <sz val="10"/>
      <name val="Times New Roman"/>
      <family val="1"/>
    </font>
    <font>
      <b/>
      <sz val="10"/>
      <color theme="1"/>
      <name val="Times New Roman"/>
      <family val="1"/>
      <charset val="186"/>
    </font>
    <font>
      <i/>
      <sz val="10"/>
      <color theme="1"/>
      <name val="Times New Roman"/>
      <family val="1"/>
    </font>
    <font>
      <sz val="10"/>
      <color theme="1"/>
      <name val="Times New Roman"/>
      <family val="1"/>
      <charset val="186"/>
    </font>
    <font>
      <sz val="10"/>
      <name val="Times New Roman"/>
      <family val="1"/>
      <charset val="186"/>
    </font>
    <font>
      <u/>
      <sz val="11"/>
      <color theme="10"/>
      <name val="Calibri"/>
      <family val="2"/>
      <charset val="186"/>
    </font>
    <font>
      <sz val="10"/>
      <color rgb="FF00B050"/>
      <name val="Times New Roman"/>
      <family val="1"/>
      <charset val="186"/>
    </font>
    <font>
      <b/>
      <sz val="10"/>
      <color theme="1"/>
      <name val="Calibri"/>
      <family val="2"/>
      <charset val="186"/>
      <scheme val="minor"/>
    </font>
    <font>
      <i/>
      <sz val="10"/>
      <color rgb="FF000000"/>
      <name val="Times New Roman"/>
      <family val="1"/>
    </font>
    <font>
      <sz val="11"/>
      <color rgb="FF000000"/>
      <name val="Calibri"/>
      <family val="2"/>
      <charset val="186"/>
    </font>
    <font>
      <sz val="12"/>
      <name val="Times New Roman"/>
      <family val="1"/>
    </font>
    <font>
      <sz val="11"/>
      <color theme="1"/>
      <name val="Times New Roman"/>
      <family val="1"/>
    </font>
    <font>
      <sz val="10"/>
      <color rgb="FF000000"/>
      <name val="Times New Roman"/>
      <family val="1"/>
      <charset val="186"/>
    </font>
    <font>
      <sz val="10"/>
      <color rgb="FF242424"/>
      <name val="Times New Roman"/>
      <family val="1"/>
    </font>
    <font>
      <i/>
      <sz val="12"/>
      <name val="Times New Roman"/>
      <family val="1"/>
    </font>
    <font>
      <sz val="11"/>
      <color rgb="FF242424"/>
      <name val="Calibri"/>
      <family val="2"/>
      <scheme val="minor"/>
    </font>
    <font>
      <sz val="12"/>
      <color rgb="FF7030A0"/>
      <name val="Times New Roman"/>
      <family val="1"/>
    </font>
    <font>
      <sz val="10"/>
      <color rgb="FFFF0000"/>
      <name val="Times New Roman"/>
      <family val="1"/>
      <charset val="186"/>
    </font>
    <font>
      <sz val="10"/>
      <color rgb="FFFF0000"/>
      <name val="Calibri"/>
      <family val="2"/>
      <charset val="186"/>
      <scheme val="minor"/>
    </font>
    <font>
      <sz val="10"/>
      <color rgb="FFFF0000"/>
      <name val="Calibri"/>
      <family val="2"/>
      <charset val="186"/>
    </font>
    <font>
      <b/>
      <sz val="10"/>
      <color rgb="FFFF0000"/>
      <name val="Calibri"/>
      <family val="2"/>
      <charset val="186"/>
    </font>
    <font>
      <sz val="10"/>
      <name val="Calibri"/>
      <family val="2"/>
      <charset val="186"/>
      <scheme val="minor"/>
    </font>
    <font>
      <b/>
      <sz val="10"/>
      <color rgb="FFFF0000"/>
      <name val="Calibri"/>
      <family val="2"/>
      <charset val="186"/>
      <scheme val="minor"/>
    </font>
    <font>
      <sz val="11"/>
      <color rgb="FF00B050"/>
      <name val="Calibri"/>
      <family val="2"/>
      <charset val="186"/>
      <scheme val="minor"/>
    </font>
    <font>
      <sz val="11"/>
      <name val="Calibri"/>
      <family val="2"/>
      <charset val="186"/>
      <scheme val="minor"/>
    </font>
    <font>
      <b/>
      <sz val="10"/>
      <name val="Calibri"/>
      <family val="2"/>
      <charset val="186"/>
      <scheme val="minor"/>
    </font>
    <font>
      <b/>
      <sz val="10"/>
      <name val="Times New Roman"/>
      <family val="1"/>
      <charset val="186"/>
    </font>
    <font>
      <i/>
      <sz val="10"/>
      <name val="Times New Roman"/>
      <family val="1"/>
      <charset val="186"/>
    </font>
    <font>
      <sz val="11"/>
      <name val="Times New Roman"/>
      <family val="1"/>
    </font>
    <font>
      <b/>
      <sz val="11"/>
      <name val="Times New Roman"/>
      <family val="1"/>
    </font>
    <font>
      <b/>
      <sz val="12"/>
      <name val="Times New Roman"/>
      <family val="1"/>
    </font>
  </fonts>
  <fills count="18">
    <fill>
      <patternFill patternType="none"/>
    </fill>
    <fill>
      <patternFill patternType="gray125"/>
    </fill>
    <fill>
      <patternFill patternType="solid">
        <fgColor theme="9" tint="0.59999389629810485"/>
        <bgColor indexed="64"/>
      </patternFill>
    </fill>
    <fill>
      <patternFill patternType="solid">
        <fgColor theme="9" tint="0.79998168889431442"/>
        <bgColor indexed="64"/>
      </patternFill>
    </fill>
    <fill>
      <patternFill patternType="solid">
        <fgColor theme="0"/>
        <bgColor indexed="64"/>
      </patternFill>
    </fill>
    <fill>
      <patternFill patternType="solid">
        <fgColor theme="9" tint="0.39997558519241921"/>
        <bgColor indexed="64"/>
      </patternFill>
    </fill>
    <fill>
      <patternFill patternType="solid">
        <fgColor indexed="22"/>
        <bgColor indexed="64"/>
      </patternFill>
    </fill>
    <fill>
      <patternFill patternType="solid">
        <fgColor theme="9" tint="0.79998168889431442"/>
        <bgColor rgb="FF000000"/>
      </patternFill>
    </fill>
    <fill>
      <patternFill patternType="solid">
        <fgColor theme="0"/>
        <bgColor rgb="FF000000"/>
      </patternFill>
    </fill>
    <fill>
      <patternFill patternType="solid">
        <fgColor theme="9" tint="0.39997558519241921"/>
        <bgColor rgb="FF000000"/>
      </patternFill>
    </fill>
    <fill>
      <patternFill patternType="solid">
        <fgColor theme="0" tint="-0.14999847407452621"/>
        <bgColor indexed="64"/>
      </patternFill>
    </fill>
    <fill>
      <patternFill patternType="solid">
        <fgColor rgb="FFFFFFFF"/>
        <bgColor rgb="FF000000"/>
      </patternFill>
    </fill>
    <fill>
      <patternFill patternType="solid">
        <fgColor rgb="FFFFFFFF"/>
        <bgColor indexed="64"/>
      </patternFill>
    </fill>
    <fill>
      <patternFill patternType="solid">
        <fgColor rgb="FF92D050"/>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4" tint="0.59999389629810485"/>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medium">
        <color theme="4" tint="0.39997558519241921"/>
      </bottom>
      <diagonal/>
    </border>
    <border>
      <left style="thin">
        <color indexed="64"/>
      </left>
      <right style="thin">
        <color indexed="64"/>
      </right>
      <top style="thin">
        <color indexed="64"/>
      </top>
      <bottom/>
      <diagonal/>
    </border>
    <border>
      <left/>
      <right/>
      <top style="thin">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000000"/>
      </left>
      <right/>
      <top style="thin">
        <color rgb="FF000000"/>
      </top>
      <bottom style="thin">
        <color rgb="FF000000"/>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8"/>
      </left>
      <right/>
      <top style="thin">
        <color indexed="8"/>
      </top>
      <bottom style="thin">
        <color indexed="8"/>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right style="medium">
        <color indexed="64"/>
      </right>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style="medium">
        <color indexed="64"/>
      </left>
      <right/>
      <top/>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medium">
        <color indexed="64"/>
      </right>
      <top/>
      <bottom style="medium">
        <color indexed="64"/>
      </bottom>
      <diagonal/>
    </border>
  </borders>
  <cellStyleXfs count="116">
    <xf numFmtId="0" fontId="0" fillId="0" borderId="0"/>
    <xf numFmtId="0" fontId="6" fillId="0" borderId="0"/>
    <xf numFmtId="43" fontId="7" fillId="0" borderId="0" applyFont="0" applyFill="0" applyBorder="0" applyAlignment="0" applyProtection="0"/>
    <xf numFmtId="0" fontId="6" fillId="0" borderId="0"/>
    <xf numFmtId="0" fontId="7" fillId="0" borderId="0"/>
    <xf numFmtId="0" fontId="10" fillId="0" borderId="0"/>
    <xf numFmtId="43" fontId="10" fillId="0" borderId="0" applyFont="0" applyFill="0" applyBorder="0" applyAlignment="0" applyProtection="0"/>
    <xf numFmtId="0" fontId="12" fillId="0" borderId="0"/>
    <xf numFmtId="0" fontId="6" fillId="0" borderId="0"/>
    <xf numFmtId="0" fontId="6" fillId="0" borderId="0"/>
    <xf numFmtId="0" fontId="10" fillId="0" borderId="0"/>
    <xf numFmtId="0" fontId="9" fillId="0" borderId="0"/>
    <xf numFmtId="0" fontId="5" fillId="0" borderId="0"/>
    <xf numFmtId="0" fontId="5" fillId="0" borderId="0"/>
    <xf numFmtId="0" fontId="12" fillId="0" borderId="0"/>
    <xf numFmtId="0" fontId="5" fillId="0" borderId="0"/>
    <xf numFmtId="0" fontId="12" fillId="0" borderId="0"/>
    <xf numFmtId="0" fontId="7" fillId="0" borderId="0"/>
    <xf numFmtId="0" fontId="11" fillId="0" borderId="0"/>
    <xf numFmtId="43" fontId="10" fillId="0" borderId="0" applyFont="0" applyFill="0" applyBorder="0" applyAlignment="0" applyProtection="0"/>
    <xf numFmtId="0" fontId="10" fillId="0" borderId="0"/>
    <xf numFmtId="0" fontId="10" fillId="0" borderId="0"/>
    <xf numFmtId="0" fontId="7" fillId="0" borderId="0"/>
    <xf numFmtId="0" fontId="13" fillId="0" borderId="0"/>
    <xf numFmtId="0" fontId="14" fillId="0" borderId="0"/>
    <xf numFmtId="43" fontId="10" fillId="0" borderId="0" applyFont="0" applyFill="0" applyBorder="0" applyAlignment="0" applyProtection="0"/>
    <xf numFmtId="0" fontId="11" fillId="0" borderId="0"/>
    <xf numFmtId="0" fontId="5" fillId="0" borderId="0"/>
    <xf numFmtId="0" fontId="5" fillId="0" borderId="0"/>
    <xf numFmtId="0" fontId="21" fillId="0" borderId="0"/>
    <xf numFmtId="167" fontId="22" fillId="6" borderId="0" applyBorder="0" applyProtection="0"/>
    <xf numFmtId="0" fontId="21" fillId="0" borderId="0"/>
    <xf numFmtId="0" fontId="23" fillId="0" borderId="7" applyNumberFormat="0" applyFill="0" applyAlignment="0" applyProtection="0"/>
    <xf numFmtId="0" fontId="10" fillId="0" borderId="0"/>
    <xf numFmtId="168" fontId="4" fillId="0" borderId="0"/>
    <xf numFmtId="43" fontId="21" fillId="0" borderId="0" applyFont="0" applyFill="0" applyBorder="0" applyAlignment="0" applyProtection="0"/>
    <xf numFmtId="43" fontId="10" fillId="0" borderId="0" applyFont="0" applyFill="0" applyBorder="0" applyAlignment="0" applyProtection="0"/>
    <xf numFmtId="0" fontId="7" fillId="0" borderId="0"/>
    <xf numFmtId="0" fontId="7" fillId="0" borderId="0"/>
    <xf numFmtId="43" fontId="21" fillId="0" borderId="0" applyFont="0" applyFill="0" applyBorder="0" applyAlignment="0" applyProtection="0"/>
    <xf numFmtId="43" fontId="10" fillId="0" borderId="0" applyFont="0" applyFill="0" applyBorder="0" applyAlignment="0" applyProtection="0"/>
    <xf numFmtId="0" fontId="7" fillId="0" borderId="0"/>
    <xf numFmtId="43" fontId="21" fillId="0" borderId="0" applyFont="0" applyFill="0" applyBorder="0" applyAlignment="0" applyProtection="0"/>
    <xf numFmtId="43" fontId="10" fillId="0" borderId="0" applyFont="0" applyFill="0" applyBorder="0" applyAlignment="0" applyProtection="0"/>
    <xf numFmtId="0" fontId="7" fillId="0" borderId="0"/>
    <xf numFmtId="0" fontId="7" fillId="0" borderId="0"/>
    <xf numFmtId="0" fontId="4" fillId="0" borderId="0"/>
    <xf numFmtId="0" fontId="24" fillId="0" borderId="0"/>
    <xf numFmtId="0" fontId="7" fillId="0" borderId="0"/>
    <xf numFmtId="43" fontId="21" fillId="0" borderId="0" applyFont="0" applyFill="0" applyBorder="0" applyAlignment="0" applyProtection="0"/>
    <xf numFmtId="43" fontId="10" fillId="0" borderId="0" applyFont="0" applyFill="0" applyBorder="0" applyAlignment="0" applyProtection="0"/>
    <xf numFmtId="0" fontId="7" fillId="0" borderId="0"/>
    <xf numFmtId="0" fontId="11" fillId="0" borderId="0"/>
    <xf numFmtId="43" fontId="10" fillId="0" borderId="0" applyFont="0" applyFill="0" applyBorder="0" applyAlignment="0" applyProtection="0"/>
    <xf numFmtId="0" fontId="7" fillId="0" borderId="0"/>
    <xf numFmtId="43" fontId="21" fillId="0" borderId="0" applyFont="0" applyFill="0" applyBorder="0" applyAlignment="0" applyProtection="0"/>
    <xf numFmtId="43" fontId="10" fillId="0" borderId="0" applyFont="0" applyFill="0" applyBorder="0" applyAlignment="0" applyProtection="0"/>
    <xf numFmtId="0" fontId="7" fillId="0" borderId="0"/>
    <xf numFmtId="43" fontId="21" fillId="0" borderId="0" applyFont="0" applyFill="0" applyBorder="0" applyAlignment="0" applyProtection="0"/>
    <xf numFmtId="43" fontId="10" fillId="0" borderId="0" applyFont="0" applyFill="0" applyBorder="0" applyAlignment="0" applyProtection="0"/>
    <xf numFmtId="0" fontId="7" fillId="0" borderId="0"/>
    <xf numFmtId="0" fontId="7" fillId="0" borderId="0"/>
    <xf numFmtId="43" fontId="21" fillId="0" borderId="0" applyFont="0" applyFill="0" applyBorder="0" applyAlignment="0" applyProtection="0"/>
    <xf numFmtId="43" fontId="10" fillId="0" borderId="0" applyFont="0" applyFill="0" applyBorder="0" applyAlignment="0" applyProtection="0"/>
    <xf numFmtId="0" fontId="7" fillId="0" borderId="0"/>
    <xf numFmtId="43" fontId="21" fillId="0" borderId="0" applyFont="0" applyFill="0" applyBorder="0" applyAlignment="0" applyProtection="0"/>
    <xf numFmtId="43" fontId="10" fillId="0" borderId="0" applyFont="0" applyFill="0" applyBorder="0" applyAlignment="0" applyProtection="0"/>
    <xf numFmtId="0" fontId="7" fillId="0" borderId="0"/>
    <xf numFmtId="0" fontId="7" fillId="0" borderId="0"/>
    <xf numFmtId="0" fontId="7" fillId="0" borderId="0"/>
    <xf numFmtId="43" fontId="21" fillId="0" borderId="0" applyFont="0" applyFill="0" applyBorder="0" applyAlignment="0" applyProtection="0"/>
    <xf numFmtId="43" fontId="10" fillId="0" borderId="0" applyFont="0" applyFill="0" applyBorder="0" applyAlignment="0" applyProtection="0"/>
    <xf numFmtId="0" fontId="7" fillId="0" borderId="0"/>
    <xf numFmtId="43" fontId="10" fillId="0" borderId="0" applyFont="0" applyFill="0" applyBorder="0" applyAlignment="0" applyProtection="0"/>
    <xf numFmtId="0" fontId="7" fillId="0" borderId="0"/>
    <xf numFmtId="43" fontId="21"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43" fontId="3" fillId="0" borderId="0" applyFont="0" applyFill="0" applyBorder="0" applyAlignment="0" applyProtection="0"/>
    <xf numFmtId="0" fontId="10" fillId="0" borderId="0" applyBorder="0"/>
    <xf numFmtId="0" fontId="7" fillId="0" borderId="0"/>
    <xf numFmtId="0" fontId="7" fillId="0" borderId="0"/>
    <xf numFmtId="43" fontId="3" fillId="0" borderId="0" applyFont="0" applyFill="0" applyBorder="0" applyAlignment="0" applyProtection="0"/>
    <xf numFmtId="0" fontId="32" fillId="0" borderId="0" applyNumberFormat="0" applyFill="0" applyBorder="0" applyAlignment="0" applyProtection="0">
      <alignment vertical="top"/>
      <protection locked="0"/>
    </xf>
    <xf numFmtId="0" fontId="7" fillId="0" borderId="0"/>
    <xf numFmtId="0" fontId="2" fillId="0" borderId="0"/>
    <xf numFmtId="0" fontId="2" fillId="0" borderId="0"/>
    <xf numFmtId="0" fontId="36" fillId="0" borderId="0"/>
    <xf numFmtId="0" fontId="2" fillId="0" borderId="0"/>
    <xf numFmtId="0" fontId="2" fillId="0" borderId="0"/>
    <xf numFmtId="0" fontId="2" fillId="0" borderId="0"/>
    <xf numFmtId="0" fontId="2" fillId="0" borderId="0"/>
    <xf numFmtId="0" fontId="2" fillId="0" borderId="0"/>
    <xf numFmtId="0" fontId="7" fillId="0" borderId="0"/>
    <xf numFmtId="0" fontId="10" fillId="0" borderId="0"/>
    <xf numFmtId="0" fontId="2" fillId="0" borderId="0"/>
    <xf numFmtId="0" fontId="2" fillId="0" borderId="0"/>
    <xf numFmtId="168"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7" fillId="0" borderId="0"/>
  </cellStyleXfs>
  <cellXfs count="692">
    <xf numFmtId="0" fontId="0" fillId="0" borderId="0" xfId="0"/>
    <xf numFmtId="0" fontId="17" fillId="0" borderId="0" xfId="0" applyFont="1"/>
    <xf numFmtId="4" fontId="17" fillId="0" borderId="0" xfId="0" applyNumberFormat="1" applyFont="1"/>
    <xf numFmtId="0" fontId="16" fillId="0" borderId="0" xfId="0" applyFont="1" applyAlignment="1">
      <alignment horizontal="left"/>
    </xf>
    <xf numFmtId="0" fontId="8" fillId="0" borderId="0" xfId="0" applyFont="1"/>
    <xf numFmtId="0" fontId="16" fillId="0" borderId="0" xfId="0" applyFont="1"/>
    <xf numFmtId="3" fontId="17" fillId="0" borderId="0" xfId="0" applyNumberFormat="1" applyFont="1"/>
    <xf numFmtId="0" fontId="8" fillId="0" borderId="1" xfId="0" applyFont="1" applyBorder="1" applyAlignment="1">
      <alignment wrapText="1"/>
    </xf>
    <xf numFmtId="3" fontId="8" fillId="0" borderId="1" xfId="0" applyNumberFormat="1" applyFont="1" applyBorder="1"/>
    <xf numFmtId="0" fontId="8" fillId="0" borderId="1" xfId="0" applyFont="1" applyBorder="1"/>
    <xf numFmtId="3" fontId="18" fillId="0" borderId="1" xfId="0" applyNumberFormat="1" applyFont="1" applyBorder="1"/>
    <xf numFmtId="0" fontId="26" fillId="0" borderId="0" xfId="0" applyFont="1"/>
    <xf numFmtId="0" fontId="17" fillId="0" borderId="0" xfId="0" applyFont="1" applyAlignment="1">
      <alignment horizontal="right"/>
    </xf>
    <xf numFmtId="0" fontId="16" fillId="0" borderId="1" xfId="0" applyFont="1" applyBorder="1" applyAlignment="1">
      <alignment horizontal="center" vertical="center" wrapText="1"/>
    </xf>
    <xf numFmtId="0" fontId="19" fillId="0" borderId="0" xfId="0" applyFont="1" applyAlignment="1">
      <alignment horizontal="left"/>
    </xf>
    <xf numFmtId="3" fontId="28" fillId="5" borderId="1" xfId="0" applyNumberFormat="1" applyFont="1" applyFill="1" applyBorder="1" applyAlignment="1">
      <alignment horizontal="center" vertical="center"/>
    </xf>
    <xf numFmtId="0" fontId="16" fillId="0" borderId="0" xfId="0" applyFont="1" applyAlignment="1">
      <alignment vertical="center"/>
    </xf>
    <xf numFmtId="49" fontId="16" fillId="3" borderId="1" xfId="0" applyNumberFormat="1" applyFont="1" applyFill="1" applyBorder="1" applyAlignment="1">
      <alignment horizontal="center" vertical="center"/>
    </xf>
    <xf numFmtId="0" fontId="16" fillId="3" borderId="1" xfId="0" applyFont="1" applyFill="1" applyBorder="1" applyAlignment="1">
      <alignment horizontal="center" vertical="center" wrapText="1"/>
    </xf>
    <xf numFmtId="0" fontId="29" fillId="3" borderId="1" xfId="0" applyFont="1" applyFill="1" applyBorder="1" applyAlignment="1">
      <alignment horizontal="center"/>
    </xf>
    <xf numFmtId="49" fontId="8" fillId="0" borderId="1" xfId="0" applyNumberFormat="1" applyFont="1" applyBorder="1" applyAlignment="1">
      <alignment horizontal="center" vertical="center" wrapText="1"/>
    </xf>
    <xf numFmtId="0" fontId="8" fillId="0" borderId="1" xfId="0" applyFont="1" applyBorder="1" applyAlignment="1">
      <alignment horizontal="left" vertical="center" wrapText="1"/>
    </xf>
    <xf numFmtId="2" fontId="17" fillId="0" borderId="1" xfId="0" applyNumberFormat="1" applyFont="1" applyBorder="1" applyAlignment="1">
      <alignment horizontal="right"/>
    </xf>
    <xf numFmtId="9" fontId="17" fillId="0" borderId="1" xfId="0" applyNumberFormat="1" applyFont="1" applyBorder="1" applyAlignment="1">
      <alignment horizontal="right"/>
    </xf>
    <xf numFmtId="3" fontId="17" fillId="0" borderId="1" xfId="0" applyNumberFormat="1" applyFont="1" applyBorder="1" applyAlignment="1">
      <alignment horizontal="right"/>
    </xf>
    <xf numFmtId="4" fontId="17" fillId="0" borderId="1" xfId="0" applyNumberFormat="1" applyFont="1" applyBorder="1" applyAlignment="1">
      <alignment horizontal="right"/>
    </xf>
    <xf numFmtId="4" fontId="17" fillId="0" borderId="1" xfId="0" applyNumberFormat="1" applyFont="1" applyBorder="1" applyAlignment="1">
      <alignment horizontal="right" vertical="center"/>
    </xf>
    <xf numFmtId="0" fontId="17" fillId="0" borderId="1" xfId="0" applyFont="1" applyBorder="1" applyAlignment="1">
      <alignment horizontal="left" vertical="center" wrapText="1"/>
    </xf>
    <xf numFmtId="0" fontId="16" fillId="3" borderId="1" xfId="0" applyFont="1" applyFill="1" applyBorder="1" applyAlignment="1">
      <alignment horizontal="right"/>
    </xf>
    <xf numFmtId="3" fontId="16" fillId="3" borderId="1" xfId="0" applyNumberFormat="1" applyFont="1" applyFill="1" applyBorder="1" applyAlignment="1">
      <alignment horizontal="right"/>
    </xf>
    <xf numFmtId="4" fontId="16" fillId="3" borderId="1" xfId="0" applyNumberFormat="1" applyFont="1" applyFill="1" applyBorder="1" applyAlignment="1">
      <alignment horizontal="right"/>
    </xf>
    <xf numFmtId="4" fontId="16" fillId="3" borderId="1" xfId="0" applyNumberFormat="1" applyFont="1" applyFill="1" applyBorder="1" applyAlignment="1">
      <alignment horizontal="right" vertical="center"/>
    </xf>
    <xf numFmtId="4" fontId="16" fillId="0" borderId="0" xfId="0" applyNumberFormat="1" applyFont="1" applyAlignment="1">
      <alignment horizontal="right" vertical="center"/>
    </xf>
    <xf numFmtId="3" fontId="16" fillId="0" borderId="0" xfId="0" applyNumberFormat="1" applyFont="1" applyAlignment="1">
      <alignment vertical="center"/>
    </xf>
    <xf numFmtId="3" fontId="28" fillId="0" borderId="0" xfId="0" applyNumberFormat="1" applyFont="1" applyAlignment="1">
      <alignment horizontal="center" vertical="center"/>
    </xf>
    <xf numFmtId="3" fontId="28" fillId="2" borderId="1" xfId="0" applyNumberFormat="1" applyFont="1" applyFill="1" applyBorder="1" applyAlignment="1">
      <alignment horizontal="center" vertical="center"/>
    </xf>
    <xf numFmtId="3" fontId="16" fillId="0" borderId="0" xfId="0" applyNumberFormat="1" applyFont="1"/>
    <xf numFmtId="0" fontId="16" fillId="0" borderId="0" xfId="1" applyFont="1" applyAlignment="1">
      <alignment vertical="center"/>
    </xf>
    <xf numFmtId="0" fontId="17" fillId="0" borderId="0" xfId="67" applyFont="1"/>
    <xf numFmtId="4" fontId="17" fillId="0" borderId="0" xfId="67" applyNumberFormat="1" applyFont="1"/>
    <xf numFmtId="0" fontId="17" fillId="0" borderId="4" xfId="1" applyFont="1" applyBorder="1" applyAlignment="1">
      <alignment horizontal="center" vertical="center" wrapText="1"/>
    </xf>
    <xf numFmtId="0" fontId="8" fillId="0" borderId="1" xfId="1" applyFont="1" applyBorder="1" applyAlignment="1">
      <alignment horizontal="left" vertical="center" wrapText="1"/>
    </xf>
    <xf numFmtId="2" fontId="17" fillId="0" borderId="1" xfId="1" applyNumberFormat="1" applyFont="1" applyBorder="1" applyAlignment="1">
      <alignment horizontal="center" vertical="center"/>
    </xf>
    <xf numFmtId="2" fontId="17" fillId="0" borderId="1" xfId="1" applyNumberFormat="1" applyFont="1" applyBorder="1" applyAlignment="1">
      <alignment horizontal="center" vertical="center" wrapText="1"/>
    </xf>
    <xf numFmtId="0" fontId="17" fillId="0" borderId="1" xfId="1" applyFont="1" applyBorder="1" applyAlignment="1">
      <alignment horizontal="center" vertical="center" wrapText="1"/>
    </xf>
    <xf numFmtId="3" fontId="17" fillId="0" borderId="1" xfId="1" applyNumberFormat="1" applyFont="1" applyBorder="1" applyAlignment="1">
      <alignment horizontal="center" vertical="center" wrapText="1"/>
    </xf>
    <xf numFmtId="0" fontId="16" fillId="0" borderId="1" xfId="0" applyFont="1" applyBorder="1" applyAlignment="1">
      <alignment horizontal="center"/>
    </xf>
    <xf numFmtId="0" fontId="30" fillId="0" borderId="1" xfId="0" applyFont="1" applyBorder="1" applyAlignment="1">
      <alignment horizontal="center" vertical="center"/>
    </xf>
    <xf numFmtId="0" fontId="30" fillId="0" borderId="1" xfId="0" applyFont="1" applyBorder="1" applyAlignment="1">
      <alignment horizontal="left" vertical="center" wrapText="1"/>
    </xf>
    <xf numFmtId="0" fontId="30" fillId="0" borderId="1" xfId="0" applyFont="1" applyBorder="1"/>
    <xf numFmtId="169" fontId="30" fillId="0" borderId="1" xfId="0" applyNumberFormat="1" applyFont="1" applyBorder="1"/>
    <xf numFmtId="2" fontId="28" fillId="0" borderId="1" xfId="0" applyNumberFormat="1" applyFont="1" applyBorder="1" applyAlignment="1">
      <alignment horizontal="center" vertical="center"/>
    </xf>
    <xf numFmtId="0" fontId="17" fillId="0" borderId="0" xfId="1" applyFont="1" applyAlignment="1">
      <alignment horizontal="center" vertical="center" wrapText="1"/>
    </xf>
    <xf numFmtId="0" fontId="8" fillId="0" borderId="0" xfId="1" applyFont="1" applyAlignment="1">
      <alignment horizontal="left" vertical="center" wrapText="1"/>
    </xf>
    <xf numFmtId="2" fontId="17" fillId="0" borderId="0" xfId="1" applyNumberFormat="1" applyFont="1" applyAlignment="1">
      <alignment horizontal="center" vertical="center"/>
    </xf>
    <xf numFmtId="2" fontId="17" fillId="0" borderId="0" xfId="1" applyNumberFormat="1" applyFont="1" applyAlignment="1">
      <alignment horizontal="center" vertical="center" wrapText="1"/>
    </xf>
    <xf numFmtId="0" fontId="26" fillId="0" borderId="0" xfId="1" applyFont="1"/>
    <xf numFmtId="3" fontId="17" fillId="0" borderId="0" xfId="1" applyNumberFormat="1" applyFont="1" applyAlignment="1">
      <alignment horizontal="left" vertical="center" wrapText="1"/>
    </xf>
    <xf numFmtId="0" fontId="17" fillId="0" borderId="0" xfId="0" applyFont="1" applyAlignment="1">
      <alignment vertical="center"/>
    </xf>
    <xf numFmtId="0" fontId="17" fillId="4" borderId="1" xfId="0" applyFont="1" applyFill="1" applyBorder="1" applyAlignment="1">
      <alignment vertical="center"/>
    </xf>
    <xf numFmtId="1" fontId="17" fillId="0" borderId="1" xfId="0" applyNumberFormat="1" applyFont="1" applyBorder="1" applyAlignment="1">
      <alignment horizontal="right"/>
    </xf>
    <xf numFmtId="0" fontId="17" fillId="0" borderId="1" xfId="0" applyFont="1" applyBorder="1" applyAlignment="1">
      <alignment horizontal="left" vertical="center"/>
    </xf>
    <xf numFmtId="0" fontId="17" fillId="4" borderId="1" xfId="0" applyFont="1" applyFill="1" applyBorder="1" applyAlignment="1">
      <alignment vertical="center" wrapText="1"/>
    </xf>
    <xf numFmtId="0" fontId="16" fillId="0" borderId="1" xfId="0" applyFont="1" applyBorder="1" applyAlignment="1">
      <alignment horizontal="left" vertical="center"/>
    </xf>
    <xf numFmtId="2" fontId="16" fillId="3" borderId="1" xfId="1" applyNumberFormat="1" applyFont="1" applyFill="1" applyBorder="1" applyAlignment="1">
      <alignment horizontal="right" wrapText="1"/>
    </xf>
    <xf numFmtId="0" fontId="16" fillId="3" borderId="1" xfId="1" applyFont="1" applyFill="1" applyBorder="1" applyAlignment="1">
      <alignment horizontal="right" wrapText="1"/>
    </xf>
    <xf numFmtId="3" fontId="16" fillId="3" borderId="1" xfId="1" applyNumberFormat="1" applyFont="1" applyFill="1" applyBorder="1" applyAlignment="1">
      <alignment horizontal="right" wrapText="1"/>
    </xf>
    <xf numFmtId="0" fontId="17" fillId="0" borderId="0" xfId="0" applyFont="1" applyAlignment="1">
      <alignment horizontal="right" vertical="center"/>
    </xf>
    <xf numFmtId="3" fontId="17" fillId="0" borderId="0" xfId="0" applyNumberFormat="1" applyFont="1" applyAlignment="1">
      <alignment horizontal="right" vertical="center"/>
    </xf>
    <xf numFmtId="0" fontId="26" fillId="0" borderId="0" xfId="0" applyFont="1" applyAlignment="1">
      <alignment horizontal="center"/>
    </xf>
    <xf numFmtId="0" fontId="17" fillId="4" borderId="0" xfId="84" applyFont="1" applyFill="1"/>
    <xf numFmtId="0" fontId="17" fillId="3" borderId="1" xfId="84" applyFont="1" applyFill="1" applyBorder="1" applyAlignment="1">
      <alignment horizontal="center" vertical="center"/>
    </xf>
    <xf numFmtId="0" fontId="17" fillId="3" borderId="1" xfId="84" applyFont="1" applyFill="1" applyBorder="1" applyAlignment="1">
      <alignment horizontal="center" vertical="center" wrapText="1"/>
    </xf>
    <xf numFmtId="0" fontId="17" fillId="4" borderId="1" xfId="84" applyFont="1" applyFill="1" applyBorder="1" applyAlignment="1">
      <alignment horizontal="center" vertical="center" wrapText="1"/>
    </xf>
    <xf numFmtId="0" fontId="17" fillId="4" borderId="0" xfId="84" applyFont="1" applyFill="1" applyAlignment="1">
      <alignment vertical="center" wrapText="1"/>
    </xf>
    <xf numFmtId="0" fontId="17" fillId="4" borderId="0" xfId="84" applyFont="1" applyFill="1" applyAlignment="1">
      <alignment horizontal="right"/>
    </xf>
    <xf numFmtId="2" fontId="8" fillId="0" borderId="1" xfId="5" applyNumberFormat="1" applyFont="1" applyBorder="1" applyAlignment="1" applyProtection="1">
      <alignment horizontal="center" wrapText="1"/>
      <protection locked="0"/>
    </xf>
    <xf numFmtId="2" fontId="17" fillId="4" borderId="1" xfId="84" applyNumberFormat="1" applyFont="1" applyFill="1" applyBorder="1" applyAlignment="1">
      <alignment horizontal="center" vertical="center" wrapText="1"/>
    </xf>
    <xf numFmtId="0" fontId="17" fillId="4" borderId="1" xfId="84" applyFont="1" applyFill="1" applyBorder="1" applyAlignment="1">
      <alignment horizontal="center" vertical="center"/>
    </xf>
    <xf numFmtId="2" fontId="8" fillId="4" borderId="1" xfId="84" applyNumberFormat="1" applyFont="1" applyFill="1" applyBorder="1" applyAlignment="1" applyProtection="1">
      <alignment horizontal="center" vertical="center" wrapText="1"/>
      <protection locked="0"/>
    </xf>
    <xf numFmtId="0" fontId="30" fillId="0" borderId="0" xfId="0" applyFont="1"/>
    <xf numFmtId="0" fontId="17" fillId="4" borderId="1" xfId="78" applyFont="1" applyFill="1" applyBorder="1" applyAlignment="1">
      <alignment horizontal="center" vertical="center" wrapText="1"/>
    </xf>
    <xf numFmtId="0" fontId="8" fillId="4" borderId="1" xfId="78" applyFont="1" applyFill="1" applyBorder="1" applyAlignment="1">
      <alignment horizontal="left" vertical="center" wrapText="1"/>
    </xf>
    <xf numFmtId="43" fontId="8" fillId="11" borderId="1" xfId="77" applyNumberFormat="1" applyFont="1" applyFill="1" applyBorder="1" applyAlignment="1">
      <alignment horizontal="center" vertical="center"/>
    </xf>
    <xf numFmtId="0" fontId="19" fillId="8" borderId="1" xfId="77" applyFont="1" applyFill="1" applyBorder="1" applyAlignment="1">
      <alignment horizontal="center" vertical="center"/>
    </xf>
    <xf numFmtId="2" fontId="18" fillId="0" borderId="1" xfId="5" applyNumberFormat="1" applyFont="1" applyBorder="1" applyAlignment="1" applyProtection="1">
      <alignment horizontal="center" wrapText="1"/>
      <protection locked="0"/>
    </xf>
    <xf numFmtId="0" fontId="8" fillId="0" borderId="1" xfId="78" applyFont="1" applyBorder="1" applyAlignment="1">
      <alignment horizontal="center" vertical="center"/>
    </xf>
    <xf numFmtId="0" fontId="8" fillId="11" borderId="1" xfId="77" applyFont="1" applyFill="1" applyBorder="1" applyAlignment="1">
      <alignment horizontal="center" vertical="center"/>
    </xf>
    <xf numFmtId="165" fontId="18" fillId="0" borderId="0" xfId="10" applyNumberFormat="1" applyFont="1" applyAlignment="1">
      <alignment horizontal="center"/>
    </xf>
    <xf numFmtId="0" fontId="8" fillId="4" borderId="1" xfId="81" applyFont="1" applyFill="1" applyBorder="1" applyAlignment="1" applyProtection="1">
      <alignment horizontal="center" vertical="center" wrapText="1"/>
      <protection locked="0"/>
    </xf>
    <xf numFmtId="2" fontId="8" fillId="11" borderId="1" xfId="77" applyNumberFormat="1" applyFont="1" applyFill="1" applyBorder="1" applyAlignment="1">
      <alignment horizontal="center" vertical="center"/>
    </xf>
    <xf numFmtId="2" fontId="8" fillId="4" borderId="1" xfId="81" applyNumberFormat="1" applyFont="1" applyFill="1" applyBorder="1" applyAlignment="1">
      <alignment horizontal="center" vertical="center"/>
    </xf>
    <xf numFmtId="2" fontId="8" fillId="4" borderId="1" xfId="81" applyNumberFormat="1" applyFont="1" applyFill="1" applyBorder="1" applyAlignment="1" applyProtection="1">
      <alignment horizontal="center" vertical="center" wrapText="1"/>
      <protection locked="0"/>
    </xf>
    <xf numFmtId="0" fontId="8" fillId="0" borderId="0" xfId="10" applyFont="1"/>
    <xf numFmtId="43" fontId="18" fillId="0" borderId="0" xfId="10" applyNumberFormat="1" applyFont="1"/>
    <xf numFmtId="0" fontId="19" fillId="8" borderId="0" xfId="77" applyFont="1" applyFill="1" applyAlignment="1">
      <alignment horizontal="center" vertical="center"/>
    </xf>
    <xf numFmtId="2" fontId="18" fillId="8" borderId="0" xfId="77" applyNumberFormat="1" applyFont="1" applyFill="1" applyAlignment="1">
      <alignment horizontal="center"/>
    </xf>
    <xf numFmtId="0" fontId="20" fillId="7" borderId="1" xfId="77" applyFont="1" applyFill="1" applyBorder="1" applyAlignment="1">
      <alignment horizontal="center"/>
    </xf>
    <xf numFmtId="0" fontId="20" fillId="7" borderId="1" xfId="77" applyFont="1" applyFill="1" applyBorder="1" applyAlignment="1">
      <alignment horizontal="center" vertical="center"/>
    </xf>
    <xf numFmtId="0" fontId="20" fillId="7" borderId="1" xfId="77" applyFont="1" applyFill="1" applyBorder="1" applyAlignment="1">
      <alignment horizontal="center" vertical="center" wrapText="1"/>
    </xf>
    <xf numFmtId="2" fontId="18" fillId="8" borderId="1" xfId="77" applyNumberFormat="1" applyFont="1" applyFill="1" applyBorder="1" applyAlignment="1">
      <alignment horizontal="center" vertical="center"/>
    </xf>
    <xf numFmtId="0" fontId="20" fillId="8" borderId="0" xfId="77" applyFont="1" applyFill="1" applyAlignment="1">
      <alignment horizontal="center" vertical="center"/>
    </xf>
    <xf numFmtId="0" fontId="20" fillId="8" borderId="0" xfId="77" applyFont="1" applyFill="1" applyAlignment="1">
      <alignment horizontal="center" vertical="center" wrapText="1"/>
    </xf>
    <xf numFmtId="43" fontId="8" fillId="8" borderId="0" xfId="77" applyNumberFormat="1" applyFont="1" applyFill="1" applyAlignment="1">
      <alignment horizontal="center" vertical="center"/>
    </xf>
    <xf numFmtId="2" fontId="8" fillId="8" borderId="0" xfId="77" applyNumberFormat="1" applyFont="1" applyFill="1" applyAlignment="1">
      <alignment horizontal="center"/>
    </xf>
    <xf numFmtId="0" fontId="17" fillId="0" borderId="0" xfId="78" applyFont="1"/>
    <xf numFmtId="0" fontId="20" fillId="7" borderId="1" xfId="77" applyFont="1" applyFill="1" applyBorder="1"/>
    <xf numFmtId="0" fontId="20" fillId="11" borderId="0" xfId="77" applyFont="1" applyFill="1"/>
    <xf numFmtId="0" fontId="20" fillId="8" borderId="0" xfId="77" applyFont="1" applyFill="1"/>
    <xf numFmtId="43" fontId="8" fillId="11" borderId="1" xfId="77" applyNumberFormat="1" applyFont="1" applyFill="1" applyBorder="1"/>
    <xf numFmtId="43" fontId="20" fillId="8" borderId="0" xfId="77" applyNumberFormat="1" applyFont="1" applyFill="1"/>
    <xf numFmtId="43" fontId="17" fillId="4" borderId="0" xfId="78" applyNumberFormat="1" applyFont="1" applyFill="1"/>
    <xf numFmtId="2" fontId="20" fillId="8" borderId="0" xfId="77" applyNumberFormat="1" applyFont="1" applyFill="1"/>
    <xf numFmtId="0" fontId="19" fillId="8" borderId="1" xfId="77" applyFont="1" applyFill="1" applyBorder="1" applyAlignment="1">
      <alignment vertical="center"/>
    </xf>
    <xf numFmtId="43" fontId="19" fillId="8" borderId="1" xfId="77" applyNumberFormat="1" applyFont="1" applyFill="1" applyBorder="1" applyAlignment="1">
      <alignment vertical="center"/>
    </xf>
    <xf numFmtId="0" fontId="19" fillId="8" borderId="0" xfId="77" applyFont="1" applyFill="1" applyAlignment="1">
      <alignment vertical="center"/>
    </xf>
    <xf numFmtId="43" fontId="19" fillId="8" borderId="0" xfId="77" applyNumberFormat="1" applyFont="1" applyFill="1" applyAlignment="1">
      <alignment vertical="center"/>
    </xf>
    <xf numFmtId="0" fontId="20" fillId="11" borderId="0" xfId="77" applyFont="1" applyFill="1" applyAlignment="1">
      <alignment horizontal="right"/>
    </xf>
    <xf numFmtId="0" fontId="17" fillId="4" borderId="0" xfId="77" applyFont="1" applyFill="1"/>
    <xf numFmtId="43" fontId="17" fillId="4" borderId="0" xfId="77" applyNumberFormat="1" applyFont="1" applyFill="1"/>
    <xf numFmtId="0" fontId="17" fillId="4" borderId="1" xfId="77" applyFont="1" applyFill="1" applyBorder="1" applyAlignment="1">
      <alignment horizontal="center" vertical="center" wrapText="1"/>
    </xf>
    <xf numFmtId="0" fontId="17" fillId="4" borderId="0" xfId="77" applyFont="1" applyFill="1" applyAlignment="1">
      <alignment vertical="center" wrapText="1"/>
    </xf>
    <xf numFmtId="0" fontId="17" fillId="4" borderId="0" xfId="77" applyFont="1" applyFill="1" applyAlignment="1">
      <alignment horizontal="right"/>
    </xf>
    <xf numFmtId="2" fontId="17" fillId="4" borderId="1" xfId="77" applyNumberFormat="1" applyFont="1" applyFill="1" applyBorder="1" applyAlignment="1">
      <alignment horizontal="center" vertical="center" wrapText="1"/>
    </xf>
    <xf numFmtId="0" fontId="17" fillId="3" borderId="1" xfId="77" applyFont="1" applyFill="1" applyBorder="1" applyAlignment="1">
      <alignment horizontal="center" vertical="center" wrapText="1"/>
    </xf>
    <xf numFmtId="0" fontId="17" fillId="3" borderId="1" xfId="77" applyFont="1" applyFill="1" applyBorder="1"/>
    <xf numFmtId="0" fontId="17" fillId="3" borderId="1" xfId="77" applyFont="1" applyFill="1" applyBorder="1" applyAlignment="1">
      <alignment horizontal="center"/>
    </xf>
    <xf numFmtId="0" fontId="17" fillId="3" borderId="1" xfId="79" applyFont="1" applyFill="1" applyBorder="1" applyAlignment="1">
      <alignment horizontal="center" vertical="center" wrapText="1"/>
    </xf>
    <xf numFmtId="0" fontId="17" fillId="3" borderId="1" xfId="77" applyFont="1" applyFill="1" applyBorder="1" applyAlignment="1">
      <alignment horizontal="center" wrapText="1"/>
    </xf>
    <xf numFmtId="0" fontId="17" fillId="3" borderId="1" xfId="77" applyFont="1" applyFill="1" applyBorder="1" applyAlignment="1">
      <alignment horizontal="center" vertical="center"/>
    </xf>
    <xf numFmtId="0" fontId="8" fillId="4" borderId="1" xfId="80" applyFont="1" applyFill="1" applyBorder="1" applyAlignment="1" applyProtection="1">
      <alignment vertical="center" wrapText="1"/>
      <protection locked="0"/>
    </xf>
    <xf numFmtId="2" fontId="8" fillId="4" borderId="1" xfId="77" applyNumberFormat="1" applyFont="1" applyFill="1" applyBorder="1" applyAlignment="1" applyProtection="1">
      <alignment horizontal="center" vertical="center" wrapText="1"/>
      <protection locked="0"/>
    </xf>
    <xf numFmtId="0" fontId="8" fillId="4" borderId="1" xfId="77" applyFont="1" applyFill="1" applyBorder="1" applyAlignment="1" applyProtection="1">
      <alignment horizontal="center" vertical="center" wrapText="1"/>
      <protection locked="0"/>
    </xf>
    <xf numFmtId="2" fontId="16" fillId="3" borderId="1" xfId="77" applyNumberFormat="1" applyFont="1" applyFill="1" applyBorder="1" applyAlignment="1">
      <alignment horizontal="center" vertical="center"/>
    </xf>
    <xf numFmtId="2" fontId="17" fillId="4" borderId="1" xfId="77" applyNumberFormat="1" applyFont="1" applyFill="1" applyBorder="1" applyAlignment="1">
      <alignment horizontal="center" vertical="center"/>
    </xf>
    <xf numFmtId="0" fontId="17" fillId="4" borderId="1" xfId="77" applyFont="1" applyFill="1" applyBorder="1" applyAlignment="1">
      <alignment horizontal="center" vertical="center"/>
    </xf>
    <xf numFmtId="0" fontId="8" fillId="11" borderId="0" xfId="77" applyFont="1" applyFill="1" applyAlignment="1">
      <alignment vertical="center"/>
    </xf>
    <xf numFmtId="0" fontId="8" fillId="11" borderId="0" xfId="77" applyFont="1" applyFill="1"/>
    <xf numFmtId="3" fontId="20" fillId="7" borderId="1" xfId="77" applyNumberFormat="1" applyFont="1" applyFill="1" applyBorder="1" applyAlignment="1">
      <alignment horizontal="center" vertical="center" wrapText="1"/>
    </xf>
    <xf numFmtId="3" fontId="20" fillId="7" borderId="3" xfId="77" applyNumberFormat="1" applyFont="1" applyFill="1" applyBorder="1" applyAlignment="1">
      <alignment horizontal="center" vertical="center" wrapText="1"/>
    </xf>
    <xf numFmtId="49" fontId="8" fillId="0" borderId="11" xfId="5" applyNumberFormat="1" applyFont="1" applyBorder="1" applyAlignment="1">
      <alignment vertical="center" wrapText="1"/>
    </xf>
    <xf numFmtId="2" fontId="8" fillId="11" borderId="12" xfId="77" applyNumberFormat="1" applyFont="1" applyFill="1" applyBorder="1" applyAlignment="1">
      <alignment horizontal="center" vertical="center" wrapText="1"/>
    </xf>
    <xf numFmtId="2" fontId="8" fillId="11" borderId="4" xfId="77" applyNumberFormat="1" applyFont="1" applyFill="1" applyBorder="1" applyAlignment="1">
      <alignment horizontal="center" vertical="center" wrapText="1"/>
    </xf>
    <xf numFmtId="164" fontId="8" fillId="11" borderId="8" xfId="82" applyNumberFormat="1" applyFont="1" applyFill="1" applyBorder="1" applyAlignment="1">
      <alignment horizontal="center" vertical="center"/>
    </xf>
    <xf numFmtId="164" fontId="8" fillId="11" borderId="4" xfId="82" applyNumberFormat="1" applyFont="1" applyFill="1" applyBorder="1" applyAlignment="1">
      <alignment horizontal="center" vertical="center"/>
    </xf>
    <xf numFmtId="43" fontId="18" fillId="11" borderId="4" xfId="82" applyFont="1" applyFill="1" applyBorder="1" applyAlignment="1">
      <alignment horizontal="center" vertical="center" wrapText="1"/>
    </xf>
    <xf numFmtId="0" fontId="8" fillId="0" borderId="4" xfId="77" applyFont="1" applyBorder="1" applyAlignment="1">
      <alignment horizontal="center" vertical="center"/>
    </xf>
    <xf numFmtId="0" fontId="8" fillId="4" borderId="4" xfId="77" applyFont="1" applyFill="1" applyBorder="1" applyAlignment="1">
      <alignment horizontal="center" wrapText="1"/>
    </xf>
    <xf numFmtId="0" fontId="8" fillId="0" borderId="4" xfId="77" applyFont="1" applyBorder="1" applyAlignment="1">
      <alignment vertical="center" wrapText="1"/>
    </xf>
    <xf numFmtId="165" fontId="8" fillId="0" borderId="1" xfId="77" applyNumberFormat="1" applyFont="1" applyBorder="1" applyAlignment="1">
      <alignment vertical="center" wrapText="1"/>
    </xf>
    <xf numFmtId="2" fontId="8" fillId="0" borderId="1" xfId="77" applyNumberFormat="1" applyFont="1" applyBorder="1" applyAlignment="1">
      <alignment vertical="center" wrapText="1"/>
    </xf>
    <xf numFmtId="43" fontId="18" fillId="0" borderId="1" xfId="82" applyFont="1" applyFill="1" applyBorder="1" applyAlignment="1">
      <alignment horizontal="center" vertical="center"/>
    </xf>
    <xf numFmtId="43" fontId="8" fillId="0" borderId="0" xfId="82" applyFont="1" applyFill="1" applyBorder="1"/>
    <xf numFmtId="0" fontId="15" fillId="8" borderId="0" xfId="77" applyFont="1" applyFill="1"/>
    <xf numFmtId="0" fontId="8" fillId="8" borderId="0" xfId="77" applyFont="1" applyFill="1"/>
    <xf numFmtId="0" fontId="15" fillId="11" borderId="0" xfId="77" applyFont="1" applyFill="1"/>
    <xf numFmtId="0" fontId="25" fillId="11" borderId="0" xfId="77" applyFont="1" applyFill="1"/>
    <xf numFmtId="4" fontId="17" fillId="0" borderId="1" xfId="0" applyNumberFormat="1" applyFont="1" applyBorder="1"/>
    <xf numFmtId="4" fontId="17" fillId="0" borderId="1" xfId="0" applyNumberFormat="1" applyFont="1" applyBorder="1" applyAlignment="1">
      <alignment horizontal="center" vertical="center"/>
    </xf>
    <xf numFmtId="0" fontId="17" fillId="4" borderId="0" xfId="84" applyFont="1" applyFill="1" applyAlignment="1">
      <alignment horizontal="left"/>
    </xf>
    <xf numFmtId="4" fontId="18" fillId="5" borderId="1" xfId="88" applyNumberFormat="1" applyFont="1" applyFill="1" applyBorder="1" applyAlignment="1">
      <alignment horizontal="center"/>
    </xf>
    <xf numFmtId="164" fontId="8" fillId="0" borderId="1" xfId="2" applyNumberFormat="1" applyFont="1" applyBorder="1"/>
    <xf numFmtId="164" fontId="18" fillId="0" borderId="1" xfId="2" applyNumberFormat="1" applyFont="1" applyBorder="1"/>
    <xf numFmtId="0" fontId="15" fillId="8" borderId="0" xfId="10" applyFont="1" applyFill="1" applyAlignment="1">
      <alignment horizontal="center" vertical="center" wrapText="1"/>
    </xf>
    <xf numFmtId="2" fontId="17" fillId="4" borderId="0" xfId="77" applyNumberFormat="1" applyFont="1" applyFill="1"/>
    <xf numFmtId="164" fontId="17" fillId="4" borderId="0" xfId="77" applyNumberFormat="1" applyFont="1" applyFill="1"/>
    <xf numFmtId="0" fontId="8" fillId="8" borderId="0" xfId="10" applyFont="1" applyFill="1" applyAlignment="1">
      <alignment horizontal="left" vertical="center" wrapText="1"/>
    </xf>
    <xf numFmtId="0" fontId="18" fillId="8" borderId="0" xfId="10" applyFont="1" applyFill="1" applyAlignment="1">
      <alignment horizontal="center" vertical="center" wrapText="1"/>
    </xf>
    <xf numFmtId="0" fontId="20" fillId="4" borderId="0" xfId="78" applyFont="1" applyFill="1" applyAlignment="1">
      <alignment vertical="center" wrapText="1"/>
    </xf>
    <xf numFmtId="0" fontId="20" fillId="4" borderId="0" xfId="78" applyFont="1" applyFill="1" applyAlignment="1">
      <alignment horizontal="center" vertical="center" wrapText="1"/>
    </xf>
    <xf numFmtId="0" fontId="17" fillId="4" borderId="0" xfId="78" applyFont="1" applyFill="1"/>
    <xf numFmtId="43" fontId="8" fillId="4" borderId="0" xfId="83" applyNumberFormat="1" applyFont="1" applyFill="1" applyBorder="1"/>
    <xf numFmtId="165" fontId="8" fillId="4" borderId="0" xfId="83" applyNumberFormat="1" applyFont="1" applyFill="1" applyBorder="1"/>
    <xf numFmtId="3" fontId="17" fillId="4" borderId="0" xfId="78" applyNumberFormat="1" applyFont="1" applyFill="1"/>
    <xf numFmtId="3" fontId="15" fillId="4" borderId="0" xfId="10" applyNumberFormat="1" applyFont="1" applyFill="1" applyAlignment="1">
      <alignment horizontal="center" vertical="center" wrapText="1"/>
    </xf>
    <xf numFmtId="0" fontId="8" fillId="0" borderId="0" xfId="78" applyFont="1"/>
    <xf numFmtId="0" fontId="8" fillId="4" borderId="1" xfId="0" applyFont="1" applyFill="1" applyBorder="1"/>
    <xf numFmtId="164" fontId="8" fillId="0" borderId="0" xfId="0" applyNumberFormat="1" applyFont="1"/>
    <xf numFmtId="0" fontId="18" fillId="0" borderId="0" xfId="0" applyFont="1"/>
    <xf numFmtId="0" fontId="17" fillId="4" borderId="0" xfId="0" applyFont="1" applyFill="1"/>
    <xf numFmtId="0" fontId="28" fillId="0" borderId="0" xfId="0" applyFont="1" applyAlignment="1">
      <alignment horizontal="center" vertical="center" wrapText="1"/>
    </xf>
    <xf numFmtId="0" fontId="17" fillId="0" borderId="1" xfId="0" applyFont="1" applyBorder="1" applyAlignment="1">
      <alignment horizontal="left"/>
    </xf>
    <xf numFmtId="43" fontId="18" fillId="5" borderId="1" xfId="84" applyNumberFormat="1" applyFont="1" applyFill="1" applyBorder="1" applyAlignment="1">
      <alignment horizontal="center" vertical="center"/>
    </xf>
    <xf numFmtId="0" fontId="8" fillId="0" borderId="1" xfId="97" applyFont="1" applyBorder="1" applyAlignment="1">
      <alignment horizontal="left" vertical="center" wrapText="1"/>
    </xf>
    <xf numFmtId="0" fontId="8" fillId="11" borderId="1" xfId="84" applyFont="1" applyFill="1" applyBorder="1" applyAlignment="1" applyProtection="1">
      <alignment horizontal="center" vertical="center" wrapText="1"/>
      <protection locked="0"/>
    </xf>
    <xf numFmtId="0" fontId="8" fillId="4" borderId="1" xfId="84" applyFont="1" applyFill="1" applyBorder="1" applyAlignment="1" applyProtection="1">
      <alignment horizontal="center" vertical="center" wrapText="1"/>
      <protection locked="0"/>
    </xf>
    <xf numFmtId="0" fontId="8" fillId="4" borderId="1" xfId="84" applyFont="1" applyFill="1" applyBorder="1" applyAlignment="1">
      <alignment horizontal="center" vertical="center"/>
    </xf>
    <xf numFmtId="0" fontId="8" fillId="0" borderId="1" xfId="88" applyFont="1" applyBorder="1" applyAlignment="1">
      <alignment horizontal="center" vertical="center"/>
    </xf>
    <xf numFmtId="49" fontId="8" fillId="0" borderId="1" xfId="5" applyNumberFormat="1" applyFont="1" applyBorder="1" applyAlignment="1">
      <alignment horizontal="left" vertical="center" wrapText="1"/>
    </xf>
    <xf numFmtId="3" fontId="17" fillId="3" borderId="1" xfId="84" applyNumberFormat="1" applyFont="1" applyFill="1" applyBorder="1" applyAlignment="1">
      <alignment horizontal="center" vertical="center" wrapText="1"/>
    </xf>
    <xf numFmtId="3" fontId="17" fillId="3" borderId="3" xfId="84" applyNumberFormat="1" applyFont="1" applyFill="1" applyBorder="1" applyAlignment="1">
      <alignment horizontal="center" vertical="center" wrapText="1"/>
    </xf>
    <xf numFmtId="49" fontId="8" fillId="0" borderId="10" xfId="5" applyNumberFormat="1" applyFont="1" applyBorder="1" applyAlignment="1">
      <alignment horizontal="center" vertical="center" wrapText="1"/>
    </xf>
    <xf numFmtId="164" fontId="8" fillId="4" borderId="3" xfId="82" applyNumberFormat="1" applyFont="1" applyFill="1" applyBorder="1" applyAlignment="1">
      <alignment vertical="center" wrapText="1"/>
    </xf>
    <xf numFmtId="164" fontId="8" fillId="4" borderId="8" xfId="82" applyNumberFormat="1" applyFont="1" applyFill="1" applyBorder="1" applyAlignment="1">
      <alignment horizontal="center" vertical="center"/>
    </xf>
    <xf numFmtId="43" fontId="18" fillId="4" borderId="4" xfId="82" applyFont="1" applyFill="1" applyBorder="1" applyAlignment="1">
      <alignment horizontal="center" vertical="center" wrapText="1"/>
    </xf>
    <xf numFmtId="0" fontId="8" fillId="0" borderId="4" xfId="84" applyFont="1" applyBorder="1" applyAlignment="1">
      <alignment horizontal="center" vertical="center"/>
    </xf>
    <xf numFmtId="0" fontId="8" fillId="0" borderId="4" xfId="84" applyFont="1" applyBorder="1" applyAlignment="1">
      <alignment horizontal="center" wrapText="1"/>
    </xf>
    <xf numFmtId="0" fontId="8" fillId="0" borderId="4" xfId="84" applyFont="1" applyBorder="1" applyAlignment="1">
      <alignment vertical="center" wrapText="1"/>
    </xf>
    <xf numFmtId="164" fontId="8" fillId="4" borderId="1" xfId="82" applyNumberFormat="1" applyFont="1" applyFill="1" applyBorder="1" applyAlignment="1">
      <alignment horizontal="center" vertical="center"/>
    </xf>
    <xf numFmtId="3" fontId="28" fillId="4" borderId="0" xfId="0" applyNumberFormat="1" applyFont="1" applyFill="1" applyAlignment="1">
      <alignment horizontal="center" vertical="center"/>
    </xf>
    <xf numFmtId="0" fontId="17" fillId="3" borderId="4" xfId="84" applyFont="1" applyFill="1" applyBorder="1" applyAlignment="1">
      <alignment horizontal="center" vertical="center"/>
    </xf>
    <xf numFmtId="0" fontId="17" fillId="0" borderId="0" xfId="0" applyFont="1" applyAlignment="1">
      <alignment horizontal="left" vertical="center" wrapText="1"/>
    </xf>
    <xf numFmtId="0" fontId="17" fillId="3" borderId="4" xfId="84" applyFont="1" applyFill="1" applyBorder="1" applyAlignment="1">
      <alignment horizontal="center" vertical="center" wrapText="1"/>
    </xf>
    <xf numFmtId="0" fontId="30" fillId="0" borderId="16" xfId="0" applyFont="1" applyBorder="1" applyAlignment="1">
      <alignment horizontal="center" vertical="center" wrapText="1"/>
    </xf>
    <xf numFmtId="0" fontId="30" fillId="0" borderId="16" xfId="0" applyFont="1" applyBorder="1" applyAlignment="1">
      <alignment horizontal="center" vertical="center"/>
    </xf>
    <xf numFmtId="0" fontId="30" fillId="0" borderId="17" xfId="0" applyFont="1" applyBorder="1" applyAlignment="1">
      <alignment horizontal="center" vertical="center"/>
    </xf>
    <xf numFmtId="0" fontId="30" fillId="4" borderId="20" xfId="0" applyFont="1" applyFill="1" applyBorder="1" applyAlignment="1">
      <alignment horizontal="center" vertical="center" wrapText="1"/>
    </xf>
    <xf numFmtId="0" fontId="31" fillId="0" borderId="4" xfId="0" applyFont="1" applyBorder="1" applyAlignment="1">
      <alignment horizontal="justify" vertical="center" wrapText="1"/>
    </xf>
    <xf numFmtId="4" fontId="31" fillId="0" borderId="4" xfId="0" applyNumberFormat="1" applyFont="1" applyBorder="1" applyAlignment="1">
      <alignment vertical="center"/>
    </xf>
    <xf numFmtId="4" fontId="31" fillId="4" borderId="21" xfId="0" applyNumberFormat="1" applyFont="1" applyFill="1" applyBorder="1" applyAlignment="1">
      <alignment vertical="center"/>
    </xf>
    <xf numFmtId="4" fontId="31" fillId="0" borderId="21" xfId="0" applyNumberFormat="1" applyFont="1" applyBorder="1" applyAlignment="1">
      <alignment vertical="center"/>
    </xf>
    <xf numFmtId="4" fontId="31" fillId="4" borderId="22" xfId="0" applyNumberFormat="1" applyFont="1" applyFill="1" applyBorder="1" applyAlignment="1">
      <alignment vertical="center"/>
    </xf>
    <xf numFmtId="4" fontId="31" fillId="4" borderId="20" xfId="0" applyNumberFormat="1" applyFont="1" applyFill="1" applyBorder="1" applyAlignment="1">
      <alignment vertical="center"/>
    </xf>
    <xf numFmtId="0" fontId="30" fillId="4" borderId="23" xfId="0" applyFont="1" applyFill="1" applyBorder="1" applyAlignment="1">
      <alignment horizontal="center" vertical="center" wrapText="1"/>
    </xf>
    <xf numFmtId="0" fontId="31" fillId="0" borderId="1" xfId="0" applyFont="1" applyBorder="1" applyAlignment="1">
      <alignment horizontal="justify" vertical="center" wrapText="1"/>
    </xf>
    <xf numFmtId="4" fontId="31" fillId="4" borderId="1" xfId="0" applyNumberFormat="1" applyFont="1" applyFill="1" applyBorder="1" applyAlignment="1">
      <alignment vertical="center"/>
    </xf>
    <xf numFmtId="4" fontId="31" fillId="4" borderId="24" xfId="0" applyNumberFormat="1" applyFont="1" applyFill="1" applyBorder="1" applyAlignment="1">
      <alignment vertical="center"/>
    </xf>
    <xf numFmtId="4" fontId="31" fillId="0" borderId="24" xfId="0" applyNumberFormat="1" applyFont="1" applyBorder="1" applyAlignment="1">
      <alignment vertical="center"/>
    </xf>
    <xf numFmtId="4" fontId="31" fillId="4" borderId="5" xfId="0" applyNumberFormat="1" applyFont="1" applyFill="1" applyBorder="1" applyAlignment="1">
      <alignment vertical="center"/>
    </xf>
    <xf numFmtId="4" fontId="31" fillId="4" borderId="23" xfId="0" applyNumberFormat="1" applyFont="1" applyFill="1" applyBorder="1" applyAlignment="1">
      <alignment vertical="center"/>
    </xf>
    <xf numFmtId="2" fontId="31" fillId="0" borderId="1" xfId="0" applyNumberFormat="1" applyFont="1" applyBorder="1"/>
    <xf numFmtId="0" fontId="31" fillId="4" borderId="1" xfId="0" applyFont="1" applyFill="1" applyBorder="1" applyAlignment="1">
      <alignment horizontal="justify" vertical="center" wrapText="1"/>
    </xf>
    <xf numFmtId="0" fontId="31" fillId="0" borderId="1" xfId="0" applyFont="1" applyBorder="1"/>
    <xf numFmtId="0" fontId="31" fillId="0" borderId="1" xfId="0" applyFont="1" applyBorder="1" applyAlignment="1">
      <alignment vertical="center" wrapText="1"/>
    </xf>
    <xf numFmtId="0" fontId="31" fillId="4" borderId="1" xfId="0" applyFont="1" applyFill="1" applyBorder="1" applyAlignment="1">
      <alignment vertical="center" wrapText="1"/>
    </xf>
    <xf numFmtId="4" fontId="31" fillId="4" borderId="25" xfId="0" applyNumberFormat="1" applyFont="1" applyFill="1" applyBorder="1" applyAlignment="1">
      <alignment vertical="center"/>
    </xf>
    <xf numFmtId="4" fontId="31" fillId="4" borderId="19" xfId="0" applyNumberFormat="1" applyFont="1" applyFill="1" applyBorder="1" applyAlignment="1">
      <alignment vertical="center"/>
    </xf>
    <xf numFmtId="4" fontId="31" fillId="4" borderId="18" xfId="0" applyNumberFormat="1" applyFont="1" applyFill="1" applyBorder="1" applyAlignment="1">
      <alignment vertical="center"/>
    </xf>
    <xf numFmtId="0" fontId="28" fillId="10" borderId="27" xfId="0" applyFont="1" applyFill="1" applyBorder="1" applyAlignment="1">
      <alignment horizontal="right" vertical="center" wrapText="1"/>
    </xf>
    <xf numFmtId="0" fontId="28" fillId="10" borderId="28" xfId="0" applyFont="1" applyFill="1" applyBorder="1" applyAlignment="1">
      <alignment horizontal="right" vertical="center" wrapText="1"/>
    </xf>
    <xf numFmtId="4" fontId="28" fillId="10" borderId="28" xfId="0" applyNumberFormat="1" applyFont="1" applyFill="1" applyBorder="1" applyAlignment="1">
      <alignment vertical="center"/>
    </xf>
    <xf numFmtId="4" fontId="28" fillId="10" borderId="29" xfId="0" applyNumberFormat="1" applyFont="1" applyFill="1" applyBorder="1" applyAlignment="1">
      <alignment vertical="center"/>
    </xf>
    <xf numFmtId="4" fontId="28" fillId="10" borderId="30" xfId="0" applyNumberFormat="1" applyFont="1" applyFill="1" applyBorder="1" applyAlignment="1">
      <alignment vertical="center"/>
    </xf>
    <xf numFmtId="4" fontId="28" fillId="4" borderId="27" xfId="0" applyNumberFormat="1" applyFont="1" applyFill="1" applyBorder="1" applyAlignment="1">
      <alignment vertical="center"/>
    </xf>
    <xf numFmtId="4" fontId="28" fillId="4" borderId="29" xfId="0" applyNumberFormat="1" applyFont="1" applyFill="1" applyBorder="1" applyAlignment="1">
      <alignment vertical="center"/>
    </xf>
    <xf numFmtId="2" fontId="30" fillId="4" borderId="27" xfId="0" applyNumberFormat="1" applyFont="1" applyFill="1" applyBorder="1" applyAlignment="1">
      <alignment vertical="center"/>
    </xf>
    <xf numFmtId="2" fontId="30" fillId="4" borderId="29" xfId="0" applyNumberFormat="1" applyFont="1" applyFill="1" applyBorder="1" applyAlignment="1">
      <alignment vertical="center"/>
    </xf>
    <xf numFmtId="0" fontId="30" fillId="4" borderId="4" xfId="0" applyFont="1" applyFill="1" applyBorder="1" applyAlignment="1">
      <alignment vertical="center" wrapText="1"/>
    </xf>
    <xf numFmtId="4" fontId="30" fillId="4" borderId="4" xfId="0" applyNumberFormat="1" applyFont="1" applyFill="1" applyBorder="1" applyAlignment="1">
      <alignment vertical="center"/>
    </xf>
    <xf numFmtId="4" fontId="30" fillId="4" borderId="21" xfId="0" applyNumberFormat="1" applyFont="1" applyFill="1" applyBorder="1" applyAlignment="1">
      <alignment vertical="center"/>
    </xf>
    <xf numFmtId="0" fontId="30" fillId="4" borderId="1" xfId="0" applyFont="1" applyFill="1" applyBorder="1" applyAlignment="1">
      <alignment vertical="center" wrapText="1"/>
    </xf>
    <xf numFmtId="4" fontId="30" fillId="4" borderId="1" xfId="0" applyNumberFormat="1" applyFont="1" applyFill="1" applyBorder="1" applyAlignment="1">
      <alignment vertical="center"/>
    </xf>
    <xf numFmtId="4" fontId="30" fillId="4" borderId="24" xfId="0" applyNumberFormat="1" applyFont="1" applyFill="1" applyBorder="1" applyAlignment="1">
      <alignment vertical="center"/>
    </xf>
    <xf numFmtId="0" fontId="30" fillId="0" borderId="31" xfId="0" applyFont="1" applyBorder="1" applyAlignment="1">
      <alignment horizontal="center" vertical="center" wrapText="1"/>
    </xf>
    <xf numFmtId="0" fontId="30" fillId="0" borderId="13" xfId="0" applyFont="1" applyBorder="1" applyAlignment="1">
      <alignment horizontal="justify" vertical="center" wrapText="1"/>
    </xf>
    <xf numFmtId="4" fontId="30" fillId="0" borderId="13" xfId="0" applyNumberFormat="1" applyFont="1" applyBorder="1" applyAlignment="1">
      <alignment vertical="center"/>
    </xf>
    <xf numFmtId="4" fontId="30" fillId="0" borderId="32" xfId="0" applyNumberFormat="1" applyFont="1" applyBorder="1" applyAlignment="1">
      <alignment vertical="center"/>
    </xf>
    <xf numFmtId="0" fontId="30" fillId="4" borderId="18" xfId="0" applyFont="1" applyFill="1" applyBorder="1" applyAlignment="1">
      <alignment horizontal="center" vertical="center" wrapText="1"/>
    </xf>
    <xf numFmtId="0" fontId="30" fillId="4" borderId="25" xfId="0" applyFont="1" applyFill="1" applyBorder="1" applyAlignment="1">
      <alignment horizontal="justify" vertical="center" wrapText="1"/>
    </xf>
    <xf numFmtId="4" fontId="31" fillId="4" borderId="34" xfId="0" applyNumberFormat="1" applyFont="1" applyFill="1" applyBorder="1" applyAlignment="1">
      <alignment vertical="center"/>
    </xf>
    <xf numFmtId="4" fontId="31" fillId="0" borderId="34" xfId="0" applyNumberFormat="1" applyFont="1" applyBorder="1" applyAlignment="1">
      <alignment vertical="center"/>
    </xf>
    <xf numFmtId="4" fontId="31" fillId="0" borderId="35" xfId="0" applyNumberFormat="1" applyFont="1" applyBorder="1" applyAlignment="1">
      <alignment vertical="center"/>
    </xf>
    <xf numFmtId="172" fontId="28" fillId="0" borderId="0" xfId="0" applyNumberFormat="1" applyFont="1" applyAlignment="1">
      <alignment vertical="center"/>
    </xf>
    <xf numFmtId="0" fontId="31" fillId="4" borderId="4" xfId="0" applyFont="1" applyFill="1" applyBorder="1" applyAlignment="1">
      <alignment horizontal="justify" vertical="center" wrapText="1"/>
    </xf>
    <xf numFmtId="4" fontId="31" fillId="4" borderId="4" xfId="0" applyNumberFormat="1" applyFont="1" applyFill="1" applyBorder="1" applyAlignment="1">
      <alignment vertical="center"/>
    </xf>
    <xf numFmtId="4" fontId="31" fillId="0" borderId="1" xfId="0" applyNumberFormat="1" applyFont="1" applyBorder="1" applyAlignment="1">
      <alignment vertical="center"/>
    </xf>
    <xf numFmtId="0" fontId="30" fillId="4" borderId="36" xfId="0" applyFont="1" applyFill="1" applyBorder="1" applyAlignment="1">
      <alignment horizontal="center" vertical="center" wrapText="1"/>
    </xf>
    <xf numFmtId="0" fontId="31" fillId="4" borderId="8" xfId="0" applyFont="1" applyFill="1" applyBorder="1" applyAlignment="1">
      <alignment horizontal="justify" vertical="center" wrapText="1"/>
    </xf>
    <xf numFmtId="4" fontId="31" fillId="4" borderId="8" xfId="0" applyNumberFormat="1" applyFont="1" applyFill="1" applyBorder="1" applyAlignment="1">
      <alignment vertical="center"/>
    </xf>
    <xf numFmtId="4" fontId="31" fillId="4" borderId="37" xfId="0" applyNumberFormat="1" applyFont="1" applyFill="1" applyBorder="1" applyAlignment="1">
      <alignment vertical="center"/>
    </xf>
    <xf numFmtId="4" fontId="28" fillId="0" borderId="29" xfId="0" applyNumberFormat="1" applyFont="1" applyBorder="1" applyAlignment="1">
      <alignment vertical="center"/>
    </xf>
    <xf numFmtId="173" fontId="28" fillId="0" borderId="1" xfId="0" applyNumberFormat="1" applyFont="1" applyBorder="1" applyAlignment="1">
      <alignment vertical="center"/>
    </xf>
    <xf numFmtId="173" fontId="28" fillId="4" borderId="1" xfId="0" applyNumberFormat="1" applyFont="1" applyFill="1" applyBorder="1" applyAlignment="1">
      <alignment vertical="center"/>
    </xf>
    <xf numFmtId="173" fontId="28" fillId="0" borderId="38" xfId="0" applyNumberFormat="1" applyFont="1" applyBorder="1" applyAlignment="1">
      <alignment vertical="center"/>
    </xf>
    <xf numFmtId="0" fontId="33" fillId="0" borderId="0" xfId="0" applyFont="1"/>
    <xf numFmtId="171" fontId="34" fillId="3" borderId="1" xfId="0" applyNumberFormat="1" applyFont="1" applyFill="1" applyBorder="1" applyAlignment="1">
      <alignment horizontal="center" vertical="center"/>
    </xf>
    <xf numFmtId="2" fontId="30" fillId="0" borderId="0" xfId="0" applyNumberFormat="1" applyFont="1"/>
    <xf numFmtId="4" fontId="30" fillId="0" borderId="0" xfId="0" applyNumberFormat="1" applyFont="1"/>
    <xf numFmtId="0" fontId="30" fillId="0" borderId="5" xfId="0" applyFont="1" applyBorder="1"/>
    <xf numFmtId="0" fontId="30" fillId="0" borderId="6" xfId="0" applyFont="1" applyBorder="1"/>
    <xf numFmtId="0" fontId="30" fillId="0" borderId="3" xfId="0" applyFont="1" applyBorder="1"/>
    <xf numFmtId="0" fontId="28" fillId="3" borderId="1" xfId="0" applyFont="1" applyFill="1" applyBorder="1" applyAlignment="1">
      <alignment horizontal="center" vertical="center" wrapText="1"/>
    </xf>
    <xf numFmtId="4" fontId="28" fillId="3" borderId="29" xfId="0" applyNumberFormat="1" applyFont="1" applyFill="1" applyBorder="1" applyAlignment="1">
      <alignment vertical="center"/>
    </xf>
    <xf numFmtId="2" fontId="30" fillId="3" borderId="29" xfId="0" applyNumberFormat="1" applyFont="1" applyFill="1" applyBorder="1" applyAlignment="1">
      <alignment vertical="center"/>
    </xf>
    <xf numFmtId="0" fontId="28" fillId="3" borderId="27" xfId="0" applyFont="1" applyFill="1" applyBorder="1" applyAlignment="1">
      <alignment horizontal="center" vertical="center" wrapText="1"/>
    </xf>
    <xf numFmtId="0" fontId="28" fillId="3" borderId="28" xfId="0" applyFont="1" applyFill="1" applyBorder="1" applyAlignment="1">
      <alignment horizontal="center" vertical="center" wrapText="1"/>
    </xf>
    <xf numFmtId="2" fontId="30" fillId="3" borderId="28" xfId="0" applyNumberFormat="1" applyFont="1" applyFill="1" applyBorder="1" applyAlignment="1">
      <alignment vertical="center"/>
    </xf>
    <xf numFmtId="2" fontId="30" fillId="3" borderId="30" xfId="0" applyNumberFormat="1" applyFont="1" applyFill="1" applyBorder="1" applyAlignment="1">
      <alignment vertical="center"/>
    </xf>
    <xf numFmtId="0" fontId="28" fillId="3" borderId="27" xfId="0" applyFont="1" applyFill="1" applyBorder="1" applyAlignment="1">
      <alignment horizontal="right" vertical="center" wrapText="1"/>
    </xf>
    <xf numFmtId="4" fontId="28" fillId="3" borderId="28" xfId="0" applyNumberFormat="1" applyFont="1" applyFill="1" applyBorder="1" applyAlignment="1">
      <alignment vertical="center"/>
    </xf>
    <xf numFmtId="4" fontId="28" fillId="3" borderId="30" xfId="0" applyNumberFormat="1" applyFont="1" applyFill="1" applyBorder="1" applyAlignment="1">
      <alignment vertical="center"/>
    </xf>
    <xf numFmtId="0" fontId="17" fillId="0" borderId="1" xfId="4" applyFont="1" applyBorder="1" applyAlignment="1">
      <alignment horizontal="left" vertical="center"/>
    </xf>
    <xf numFmtId="166" fontId="16" fillId="0" borderId="0" xfId="4" applyNumberFormat="1" applyFont="1" applyAlignment="1">
      <alignment horizontal="center" vertical="center"/>
    </xf>
    <xf numFmtId="166" fontId="16" fillId="0" borderId="0" xfId="4" applyNumberFormat="1" applyFont="1" applyAlignment="1">
      <alignment vertical="center"/>
    </xf>
    <xf numFmtId="0" fontId="15" fillId="0" borderId="0" xfId="4" applyFont="1" applyAlignment="1">
      <alignment horizontal="center" vertical="center"/>
    </xf>
    <xf numFmtId="0" fontId="15" fillId="0" borderId="0" xfId="4" applyFont="1" applyAlignment="1">
      <alignment vertical="center"/>
    </xf>
    <xf numFmtId="0" fontId="17" fillId="0" borderId="0" xfId="4" applyFont="1" applyAlignment="1">
      <alignment horizontal="center" vertical="center"/>
    </xf>
    <xf numFmtId="0" fontId="17" fillId="0" borderId="0" xfId="4" applyFont="1" applyAlignment="1">
      <alignment vertical="center"/>
    </xf>
    <xf numFmtId="0" fontId="17" fillId="3" borderId="1" xfId="4" applyFont="1" applyFill="1" applyBorder="1" applyAlignment="1">
      <alignment horizontal="center" vertical="center" wrapText="1"/>
    </xf>
    <xf numFmtId="0" fontId="17" fillId="0" borderId="0" xfId="0" applyFont="1" applyAlignment="1">
      <alignment horizontal="center" vertical="center"/>
    </xf>
    <xf numFmtId="170" fontId="17" fillId="0" borderId="1" xfId="0" applyNumberFormat="1" applyFont="1" applyBorder="1"/>
    <xf numFmtId="0" fontId="16" fillId="0" borderId="0" xfId="0" applyFont="1" applyAlignment="1">
      <alignment horizontal="center" vertical="center"/>
    </xf>
    <xf numFmtId="4" fontId="16" fillId="0" borderId="1" xfId="0" applyNumberFormat="1" applyFont="1" applyBorder="1" applyAlignment="1">
      <alignment horizontal="center" vertical="center"/>
    </xf>
    <xf numFmtId="0" fontId="38" fillId="3" borderId="1" xfId="0" applyFont="1" applyFill="1" applyBorder="1" applyAlignment="1">
      <alignment horizontal="center" vertical="center" wrapText="1"/>
    </xf>
    <xf numFmtId="0" fontId="17" fillId="0" borderId="0" xfId="0" applyFont="1" applyAlignment="1">
      <alignment horizontal="left"/>
    </xf>
    <xf numFmtId="49" fontId="27" fillId="0" borderId="15" xfId="5" applyNumberFormat="1" applyFont="1" applyBorder="1" applyAlignment="1">
      <alignment horizontal="center" vertical="center" wrapText="1"/>
    </xf>
    <xf numFmtId="2" fontId="8" fillId="0" borderId="1" xfId="88" applyNumberFormat="1" applyFont="1" applyBorder="1" applyAlignment="1">
      <alignment horizontal="center" vertical="center"/>
    </xf>
    <xf numFmtId="4" fontId="16" fillId="3" borderId="1" xfId="0" applyNumberFormat="1" applyFont="1" applyFill="1" applyBorder="1" applyAlignment="1">
      <alignment horizontal="center" vertical="center"/>
    </xf>
    <xf numFmtId="4" fontId="16" fillId="5" borderId="1" xfId="0" applyNumberFormat="1" applyFont="1" applyFill="1" applyBorder="1" applyAlignment="1">
      <alignment horizontal="center" vertical="center"/>
    </xf>
    <xf numFmtId="0" fontId="8" fillId="0" borderId="0" xfId="4" applyFont="1" applyAlignment="1">
      <alignment vertical="center" wrapText="1"/>
    </xf>
    <xf numFmtId="170" fontId="17" fillId="0" borderId="8" xfId="0" applyNumberFormat="1" applyFont="1" applyBorder="1"/>
    <xf numFmtId="166" fontId="17" fillId="0" borderId="1" xfId="4" applyNumberFormat="1" applyFont="1" applyBorder="1" applyAlignment="1">
      <alignment horizontal="center" vertical="center" wrapText="1"/>
    </xf>
    <xf numFmtId="0" fontId="8" fillId="0" borderId="1" xfId="4" applyFont="1" applyBorder="1" applyAlignment="1">
      <alignment horizontal="center" vertical="center" wrapText="1"/>
    </xf>
    <xf numFmtId="0" fontId="41" fillId="0" borderId="1" xfId="0" applyFont="1" applyBorder="1" applyAlignment="1">
      <alignment horizontal="center" vertical="center" wrapText="1"/>
    </xf>
    <xf numFmtId="2" fontId="8" fillId="11" borderId="1" xfId="77" applyNumberFormat="1" applyFont="1" applyFill="1" applyBorder="1" applyAlignment="1">
      <alignment horizontal="right" vertical="center"/>
    </xf>
    <xf numFmtId="2" fontId="18" fillId="8" borderId="0" xfId="77" applyNumberFormat="1" applyFont="1" applyFill="1" applyAlignment="1">
      <alignment horizontal="center" vertical="center"/>
    </xf>
    <xf numFmtId="0" fontId="17" fillId="0" borderId="0" xfId="84" applyFont="1"/>
    <xf numFmtId="0" fontId="16" fillId="4" borderId="0" xfId="84" applyFont="1" applyFill="1"/>
    <xf numFmtId="165" fontId="17" fillId="4" borderId="1" xfId="84" applyNumberFormat="1" applyFont="1" applyFill="1" applyBorder="1"/>
    <xf numFmtId="0" fontId="17" fillId="5" borderId="1" xfId="84" applyFont="1" applyFill="1" applyBorder="1" applyAlignment="1">
      <alignment horizontal="center" vertical="center" wrapText="1"/>
    </xf>
    <xf numFmtId="0" fontId="17" fillId="5" borderId="1" xfId="84" applyFont="1" applyFill="1" applyBorder="1"/>
    <xf numFmtId="0" fontId="17" fillId="5" borderId="1" xfId="84" applyFont="1" applyFill="1" applyBorder="1" applyAlignment="1">
      <alignment horizontal="center"/>
    </xf>
    <xf numFmtId="0" fontId="17" fillId="5" borderId="1" xfId="85" applyFont="1" applyFill="1" applyBorder="1" applyAlignment="1">
      <alignment horizontal="center" vertical="center" wrapText="1"/>
    </xf>
    <xf numFmtId="0" fontId="17" fillId="5" borderId="1" xfId="84" applyFont="1" applyFill="1" applyBorder="1" applyAlignment="1">
      <alignment horizontal="center" wrapText="1"/>
    </xf>
    <xf numFmtId="0" fontId="41" fillId="0" borderId="1" xfId="0" applyFont="1" applyBorder="1" applyAlignment="1">
      <alignment horizontal="right" vertical="center" wrapText="1"/>
    </xf>
    <xf numFmtId="0" fontId="8" fillId="0" borderId="1" xfId="88" applyFont="1" applyBorder="1" applyAlignment="1">
      <alignment horizontal="left" vertical="center" wrapText="1"/>
    </xf>
    <xf numFmtId="0" fontId="18" fillId="3" borderId="1" xfId="0" applyFont="1" applyFill="1" applyBorder="1"/>
    <xf numFmtId="164" fontId="8" fillId="0" borderId="1" xfId="0" applyNumberFormat="1" applyFont="1" applyBorder="1"/>
    <xf numFmtId="164" fontId="18" fillId="4" borderId="1" xfId="0" applyNumberFormat="1" applyFont="1" applyFill="1" applyBorder="1"/>
    <xf numFmtId="0" fontId="8" fillId="0" borderId="0" xfId="0" applyFont="1" applyAlignment="1">
      <alignment horizontal="right"/>
    </xf>
    <xf numFmtId="164" fontId="18" fillId="0" borderId="1" xfId="0" applyNumberFormat="1" applyFont="1" applyBorder="1"/>
    <xf numFmtId="0" fontId="17" fillId="4" borderId="14" xfId="84" applyFont="1" applyFill="1" applyBorder="1"/>
    <xf numFmtId="0" fontId="8" fillId="3" borderId="1" xfId="4" applyFont="1" applyFill="1" applyBorder="1" applyAlignment="1">
      <alignment horizontal="center" vertical="center" wrapText="1"/>
    </xf>
    <xf numFmtId="0" fontId="8" fillId="3" borderId="1" xfId="0" applyFont="1" applyFill="1" applyBorder="1" applyAlignment="1">
      <alignment horizontal="center" vertical="center" wrapText="1"/>
    </xf>
    <xf numFmtId="0" fontId="42" fillId="0" borderId="0" xfId="0" applyFont="1" applyAlignment="1">
      <alignment vertical="center" wrapText="1"/>
    </xf>
    <xf numFmtId="0" fontId="8" fillId="3" borderId="1" xfId="0" applyFont="1" applyFill="1" applyBorder="1"/>
    <xf numFmtId="0" fontId="20" fillId="11" borderId="0" xfId="77" applyFont="1" applyFill="1" applyAlignment="1">
      <alignment vertical="center"/>
    </xf>
    <xf numFmtId="0" fontId="43" fillId="0" borderId="0" xfId="0" applyFont="1" applyAlignment="1">
      <alignment horizontal="justify" vertical="center"/>
    </xf>
    <xf numFmtId="49" fontId="8" fillId="3" borderId="1" xfId="5" applyNumberFormat="1" applyFont="1" applyFill="1" applyBorder="1" applyAlignment="1">
      <alignment horizontal="center" vertical="center" wrapText="1"/>
    </xf>
    <xf numFmtId="49" fontId="8" fillId="3" borderId="1" xfId="5" applyNumberFormat="1" applyFont="1" applyFill="1" applyBorder="1" applyAlignment="1">
      <alignment horizontal="left" vertical="center" wrapText="1"/>
    </xf>
    <xf numFmtId="2" fontId="17" fillId="4" borderId="1" xfId="84" applyNumberFormat="1" applyFont="1" applyFill="1" applyBorder="1" applyAlignment="1">
      <alignment horizontal="center" vertical="center"/>
    </xf>
    <xf numFmtId="2" fontId="16" fillId="3" borderId="1" xfId="84" applyNumberFormat="1" applyFont="1" applyFill="1" applyBorder="1" applyAlignment="1">
      <alignment horizontal="center" vertical="center"/>
    </xf>
    <xf numFmtId="0" fontId="16" fillId="4" borderId="1" xfId="88" applyFont="1" applyFill="1" applyBorder="1" applyAlignment="1">
      <alignment horizontal="center" vertical="center" wrapText="1"/>
    </xf>
    <xf numFmtId="3" fontId="16" fillId="14" borderId="1" xfId="0" applyNumberFormat="1" applyFont="1" applyFill="1" applyBorder="1" applyAlignment="1">
      <alignment horizontal="center" vertical="center"/>
    </xf>
    <xf numFmtId="0" fontId="44" fillId="0" borderId="0" xfId="0" applyFont="1"/>
    <xf numFmtId="0" fontId="45" fillId="0" borderId="0" xfId="0" applyFont="1"/>
    <xf numFmtId="0" fontId="48" fillId="3" borderId="1" xfId="0" applyFont="1" applyFill="1" applyBorder="1" applyAlignment="1">
      <alignment horizontal="center" vertical="center" wrapText="1"/>
    </xf>
    <xf numFmtId="0" fontId="26" fillId="0" borderId="0" xfId="0" applyFont="1" applyAlignment="1">
      <alignment horizontal="center" vertical="center" wrapText="1"/>
    </xf>
    <xf numFmtId="0" fontId="48" fillId="0" borderId="0" xfId="0" applyFont="1" applyAlignment="1">
      <alignment horizontal="center" vertical="center" wrapText="1"/>
    </xf>
    <xf numFmtId="171" fontId="26" fillId="0" borderId="0" xfId="0" applyNumberFormat="1" applyFont="1" applyAlignment="1">
      <alignment horizontal="center" vertical="center"/>
    </xf>
    <xf numFmtId="0" fontId="46" fillId="0" borderId="0" xfId="0" applyFont="1"/>
    <xf numFmtId="171" fontId="49" fillId="0" borderId="0" xfId="0" applyNumberFormat="1" applyFont="1" applyAlignment="1">
      <alignment horizontal="center" vertical="center"/>
    </xf>
    <xf numFmtId="0" fontId="47" fillId="0" borderId="0" xfId="0" applyFont="1"/>
    <xf numFmtId="0" fontId="31" fillId="4" borderId="8" xfId="0" applyFont="1" applyFill="1" applyBorder="1" applyAlignment="1">
      <alignment vertical="center" wrapText="1"/>
    </xf>
    <xf numFmtId="4" fontId="31" fillId="0" borderId="37" xfId="0" applyNumberFormat="1" applyFont="1" applyBorder="1" applyAlignment="1">
      <alignment vertical="center"/>
    </xf>
    <xf numFmtId="4" fontId="31" fillId="4" borderId="39" xfId="0" applyNumberFormat="1" applyFont="1" applyFill="1" applyBorder="1" applyAlignment="1">
      <alignment vertical="center"/>
    </xf>
    <xf numFmtId="4" fontId="31" fillId="4" borderId="36" xfId="0" applyNumberFormat="1" applyFont="1" applyFill="1" applyBorder="1" applyAlignment="1">
      <alignment vertical="center"/>
    </xf>
    <xf numFmtId="0" fontId="30" fillId="4" borderId="31" xfId="0" applyFont="1" applyFill="1" applyBorder="1" applyAlignment="1">
      <alignment horizontal="center" vertical="center" wrapText="1"/>
    </xf>
    <xf numFmtId="4" fontId="31" fillId="0" borderId="32" xfId="0" applyNumberFormat="1" applyFont="1" applyBorder="1" applyAlignment="1">
      <alignment vertical="center"/>
    </xf>
    <xf numFmtId="4" fontId="31" fillId="4" borderId="32" xfId="0" applyNumberFormat="1" applyFont="1" applyFill="1" applyBorder="1" applyAlignment="1">
      <alignment vertical="center"/>
    </xf>
    <xf numFmtId="4" fontId="31" fillId="4" borderId="14" xfId="0" applyNumberFormat="1" applyFont="1" applyFill="1" applyBorder="1" applyAlignment="1">
      <alignment vertical="center"/>
    </xf>
    <xf numFmtId="4" fontId="31" fillId="4" borderId="31" xfId="0" applyNumberFormat="1" applyFont="1" applyFill="1" applyBorder="1" applyAlignment="1">
      <alignment vertical="center"/>
    </xf>
    <xf numFmtId="0" fontId="39" fillId="8" borderId="8" xfId="0" applyFont="1" applyFill="1" applyBorder="1" applyAlignment="1">
      <alignment horizontal="justify" vertical="center" wrapText="1"/>
    </xf>
    <xf numFmtId="4" fontId="31" fillId="4" borderId="40" xfId="0" applyNumberFormat="1" applyFont="1" applyFill="1" applyBorder="1" applyAlignment="1">
      <alignment vertical="center"/>
    </xf>
    <xf numFmtId="4" fontId="31" fillId="4" borderId="41" xfId="0" applyNumberFormat="1" applyFont="1" applyFill="1" applyBorder="1" applyAlignment="1">
      <alignment vertical="center"/>
    </xf>
    <xf numFmtId="2" fontId="30" fillId="4" borderId="42" xfId="0" applyNumberFormat="1" applyFont="1" applyFill="1" applyBorder="1" applyAlignment="1">
      <alignment vertical="center"/>
    </xf>
    <xf numFmtId="2" fontId="30" fillId="4" borderId="44" xfId="0" applyNumberFormat="1" applyFont="1" applyFill="1" applyBorder="1" applyAlignment="1">
      <alignment vertical="center"/>
    </xf>
    <xf numFmtId="0" fontId="28" fillId="13" borderId="42" xfId="0" applyFont="1" applyFill="1" applyBorder="1" applyAlignment="1">
      <alignment horizontal="center" vertical="center" wrapText="1"/>
    </xf>
    <xf numFmtId="0" fontId="28" fillId="13" borderId="43" xfId="0" applyFont="1" applyFill="1" applyBorder="1" applyAlignment="1">
      <alignment horizontal="center" vertical="center" wrapText="1"/>
    </xf>
    <xf numFmtId="2" fontId="30" fillId="13" borderId="43" xfId="0" applyNumberFormat="1" applyFont="1" applyFill="1" applyBorder="1" applyAlignment="1">
      <alignment vertical="center"/>
    </xf>
    <xf numFmtId="2" fontId="30" fillId="13" borderId="44" xfId="0" applyNumberFormat="1" applyFont="1" applyFill="1" applyBorder="1" applyAlignment="1">
      <alignment vertical="center"/>
    </xf>
    <xf numFmtId="2" fontId="30" fillId="13" borderId="45" xfId="0" applyNumberFormat="1" applyFont="1" applyFill="1" applyBorder="1" applyAlignment="1">
      <alignment vertical="center"/>
    </xf>
    <xf numFmtId="0" fontId="28" fillId="13" borderId="43" xfId="0" applyFont="1" applyFill="1" applyBorder="1" applyAlignment="1">
      <alignment horizontal="right" vertical="center" wrapText="1"/>
    </xf>
    <xf numFmtId="2" fontId="28" fillId="13" borderId="43" xfId="0" applyNumberFormat="1" applyFont="1" applyFill="1" applyBorder="1" applyAlignment="1">
      <alignment vertical="center"/>
    </xf>
    <xf numFmtId="2" fontId="28" fillId="13" borderId="44" xfId="0" applyNumberFormat="1" applyFont="1" applyFill="1" applyBorder="1" applyAlignment="1">
      <alignment vertical="center"/>
    </xf>
    <xf numFmtId="2" fontId="28" fillId="13" borderId="45" xfId="0" applyNumberFormat="1" applyFont="1" applyFill="1" applyBorder="1" applyAlignment="1">
      <alignment vertical="center"/>
    </xf>
    <xf numFmtId="2" fontId="28" fillId="4" borderId="42" xfId="0" applyNumberFormat="1" applyFont="1" applyFill="1" applyBorder="1" applyAlignment="1">
      <alignment vertical="center"/>
    </xf>
    <xf numFmtId="2" fontId="28" fillId="4" borderId="44" xfId="0" applyNumberFormat="1" applyFont="1" applyFill="1" applyBorder="1" applyAlignment="1">
      <alignment vertical="center"/>
    </xf>
    <xf numFmtId="0" fontId="28" fillId="10" borderId="46" xfId="0" applyFont="1" applyFill="1" applyBorder="1" applyAlignment="1">
      <alignment horizontal="right" vertical="center" wrapText="1"/>
    </xf>
    <xf numFmtId="0" fontId="28" fillId="10" borderId="47" xfId="0" applyFont="1" applyFill="1" applyBorder="1" applyAlignment="1">
      <alignment horizontal="right" vertical="center" wrapText="1"/>
    </xf>
    <xf numFmtId="4" fontId="28" fillId="10" borderId="47" xfId="0" applyNumberFormat="1" applyFont="1" applyFill="1" applyBorder="1" applyAlignment="1">
      <alignment vertical="center"/>
    </xf>
    <xf numFmtId="4" fontId="28" fillId="10" borderId="48" xfId="0" applyNumberFormat="1" applyFont="1" applyFill="1" applyBorder="1" applyAlignment="1">
      <alignment vertical="center"/>
    </xf>
    <xf numFmtId="4" fontId="28" fillId="10" borderId="49" xfId="0" applyNumberFormat="1" applyFont="1" applyFill="1" applyBorder="1" applyAlignment="1">
      <alignment vertical="center"/>
    </xf>
    <xf numFmtId="4" fontId="28" fillId="4" borderId="46" xfId="0" applyNumberFormat="1" applyFont="1" applyFill="1" applyBorder="1" applyAlignment="1">
      <alignment vertical="center"/>
    </xf>
    <xf numFmtId="4" fontId="28" fillId="4" borderId="48" xfId="0" applyNumberFormat="1" applyFont="1" applyFill="1" applyBorder="1" applyAlignment="1">
      <alignment vertical="center"/>
    </xf>
    <xf numFmtId="0" fontId="28" fillId="13" borderId="46" xfId="0" applyFont="1" applyFill="1" applyBorder="1" applyAlignment="1">
      <alignment horizontal="center" vertical="center" wrapText="1"/>
    </xf>
    <xf numFmtId="0" fontId="28" fillId="13" borderId="47" xfId="0" applyFont="1" applyFill="1" applyBorder="1" applyAlignment="1">
      <alignment horizontal="right" vertical="center" wrapText="1"/>
    </xf>
    <xf numFmtId="2" fontId="28" fillId="13" borderId="47" xfId="0" applyNumberFormat="1" applyFont="1" applyFill="1" applyBorder="1" applyAlignment="1">
      <alignment vertical="center"/>
    </xf>
    <xf numFmtId="2" fontId="28" fillId="13" borderId="48" xfId="0" applyNumberFormat="1" applyFont="1" applyFill="1" applyBorder="1" applyAlignment="1">
      <alignment vertical="center"/>
    </xf>
    <xf numFmtId="2" fontId="28" fillId="13" borderId="49" xfId="0" applyNumberFormat="1" applyFont="1" applyFill="1" applyBorder="1" applyAlignment="1">
      <alignment vertical="center"/>
    </xf>
    <xf numFmtId="2" fontId="28" fillId="4" borderId="46" xfId="0" applyNumberFormat="1" applyFont="1" applyFill="1" applyBorder="1" applyAlignment="1">
      <alignment vertical="center"/>
    </xf>
    <xf numFmtId="2" fontId="28" fillId="4" borderId="48" xfId="0" applyNumberFormat="1" applyFont="1" applyFill="1" applyBorder="1" applyAlignment="1">
      <alignment vertical="center"/>
    </xf>
    <xf numFmtId="0" fontId="30" fillId="4" borderId="4" xfId="0" applyFont="1" applyFill="1" applyBorder="1" applyAlignment="1">
      <alignment horizontal="justify" vertical="center" wrapText="1"/>
    </xf>
    <xf numFmtId="2" fontId="31" fillId="0" borderId="50" xfId="0" applyNumberFormat="1" applyFont="1" applyBorder="1"/>
    <xf numFmtId="4" fontId="31" fillId="4" borderId="51" xfId="0" applyNumberFormat="1" applyFont="1" applyFill="1" applyBorder="1" applyAlignment="1">
      <alignment vertical="center"/>
    </xf>
    <xf numFmtId="4" fontId="31" fillId="0" borderId="51" xfId="0" applyNumberFormat="1" applyFont="1" applyBorder="1" applyAlignment="1">
      <alignment vertical="center"/>
    </xf>
    <xf numFmtId="4" fontId="31" fillId="0" borderId="52" xfId="0" applyNumberFormat="1" applyFont="1" applyBorder="1" applyAlignment="1">
      <alignment vertical="center"/>
    </xf>
    <xf numFmtId="173" fontId="28" fillId="0" borderId="4" xfId="0" applyNumberFormat="1" applyFont="1" applyBorder="1" applyAlignment="1">
      <alignment vertical="center"/>
    </xf>
    <xf numFmtId="173" fontId="28" fillId="4" borderId="4" xfId="0" applyNumberFormat="1" applyFont="1" applyFill="1" applyBorder="1" applyAlignment="1">
      <alignment vertical="center"/>
    </xf>
    <xf numFmtId="0" fontId="28" fillId="3" borderId="28" xfId="0" applyFont="1" applyFill="1" applyBorder="1" applyAlignment="1">
      <alignment horizontal="right" vertical="center" wrapText="1"/>
    </xf>
    <xf numFmtId="4" fontId="28" fillId="3" borderId="38" xfId="0" applyNumberFormat="1" applyFont="1" applyFill="1" applyBorder="1" applyAlignment="1">
      <alignment vertical="center"/>
    </xf>
    <xf numFmtId="0" fontId="28" fillId="3" borderId="5" xfId="0" applyFont="1" applyFill="1" applyBorder="1" applyAlignment="1">
      <alignment horizontal="center" vertical="center" wrapText="1"/>
    </xf>
    <xf numFmtId="4" fontId="31" fillId="3" borderId="22" xfId="0" applyNumberFormat="1" applyFont="1" applyFill="1" applyBorder="1" applyAlignment="1">
      <alignment vertical="center"/>
    </xf>
    <xf numFmtId="4" fontId="31" fillId="3" borderId="5" xfId="0" applyNumberFormat="1" applyFont="1" applyFill="1" applyBorder="1" applyAlignment="1">
      <alignment vertical="center"/>
    </xf>
    <xf numFmtId="4" fontId="31" fillId="3" borderId="39" xfId="0" applyNumberFormat="1" applyFont="1" applyFill="1" applyBorder="1" applyAlignment="1">
      <alignment vertical="center"/>
    </xf>
    <xf numFmtId="4" fontId="31" fillId="3" borderId="14" xfId="0" applyNumberFormat="1" applyFont="1" applyFill="1" applyBorder="1" applyAlignment="1">
      <alignment vertical="center"/>
    </xf>
    <xf numFmtId="4" fontId="31" fillId="3" borderId="26" xfId="0" applyNumberFormat="1" applyFont="1" applyFill="1" applyBorder="1" applyAlignment="1">
      <alignment vertical="center"/>
    </xf>
    <xf numFmtId="0" fontId="30" fillId="4" borderId="42" xfId="0" applyFont="1" applyFill="1" applyBorder="1" applyAlignment="1">
      <alignment horizontal="center" vertical="center"/>
    </xf>
    <xf numFmtId="0" fontId="30" fillId="4" borderId="44" xfId="0" applyFont="1" applyFill="1" applyBorder="1" applyAlignment="1">
      <alignment horizontal="center" vertical="center"/>
    </xf>
    <xf numFmtId="0" fontId="0" fillId="0" borderId="0" xfId="0" applyAlignment="1">
      <alignment wrapText="1"/>
    </xf>
    <xf numFmtId="0" fontId="50" fillId="0" borderId="0" xfId="0" applyFont="1" applyAlignment="1">
      <alignment wrapText="1"/>
    </xf>
    <xf numFmtId="4" fontId="50" fillId="0" borderId="0" xfId="0" applyNumberFormat="1" applyFont="1" applyAlignment="1">
      <alignment wrapText="1"/>
    </xf>
    <xf numFmtId="4" fontId="0" fillId="0" borderId="0" xfId="0" applyNumberFormat="1" applyAlignment="1">
      <alignment wrapText="1"/>
    </xf>
    <xf numFmtId="4" fontId="8" fillId="0" borderId="21" xfId="87" applyNumberFormat="1" applyFont="1" applyBorder="1" applyAlignment="1" applyProtection="1">
      <alignment horizontal="right" vertical="center"/>
    </xf>
    <xf numFmtId="4" fontId="8" fillId="0" borderId="24" xfId="0" applyNumberFormat="1" applyFont="1" applyBorder="1" applyAlignment="1">
      <alignment horizontal="right" vertical="center"/>
    </xf>
    <xf numFmtId="4" fontId="8" fillId="0" borderId="24" xfId="87" applyNumberFormat="1" applyFont="1" applyBorder="1" applyAlignment="1" applyProtection="1">
      <alignment horizontal="right" vertical="center"/>
    </xf>
    <xf numFmtId="4" fontId="8" fillId="0" borderId="59" xfId="87" applyNumberFormat="1" applyFont="1" applyBorder="1" applyAlignment="1" applyProtection="1">
      <alignment horizontal="right" vertical="center"/>
    </xf>
    <xf numFmtId="4" fontId="8" fillId="16" borderId="21" xfId="87" applyNumberFormat="1" applyFont="1" applyFill="1" applyBorder="1" applyAlignment="1" applyProtection="1">
      <alignment horizontal="right" vertical="center"/>
    </xf>
    <xf numFmtId="0" fontId="40" fillId="0" borderId="0" xfId="0" applyFont="1" applyAlignment="1">
      <alignment horizontal="left" vertical="center" wrapText="1"/>
    </xf>
    <xf numFmtId="171" fontId="26" fillId="0" borderId="1" xfId="0" applyNumberFormat="1" applyFont="1" applyBorder="1" applyAlignment="1">
      <alignment horizontal="center" vertical="center"/>
    </xf>
    <xf numFmtId="0" fontId="48" fillId="3" borderId="5" xfId="0" applyFont="1" applyFill="1" applyBorder="1" applyAlignment="1">
      <alignment horizontal="center" vertical="center" wrapText="1"/>
    </xf>
    <xf numFmtId="171" fontId="26" fillId="0" borderId="5" xfId="0" applyNumberFormat="1" applyFont="1" applyBorder="1" applyAlignment="1">
      <alignment horizontal="center" vertical="center"/>
    </xf>
    <xf numFmtId="171" fontId="34" fillId="5" borderId="5" xfId="0" applyNumberFormat="1" applyFont="1" applyFill="1" applyBorder="1" applyAlignment="1">
      <alignment horizontal="center" vertical="center"/>
    </xf>
    <xf numFmtId="0" fontId="48" fillId="3" borderId="3" xfId="0" applyFont="1" applyFill="1" applyBorder="1" applyAlignment="1">
      <alignment horizontal="center" vertical="center" wrapText="1"/>
    </xf>
    <xf numFmtId="171" fontId="26" fillId="0" borderId="3" xfId="0" applyNumberFormat="1" applyFont="1" applyBorder="1" applyAlignment="1">
      <alignment horizontal="center" vertical="center"/>
    </xf>
    <xf numFmtId="171" fontId="34" fillId="3" borderId="3" xfId="0" applyNumberFormat="1" applyFont="1" applyFill="1" applyBorder="1" applyAlignment="1">
      <alignment horizontal="center" vertical="center"/>
    </xf>
    <xf numFmtId="171" fontId="34" fillId="0" borderId="0" xfId="0" applyNumberFormat="1" applyFont="1" applyAlignment="1">
      <alignment horizontal="center" vertical="center"/>
    </xf>
    <xf numFmtId="173" fontId="28" fillId="0" borderId="0" xfId="0" applyNumberFormat="1" applyFont="1" applyAlignment="1">
      <alignment vertical="center"/>
    </xf>
    <xf numFmtId="171" fontId="30" fillId="0" borderId="0" xfId="0" applyNumberFormat="1" applyFont="1"/>
    <xf numFmtId="173" fontId="30" fillId="0" borderId="0" xfId="0" applyNumberFormat="1" applyFont="1"/>
    <xf numFmtId="0" fontId="26" fillId="4" borderId="0" xfId="0" applyFont="1" applyFill="1"/>
    <xf numFmtId="171" fontId="26" fillId="0" borderId="8" xfId="0" applyNumberFormat="1" applyFont="1" applyBorder="1" applyAlignment="1">
      <alignment horizontal="center" vertical="center"/>
    </xf>
    <xf numFmtId="171" fontId="26" fillId="0" borderId="58" xfId="0" applyNumberFormat="1" applyFont="1" applyBorder="1" applyAlignment="1">
      <alignment horizontal="center" vertical="center"/>
    </xf>
    <xf numFmtId="171" fontId="26" fillId="4" borderId="0" xfId="0" applyNumberFormat="1" applyFont="1" applyFill="1" applyAlignment="1">
      <alignment horizontal="center" vertical="center"/>
    </xf>
    <xf numFmtId="0" fontId="30" fillId="4" borderId="0" xfId="0" applyFont="1" applyFill="1"/>
    <xf numFmtId="0" fontId="8" fillId="0" borderId="0" xfId="4" applyFont="1" applyAlignment="1">
      <alignment vertical="center"/>
    </xf>
    <xf numFmtId="166" fontId="18" fillId="4" borderId="0" xfId="4" applyNumberFormat="1" applyFont="1" applyFill="1" applyAlignment="1">
      <alignment vertical="center"/>
    </xf>
    <xf numFmtId="166" fontId="18" fillId="3" borderId="1" xfId="4" applyNumberFormat="1" applyFont="1" applyFill="1" applyBorder="1" applyAlignment="1">
      <alignment vertical="center"/>
    </xf>
    <xf numFmtId="166" fontId="18" fillId="5" borderId="1" xfId="4" applyNumberFormat="1" applyFont="1" applyFill="1" applyBorder="1" applyAlignment="1">
      <alignment vertical="center"/>
    </xf>
    <xf numFmtId="166" fontId="8" fillId="0" borderId="0" xfId="4" applyNumberFormat="1" applyFont="1" applyAlignment="1">
      <alignment vertical="center" wrapText="1"/>
    </xf>
    <xf numFmtId="166" fontId="18" fillId="0" borderId="0" xfId="4" applyNumberFormat="1" applyFont="1" applyAlignment="1">
      <alignment vertical="center"/>
    </xf>
    <xf numFmtId="0" fontId="8" fillId="4" borderId="0" xfId="4" applyFont="1" applyFill="1" applyAlignment="1">
      <alignment vertical="center"/>
    </xf>
    <xf numFmtId="0" fontId="8" fillId="3" borderId="1" xfId="4" applyFont="1" applyFill="1" applyBorder="1" applyAlignment="1">
      <alignment vertical="center"/>
    </xf>
    <xf numFmtId="0" fontId="51" fillId="0" borderId="0" xfId="0" applyFont="1" applyAlignment="1">
      <alignment wrapText="1"/>
    </xf>
    <xf numFmtId="0" fontId="8" fillId="0" borderId="0" xfId="4" applyFont="1" applyAlignment="1">
      <alignment horizontal="center" vertical="center"/>
    </xf>
    <xf numFmtId="0" fontId="18" fillId="13" borderId="38" xfId="0" applyFont="1" applyFill="1" applyBorder="1" applyAlignment="1">
      <alignment horizontal="center" vertical="center" wrapText="1"/>
    </xf>
    <xf numFmtId="0" fontId="8" fillId="0" borderId="1" xfId="4" applyFont="1" applyBorder="1" applyAlignment="1">
      <alignment horizontal="right" vertical="center"/>
    </xf>
    <xf numFmtId="2" fontId="8" fillId="0" borderId="1" xfId="4" applyNumberFormat="1" applyFont="1" applyBorder="1" applyAlignment="1">
      <alignment horizontal="right" vertical="center"/>
    </xf>
    <xf numFmtId="2" fontId="8" fillId="0" borderId="5" xfId="4" applyNumberFormat="1" applyFont="1" applyBorder="1" applyAlignment="1">
      <alignment horizontal="right" vertical="center"/>
    </xf>
    <xf numFmtId="2" fontId="8" fillId="0" borderId="1" xfId="4" applyNumberFormat="1" applyFont="1" applyBorder="1" applyAlignment="1">
      <alignment vertical="center"/>
    </xf>
    <xf numFmtId="0" fontId="8" fillId="0" borderId="38" xfId="0" applyFont="1" applyBorder="1" applyAlignment="1">
      <alignment horizontal="center" vertical="center" wrapText="1"/>
    </xf>
    <xf numFmtId="0" fontId="8" fillId="4" borderId="31" xfId="0" applyFont="1" applyFill="1" applyBorder="1" applyAlignment="1">
      <alignment horizontal="center" vertical="center" wrapText="1"/>
    </xf>
    <xf numFmtId="0" fontId="8" fillId="4" borderId="13" xfId="0" applyFont="1" applyFill="1" applyBorder="1" applyAlignment="1">
      <alignment horizontal="justify" vertical="center"/>
    </xf>
    <xf numFmtId="0" fontId="8" fillId="4" borderId="23" xfId="0" applyFont="1" applyFill="1" applyBorder="1" applyAlignment="1">
      <alignment horizontal="center" vertical="center" wrapText="1"/>
    </xf>
    <xf numFmtId="0" fontId="8" fillId="4" borderId="1" xfId="0" applyFont="1" applyFill="1" applyBorder="1" applyAlignment="1">
      <alignment horizontal="justify" vertical="center"/>
    </xf>
    <xf numFmtId="0" fontId="8" fillId="4" borderId="42" xfId="0" applyFont="1" applyFill="1" applyBorder="1" applyAlignment="1">
      <alignment horizontal="center" vertical="center" wrapText="1"/>
    </xf>
    <xf numFmtId="0" fontId="8" fillId="4" borderId="43" xfId="0" applyFont="1" applyFill="1" applyBorder="1" applyAlignment="1">
      <alignment horizontal="justify" vertical="center"/>
    </xf>
    <xf numFmtId="0" fontId="18" fillId="10" borderId="27" xfId="0" applyFont="1" applyFill="1" applyBorder="1" applyAlignment="1">
      <alignment horizontal="right" vertical="center" wrapText="1"/>
    </xf>
    <xf numFmtId="0" fontId="18" fillId="10" borderId="28" xfId="0" applyFont="1" applyFill="1" applyBorder="1" applyAlignment="1">
      <alignment horizontal="right" vertical="center"/>
    </xf>
    <xf numFmtId="4" fontId="18" fillId="10" borderId="29" xfId="0" applyNumberFormat="1" applyFont="1" applyFill="1" applyBorder="1" applyAlignment="1">
      <alignment horizontal="right" vertical="center"/>
    </xf>
    <xf numFmtId="0" fontId="8" fillId="13" borderId="27" xfId="0" applyFont="1" applyFill="1" applyBorder="1" applyAlignment="1">
      <alignment horizontal="center" vertical="center" wrapText="1"/>
    </xf>
    <xf numFmtId="0" fontId="18" fillId="13" borderId="28" xfId="0" applyFont="1" applyFill="1" applyBorder="1" applyAlignment="1">
      <alignment horizontal="center" vertical="center"/>
    </xf>
    <xf numFmtId="4" fontId="18" fillId="13" borderId="29" xfId="0" applyNumberFormat="1" applyFont="1" applyFill="1" applyBorder="1" applyAlignment="1">
      <alignment horizontal="right" vertical="center"/>
    </xf>
    <xf numFmtId="0" fontId="8" fillId="0" borderId="23" xfId="0" applyFont="1" applyBorder="1" applyAlignment="1">
      <alignment horizontal="center" vertical="center" wrapText="1"/>
    </xf>
    <xf numFmtId="0" fontId="8" fillId="0" borderId="1" xfId="0" applyFont="1" applyBorder="1" applyAlignment="1">
      <alignment horizontal="left" vertical="center"/>
    </xf>
    <xf numFmtId="0" fontId="8" fillId="10" borderId="42" xfId="0" applyFont="1" applyFill="1" applyBorder="1" applyAlignment="1">
      <alignment horizontal="center" vertical="center" wrapText="1"/>
    </xf>
    <xf numFmtId="0" fontId="18" fillId="10" borderId="43" xfId="0" applyFont="1" applyFill="1" applyBorder="1" applyAlignment="1">
      <alignment horizontal="right" vertical="center"/>
    </xf>
    <xf numFmtId="4" fontId="18" fillId="10" borderId="44" xfId="0" applyNumberFormat="1" applyFont="1" applyFill="1" applyBorder="1" applyAlignment="1">
      <alignment horizontal="right" vertical="center"/>
    </xf>
    <xf numFmtId="0" fontId="18" fillId="13" borderId="27" xfId="0" applyFont="1" applyFill="1" applyBorder="1" applyAlignment="1">
      <alignment horizontal="center" vertical="center" wrapText="1"/>
    </xf>
    <xf numFmtId="2" fontId="8" fillId="13" borderId="29" xfId="0" applyNumberFormat="1" applyFont="1" applyFill="1" applyBorder="1" applyAlignment="1">
      <alignment horizontal="right" vertical="center"/>
    </xf>
    <xf numFmtId="2" fontId="8" fillId="13" borderId="48" xfId="0" applyNumberFormat="1" applyFont="1" applyFill="1" applyBorder="1" applyAlignment="1">
      <alignment horizontal="right" vertical="center"/>
    </xf>
    <xf numFmtId="0" fontId="8" fillId="0" borderId="20" xfId="0" applyFont="1" applyBorder="1" applyAlignment="1">
      <alignment horizontal="center" vertical="center" wrapText="1"/>
    </xf>
    <xf numFmtId="0" fontId="8" fillId="0" borderId="4" xfId="0" applyFont="1" applyBorder="1" applyAlignment="1">
      <alignment horizontal="left" vertical="center"/>
    </xf>
    <xf numFmtId="4" fontId="8" fillId="0" borderId="21" xfId="0" applyNumberFormat="1" applyFont="1" applyBorder="1" applyAlignment="1">
      <alignment horizontal="right" vertical="center"/>
    </xf>
    <xf numFmtId="0" fontId="51" fillId="16" borderId="1" xfId="0" applyFont="1" applyFill="1" applyBorder="1" applyAlignment="1">
      <alignment horizontal="right" vertical="center"/>
    </xf>
    <xf numFmtId="0" fontId="8" fillId="0" borderId="36" xfId="0" applyFont="1" applyBorder="1" applyAlignment="1">
      <alignment horizontal="center" vertical="center" wrapText="1"/>
    </xf>
    <xf numFmtId="0" fontId="8" fillId="0" borderId="8" xfId="0" applyFont="1" applyBorder="1" applyAlignment="1">
      <alignment horizontal="left" vertical="center"/>
    </xf>
    <xf numFmtId="4" fontId="8" fillId="0" borderId="37" xfId="0" applyNumberFormat="1" applyFont="1" applyBorder="1" applyAlignment="1">
      <alignment horizontal="right" vertical="center"/>
    </xf>
    <xf numFmtId="0" fontId="18" fillId="10" borderId="28" xfId="0" applyFont="1" applyFill="1" applyBorder="1" applyAlignment="1">
      <alignment horizontal="right" vertical="center" wrapText="1"/>
    </xf>
    <xf numFmtId="0" fontId="18" fillId="17" borderId="42" xfId="0" applyFont="1" applyFill="1" applyBorder="1" applyAlignment="1">
      <alignment horizontal="right" vertical="center" wrapText="1"/>
    </xf>
    <xf numFmtId="0" fontId="18" fillId="17" borderId="43" xfId="0" applyFont="1" applyFill="1" applyBorder="1" applyAlignment="1">
      <alignment horizontal="right" vertical="center" wrapText="1"/>
    </xf>
    <xf numFmtId="4" fontId="18" fillId="17" borderId="44" xfId="0" applyNumberFormat="1" applyFont="1" applyFill="1" applyBorder="1" applyAlignment="1">
      <alignment horizontal="right" vertical="center"/>
    </xf>
    <xf numFmtId="0" fontId="8" fillId="3" borderId="1" xfId="0" applyFont="1" applyFill="1" applyBorder="1" applyAlignment="1">
      <alignment horizontal="center" wrapText="1"/>
    </xf>
    <xf numFmtId="0" fontId="18" fillId="0" borderId="1" xfId="0" applyFont="1" applyBorder="1"/>
    <xf numFmtId="4" fontId="18" fillId="0" borderId="1" xfId="0" applyNumberFormat="1" applyFont="1" applyBorder="1"/>
    <xf numFmtId="4" fontId="8" fillId="0" borderId="1" xfId="0" applyNumberFormat="1" applyFont="1" applyBorder="1" applyAlignment="1">
      <alignment horizontal="right" vertical="center" wrapText="1"/>
    </xf>
    <xf numFmtId="4" fontId="8" fillId="0" borderId="1" xfId="0" applyNumberFormat="1" applyFont="1" applyBorder="1"/>
    <xf numFmtId="0" fontId="18" fillId="3" borderId="1" xfId="0" applyFont="1" applyFill="1" applyBorder="1" applyAlignment="1">
      <alignment horizontal="center" vertical="center" wrapText="1"/>
    </xf>
    <xf numFmtId="0" fontId="8" fillId="12" borderId="1" xfId="0" applyFont="1" applyFill="1" applyBorder="1" applyAlignment="1">
      <alignment vertical="center" wrapText="1"/>
    </xf>
    <xf numFmtId="3" fontId="8" fillId="12" borderId="1" xfId="0" applyNumberFormat="1" applyFont="1" applyFill="1" applyBorder="1" applyAlignment="1">
      <alignment horizontal="right" vertical="center" wrapText="1"/>
    </xf>
    <xf numFmtId="3" fontId="18" fillId="12" borderId="1" xfId="0" applyNumberFormat="1" applyFont="1" applyFill="1" applyBorder="1" applyAlignment="1">
      <alignment horizontal="right"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3" fontId="8" fillId="0" borderId="1" xfId="0" applyNumberFormat="1" applyFont="1" applyBorder="1" applyAlignment="1">
      <alignment horizontal="center" vertical="center" wrapText="1"/>
    </xf>
    <xf numFmtId="0" fontId="48" fillId="0" borderId="0" xfId="0" applyFont="1" applyAlignment="1">
      <alignment horizontal="left" vertical="center" wrapText="1"/>
    </xf>
    <xf numFmtId="0" fontId="48" fillId="0" borderId="0" xfId="0" applyFont="1"/>
    <xf numFmtId="0" fontId="52" fillId="0" borderId="0" xfId="0" applyFont="1"/>
    <xf numFmtId="175" fontId="48" fillId="0" borderId="0" xfId="0" applyNumberFormat="1" applyFont="1"/>
    <xf numFmtId="0" fontId="48" fillId="0" borderId="0" xfId="0" applyFont="1" applyAlignment="1">
      <alignment horizontal="center"/>
    </xf>
    <xf numFmtId="174" fontId="48" fillId="0" borderId="0" xfId="0" applyNumberFormat="1" applyFont="1"/>
    <xf numFmtId="0" fontId="53" fillId="3" borderId="30" xfId="0" applyFont="1" applyFill="1" applyBorder="1" applyAlignment="1">
      <alignment horizontal="center" vertical="center" wrapText="1"/>
    </xf>
    <xf numFmtId="0" fontId="53" fillId="3" borderId="38" xfId="0" applyFont="1" applyFill="1" applyBorder="1" applyAlignment="1">
      <alignment horizontal="center" vertical="center" wrapText="1"/>
    </xf>
    <xf numFmtId="0" fontId="53" fillId="15" borderId="57" xfId="0" applyFont="1" applyFill="1" applyBorder="1" applyAlignment="1">
      <alignment horizontal="center" vertical="center" wrapText="1"/>
    </xf>
    <xf numFmtId="0" fontId="53" fillId="15" borderId="33" xfId="0" applyFont="1" applyFill="1" applyBorder="1" applyAlignment="1">
      <alignment horizontal="center" vertical="center" wrapText="1"/>
    </xf>
    <xf numFmtId="0" fontId="31" fillId="4" borderId="42" xfId="0" applyFont="1" applyFill="1" applyBorder="1" applyAlignment="1">
      <alignment horizontal="center" vertical="center"/>
    </xf>
    <xf numFmtId="0" fontId="31" fillId="4" borderId="44" xfId="0" applyFont="1" applyFill="1" applyBorder="1" applyAlignment="1">
      <alignment horizontal="center" vertical="center"/>
    </xf>
    <xf numFmtId="171" fontId="48" fillId="0" borderId="0" xfId="0" applyNumberFormat="1" applyFont="1" applyAlignment="1">
      <alignment horizontal="center" vertical="center"/>
    </xf>
    <xf numFmtId="4" fontId="31" fillId="3" borderId="52" xfId="0" applyNumberFormat="1" applyFont="1" applyFill="1" applyBorder="1" applyAlignment="1">
      <alignment vertical="center"/>
    </xf>
    <xf numFmtId="4" fontId="31" fillId="15" borderId="4" xfId="0" applyNumberFormat="1" applyFont="1" applyFill="1" applyBorder="1" applyAlignment="1">
      <alignment vertical="center"/>
    </xf>
    <xf numFmtId="4" fontId="31" fillId="15" borderId="21" xfId="0" applyNumberFormat="1" applyFont="1" applyFill="1" applyBorder="1" applyAlignment="1">
      <alignment vertical="center"/>
    </xf>
    <xf numFmtId="4" fontId="48" fillId="0" borderId="0" xfId="0" applyNumberFormat="1" applyFont="1"/>
    <xf numFmtId="4" fontId="31" fillId="3" borderId="53" xfId="0" applyNumberFormat="1" applyFont="1" applyFill="1" applyBorder="1" applyAlignment="1">
      <alignment vertical="center"/>
    </xf>
    <xf numFmtId="4" fontId="31" fillId="15" borderId="1" xfId="0" applyNumberFormat="1" applyFont="1" applyFill="1" applyBorder="1" applyAlignment="1">
      <alignment vertical="center"/>
    </xf>
    <xf numFmtId="4" fontId="31" fillId="15" borderId="24" xfId="0" applyNumberFormat="1" applyFont="1" applyFill="1" applyBorder="1" applyAlignment="1">
      <alignment vertical="center"/>
    </xf>
    <xf numFmtId="0" fontId="52" fillId="0" borderId="0" xfId="0" applyFont="1" applyAlignment="1">
      <alignment horizontal="right"/>
    </xf>
    <xf numFmtId="171" fontId="52" fillId="0" borderId="0" xfId="0" applyNumberFormat="1" applyFont="1" applyAlignment="1">
      <alignment horizontal="center" vertical="center"/>
    </xf>
    <xf numFmtId="175" fontId="48" fillId="0" borderId="1" xfId="0" applyNumberFormat="1" applyFont="1" applyBorder="1"/>
    <xf numFmtId="174" fontId="48" fillId="0" borderId="8" xfId="0" applyNumberFormat="1" applyFont="1" applyBorder="1"/>
    <xf numFmtId="0" fontId="48" fillId="0" borderId="1" xfId="0" applyFont="1" applyBorder="1"/>
    <xf numFmtId="171" fontId="48" fillId="0" borderId="1" xfId="0" applyNumberFormat="1" applyFont="1" applyBorder="1" applyAlignment="1">
      <alignment horizontal="center" vertical="center"/>
    </xf>
    <xf numFmtId="0" fontId="52" fillId="3" borderId="1" xfId="0" applyFont="1" applyFill="1" applyBorder="1" applyAlignment="1">
      <alignment horizontal="right"/>
    </xf>
    <xf numFmtId="171" fontId="52" fillId="3" borderId="1" xfId="0" applyNumberFormat="1" applyFont="1" applyFill="1" applyBorder="1" applyAlignment="1">
      <alignment horizontal="center" vertical="center"/>
    </xf>
    <xf numFmtId="0" fontId="31" fillId="0" borderId="0" xfId="0" applyFont="1"/>
    <xf numFmtId="0" fontId="8" fillId="3" borderId="1" xfId="0" applyFont="1" applyFill="1" applyBorder="1" applyAlignment="1">
      <alignment horizontal="center" vertical="center"/>
    </xf>
    <xf numFmtId="0" fontId="8" fillId="3" borderId="1" xfId="0" applyFont="1" applyFill="1" applyBorder="1" applyAlignment="1">
      <alignment horizontal="left" vertical="center" wrapText="1"/>
    </xf>
    <xf numFmtId="3" fontId="8" fillId="3" borderId="1" xfId="0" applyNumberFormat="1" applyFont="1" applyFill="1" applyBorder="1" applyAlignment="1">
      <alignment horizontal="center" vertical="center"/>
    </xf>
    <xf numFmtId="4" fontId="31" fillId="3" borderId="41" xfId="0" applyNumberFormat="1" applyFont="1" applyFill="1" applyBorder="1" applyAlignment="1">
      <alignment vertical="center"/>
    </xf>
    <xf numFmtId="4" fontId="31" fillId="15" borderId="8" xfId="0" applyNumberFormat="1" applyFont="1" applyFill="1" applyBorder="1" applyAlignment="1">
      <alignment vertical="center"/>
    </xf>
    <xf numFmtId="4" fontId="31" fillId="15" borderId="37" xfId="0" applyNumberFormat="1" applyFont="1" applyFill="1" applyBorder="1" applyAlignment="1">
      <alignment vertical="center"/>
    </xf>
    <xf numFmtId="4" fontId="53" fillId="3" borderId="49" xfId="0" applyNumberFormat="1" applyFont="1" applyFill="1" applyBorder="1" applyAlignment="1">
      <alignment vertical="center"/>
    </xf>
    <xf numFmtId="4" fontId="53" fillId="3" borderId="54" xfId="0" applyNumberFormat="1" applyFont="1" applyFill="1" applyBorder="1" applyAlignment="1">
      <alignment vertical="center"/>
    </xf>
    <xf numFmtId="4" fontId="53" fillId="15" borderId="47" xfId="0" applyNumberFormat="1" applyFont="1" applyFill="1" applyBorder="1" applyAlignment="1">
      <alignment vertical="center"/>
    </xf>
    <xf numFmtId="4" fontId="53" fillId="15" borderId="48" xfId="0" applyNumberFormat="1" applyFont="1" applyFill="1" applyBorder="1" applyAlignment="1">
      <alignment vertical="center"/>
    </xf>
    <xf numFmtId="2" fontId="31" fillId="3" borderId="30" xfId="0" applyNumberFormat="1" applyFont="1" applyFill="1" applyBorder="1" applyAlignment="1">
      <alignment vertical="center"/>
    </xf>
    <xf numFmtId="2" fontId="31" fillId="3" borderId="55" xfId="0" applyNumberFormat="1" applyFont="1" applyFill="1" applyBorder="1" applyAlignment="1">
      <alignment vertical="center"/>
    </xf>
    <xf numFmtId="2" fontId="31" fillId="15" borderId="28" xfId="0" applyNumberFormat="1" applyFont="1" applyFill="1" applyBorder="1" applyAlignment="1">
      <alignment vertical="center"/>
    </xf>
    <xf numFmtId="4" fontId="31" fillId="15" borderId="29" xfId="0" applyNumberFormat="1" applyFont="1" applyFill="1" applyBorder="1" applyAlignment="1">
      <alignment vertical="center"/>
    </xf>
    <xf numFmtId="4" fontId="31" fillId="3" borderId="56" xfId="0" applyNumberFormat="1" applyFont="1" applyFill="1" applyBorder="1" applyAlignment="1">
      <alignment vertical="center"/>
    </xf>
    <xf numFmtId="4" fontId="53" fillId="3" borderId="30" xfId="0" applyNumberFormat="1" applyFont="1" applyFill="1" applyBorder="1" applyAlignment="1">
      <alignment vertical="center"/>
    </xf>
    <xf numFmtId="4" fontId="53" fillId="3" borderId="55" xfId="0" applyNumberFormat="1" applyFont="1" applyFill="1" applyBorder="1" applyAlignment="1">
      <alignment vertical="center"/>
    </xf>
    <xf numFmtId="4" fontId="53" fillId="15" borderId="28" xfId="0" applyNumberFormat="1" applyFont="1" applyFill="1" applyBorder="1" applyAlignment="1">
      <alignment vertical="center"/>
    </xf>
    <xf numFmtId="4" fontId="31" fillId="15" borderId="13" xfId="0" applyNumberFormat="1" applyFont="1" applyFill="1" applyBorder="1" applyAlignment="1">
      <alignment vertical="center"/>
    </xf>
    <xf numFmtId="4" fontId="31" fillId="15" borderId="32" xfId="0" applyNumberFormat="1" applyFont="1" applyFill="1" applyBorder="1" applyAlignment="1">
      <alignment vertical="center"/>
    </xf>
    <xf numFmtId="0" fontId="48" fillId="0" borderId="3" xfId="0" applyFont="1" applyBorder="1"/>
    <xf numFmtId="4" fontId="31" fillId="3" borderId="35" xfId="0" applyNumberFormat="1" applyFont="1" applyFill="1" applyBorder="1" applyAlignment="1">
      <alignment vertical="center"/>
    </xf>
    <xf numFmtId="0" fontId="48" fillId="0" borderId="3" xfId="0" applyFont="1" applyBorder="1" applyAlignment="1">
      <alignment wrapText="1"/>
    </xf>
    <xf numFmtId="4" fontId="53" fillId="15" borderId="29" xfId="0" applyNumberFormat="1" applyFont="1" applyFill="1" applyBorder="1" applyAlignment="1">
      <alignment vertical="center"/>
    </xf>
    <xf numFmtId="2" fontId="31" fillId="3" borderId="45" xfId="0" applyNumberFormat="1" applyFont="1" applyFill="1" applyBorder="1" applyAlignment="1">
      <alignment vertical="center"/>
    </xf>
    <xf numFmtId="2" fontId="31" fillId="3" borderId="17" xfId="0" applyNumberFormat="1" applyFont="1" applyFill="1" applyBorder="1" applyAlignment="1">
      <alignment vertical="center"/>
    </xf>
    <xf numFmtId="2" fontId="31" fillId="15" borderId="4" xfId="0" applyNumberFormat="1" applyFont="1" applyFill="1" applyBorder="1" applyAlignment="1">
      <alignment vertical="center"/>
    </xf>
    <xf numFmtId="2" fontId="31" fillId="15" borderId="21" xfId="0" applyNumberFormat="1" applyFont="1" applyFill="1" applyBorder="1" applyAlignment="1">
      <alignment vertical="center"/>
    </xf>
    <xf numFmtId="2" fontId="53" fillId="3" borderId="45" xfId="0" applyNumberFormat="1" applyFont="1" applyFill="1" applyBorder="1" applyAlignment="1">
      <alignment vertical="center"/>
    </xf>
    <xf numFmtId="2" fontId="53" fillId="3" borderId="17" xfId="0" applyNumberFormat="1" applyFont="1" applyFill="1" applyBorder="1" applyAlignment="1">
      <alignment vertical="center"/>
    </xf>
    <xf numFmtId="2" fontId="53" fillId="15" borderId="4" xfId="0" applyNumberFormat="1" applyFont="1" applyFill="1" applyBorder="1" applyAlignment="1">
      <alignment vertical="center"/>
    </xf>
    <xf numFmtId="2" fontId="53" fillId="3" borderId="49" xfId="0" applyNumberFormat="1" applyFont="1" applyFill="1" applyBorder="1" applyAlignment="1">
      <alignment vertical="center"/>
    </xf>
    <xf numFmtId="2" fontId="53" fillId="3" borderId="54" xfId="0" applyNumberFormat="1" applyFont="1" applyFill="1" applyBorder="1" applyAlignment="1">
      <alignment vertical="center"/>
    </xf>
    <xf numFmtId="2" fontId="53" fillId="15" borderId="8" xfId="0" applyNumberFormat="1" applyFont="1" applyFill="1" applyBorder="1" applyAlignment="1">
      <alignment vertical="center"/>
    </xf>
    <xf numFmtId="4" fontId="31" fillId="0" borderId="0" xfId="0" applyNumberFormat="1" applyFont="1"/>
    <xf numFmtId="173" fontId="53" fillId="3" borderId="22" xfId="0" applyNumberFormat="1" applyFont="1" applyFill="1" applyBorder="1" applyAlignment="1">
      <alignment vertical="center"/>
    </xf>
    <xf numFmtId="173" fontId="53" fillId="3" borderId="52" xfId="0" applyNumberFormat="1" applyFont="1" applyFill="1" applyBorder="1" applyAlignment="1">
      <alignment vertical="center"/>
    </xf>
    <xf numFmtId="173" fontId="53" fillId="15" borderId="4" xfId="0" applyNumberFormat="1" applyFont="1" applyFill="1" applyBorder="1" applyAlignment="1">
      <alignment vertical="center"/>
    </xf>
    <xf numFmtId="173" fontId="53" fillId="15" borderId="21" xfId="0" applyNumberFormat="1" applyFont="1" applyFill="1" applyBorder="1" applyAlignment="1">
      <alignment vertical="center"/>
    </xf>
    <xf numFmtId="169" fontId="48" fillId="0" borderId="1" xfId="0" applyNumberFormat="1" applyFont="1" applyBorder="1"/>
    <xf numFmtId="173" fontId="53" fillId="3" borderId="5" xfId="0" applyNumberFormat="1" applyFont="1" applyFill="1" applyBorder="1" applyAlignment="1">
      <alignment vertical="center"/>
    </xf>
    <xf numFmtId="173" fontId="53" fillId="3" borderId="35" xfId="0" applyNumberFormat="1" applyFont="1" applyFill="1" applyBorder="1" applyAlignment="1">
      <alignment vertical="center"/>
    </xf>
    <xf numFmtId="173" fontId="53" fillId="15" borderId="25" xfId="0" applyNumberFormat="1" applyFont="1" applyFill="1" applyBorder="1" applyAlignment="1">
      <alignment vertical="center"/>
    </xf>
    <xf numFmtId="173" fontId="53" fillId="15" borderId="19" xfId="0" applyNumberFormat="1" applyFont="1" applyFill="1" applyBorder="1" applyAlignment="1">
      <alignment vertical="center"/>
    </xf>
    <xf numFmtId="0" fontId="54" fillId="0" borderId="0" xfId="0" applyFont="1"/>
    <xf numFmtId="173" fontId="48" fillId="0" borderId="0" xfId="0" applyNumberFormat="1" applyFont="1"/>
    <xf numFmtId="3" fontId="48" fillId="0" borderId="0" xfId="0" applyNumberFormat="1" applyFont="1"/>
    <xf numFmtId="2" fontId="8" fillId="8" borderId="0" xfId="77" applyNumberFormat="1" applyFont="1" applyFill="1" applyAlignment="1">
      <alignment horizontal="right" vertical="center"/>
    </xf>
    <xf numFmtId="4" fontId="18" fillId="9" borderId="1" xfId="77" applyNumberFormat="1" applyFont="1" applyFill="1" applyBorder="1" applyAlignment="1">
      <alignment horizontal="center" vertical="center"/>
    </xf>
    <xf numFmtId="4" fontId="8" fillId="11" borderId="1" xfId="77" applyNumberFormat="1" applyFont="1" applyFill="1" applyBorder="1" applyAlignment="1">
      <alignment horizontal="right" vertical="center"/>
    </xf>
    <xf numFmtId="43" fontId="8" fillId="8" borderId="0" xfId="77" applyNumberFormat="1" applyFont="1" applyFill="1"/>
    <xf numFmtId="4" fontId="18" fillId="8" borderId="0" xfId="77" applyNumberFormat="1" applyFont="1" applyFill="1" applyAlignment="1">
      <alignment horizontal="center" vertical="center"/>
    </xf>
    <xf numFmtId="0" fontId="8" fillId="0" borderId="0" xfId="0" applyFont="1" applyAlignment="1">
      <alignment horizontal="left" vertical="center" wrapText="1"/>
    </xf>
    <xf numFmtId="0" fontId="18" fillId="0" borderId="0" xfId="0" applyFont="1" applyAlignment="1">
      <alignment horizontal="center" vertical="center" wrapText="1"/>
    </xf>
    <xf numFmtId="3" fontId="8" fillId="0" borderId="0" xfId="0" applyNumberFormat="1" applyFont="1"/>
    <xf numFmtId="0" fontId="26" fillId="0" borderId="0" xfId="1" applyFont="1" applyAlignment="1">
      <alignment horizontal="center" wrapText="1"/>
    </xf>
    <xf numFmtId="0" fontId="17" fillId="0" borderId="0" xfId="67" applyFont="1" applyAlignment="1">
      <alignment vertical="top"/>
    </xf>
    <xf numFmtId="3" fontId="31" fillId="0" borderId="0" xfId="0" applyNumberFormat="1" applyFont="1"/>
    <xf numFmtId="0" fontId="8" fillId="0" borderId="0" xfId="0" applyFont="1" applyAlignment="1">
      <alignment horizontal="center" vertical="center"/>
    </xf>
    <xf numFmtId="0" fontId="8" fillId="0" borderId="0" xfId="0" applyFont="1" applyAlignment="1">
      <alignment horizontal="center" vertical="center" wrapText="1"/>
    </xf>
    <xf numFmtId="3" fontId="8" fillId="0" borderId="0" xfId="0" applyNumberFormat="1" applyFont="1" applyAlignment="1">
      <alignment horizontal="center" vertical="center"/>
    </xf>
    <xf numFmtId="0" fontId="41" fillId="0" borderId="0" xfId="0" applyFont="1" applyAlignment="1">
      <alignment horizontal="center" vertical="center" wrapText="1"/>
    </xf>
    <xf numFmtId="3" fontId="8" fillId="0" borderId="0" xfId="0" applyNumberFormat="1" applyFont="1" applyAlignment="1">
      <alignment horizontal="center" vertical="center" wrapText="1"/>
    </xf>
    <xf numFmtId="0" fontId="41" fillId="0" borderId="0" xfId="0" applyFont="1" applyAlignment="1">
      <alignment horizontal="right" vertical="center" wrapText="1"/>
    </xf>
    <xf numFmtId="171" fontId="34" fillId="5" borderId="1" xfId="0" applyNumberFormat="1" applyFont="1" applyFill="1" applyBorder="1" applyAlignment="1">
      <alignment horizontal="center" vertical="center"/>
    </xf>
    <xf numFmtId="0" fontId="31" fillId="0" borderId="1" xfId="0" applyFont="1" applyBorder="1" applyAlignment="1">
      <alignment horizontal="center" vertical="center"/>
    </xf>
    <xf numFmtId="169" fontId="48" fillId="0" borderId="0" xfId="0" applyNumberFormat="1" applyFont="1"/>
    <xf numFmtId="0" fontId="18" fillId="0" borderId="1" xfId="0" applyFont="1" applyBorder="1" applyAlignment="1">
      <alignment horizontal="left" vertical="center" wrapText="1"/>
    </xf>
    <xf numFmtId="3" fontId="18" fillId="0" borderId="1" xfId="0" applyNumberFormat="1" applyFont="1" applyBorder="1" applyAlignment="1">
      <alignment horizontal="center" vertical="center"/>
    </xf>
    <xf numFmtId="3" fontId="18" fillId="0" borderId="1" xfId="0" applyNumberFormat="1" applyFont="1" applyBorder="1" applyAlignment="1">
      <alignment horizontal="center" vertical="center" wrapText="1"/>
    </xf>
    <xf numFmtId="0" fontId="18" fillId="0" borderId="1" xfId="0" applyFont="1" applyBorder="1" applyAlignment="1">
      <alignment horizontal="right" vertical="center" wrapText="1"/>
    </xf>
    <xf numFmtId="0" fontId="8" fillId="0" borderId="0" xfId="0" applyFont="1" applyAlignment="1">
      <alignment wrapText="1"/>
    </xf>
    <xf numFmtId="3" fontId="8" fillId="0" borderId="8" xfId="0" applyNumberFormat="1" applyFont="1" applyBorder="1" applyAlignment="1">
      <alignment horizontal="center" vertical="center" wrapText="1"/>
    </xf>
    <xf numFmtId="0" fontId="8" fillId="12" borderId="0" xfId="0" applyFont="1" applyFill="1" applyAlignment="1">
      <alignment vertical="center" wrapText="1"/>
    </xf>
    <xf numFmtId="3" fontId="8" fillId="12" borderId="0" xfId="0" applyNumberFormat="1" applyFont="1" applyFill="1" applyAlignment="1">
      <alignment horizontal="right" vertical="center" wrapText="1"/>
    </xf>
    <xf numFmtId="3" fontId="18" fillId="12" borderId="0" xfId="0" applyNumberFormat="1" applyFont="1" applyFill="1" applyAlignment="1">
      <alignment horizontal="right" vertical="center" wrapText="1"/>
    </xf>
    <xf numFmtId="0" fontId="18" fillId="15" borderId="1" xfId="0" applyFont="1" applyFill="1" applyBorder="1" applyAlignment="1">
      <alignment horizontal="center" vertical="center" wrapText="1"/>
    </xf>
    <xf numFmtId="3" fontId="8" fillId="15" borderId="1" xfId="0" applyNumberFormat="1" applyFont="1" applyFill="1" applyBorder="1" applyAlignment="1">
      <alignment horizontal="center" vertical="center" wrapText="1"/>
    </xf>
    <xf numFmtId="3" fontId="18" fillId="0" borderId="0" xfId="0" applyNumberFormat="1" applyFont="1" applyAlignment="1">
      <alignment horizontal="right" vertical="center" wrapText="1"/>
    </xf>
    <xf numFmtId="0" fontId="55" fillId="15" borderId="1" xfId="0" applyFont="1" applyFill="1" applyBorder="1"/>
    <xf numFmtId="3" fontId="8" fillId="15" borderId="1" xfId="0" applyNumberFormat="1" applyFont="1" applyFill="1" applyBorder="1" applyAlignment="1">
      <alignment horizontal="right" vertical="center" wrapText="1"/>
    </xf>
    <xf numFmtId="0" fontId="55" fillId="0" borderId="0" xfId="0" applyFont="1"/>
    <xf numFmtId="0" fontId="17" fillId="0" borderId="5" xfId="0" applyFont="1" applyBorder="1" applyAlignment="1">
      <alignment horizontal="center" wrapText="1"/>
    </xf>
    <xf numFmtId="0" fontId="17" fillId="0" borderId="3" xfId="0" applyFont="1" applyBorder="1" applyAlignment="1">
      <alignment horizontal="center" wrapText="1"/>
    </xf>
    <xf numFmtId="0" fontId="17" fillId="0" borderId="0" xfId="0" applyFont="1" applyAlignment="1">
      <alignment horizontal="left" vertical="center" wrapText="1"/>
    </xf>
    <xf numFmtId="0" fontId="8" fillId="0" borderId="1" xfId="0" applyFont="1" applyBorder="1" applyAlignment="1">
      <alignment horizontal="left" wrapText="1"/>
    </xf>
    <xf numFmtId="0" fontId="16" fillId="0" borderId="0" xfId="0" applyFont="1" applyAlignment="1">
      <alignment horizontal="left"/>
    </xf>
    <xf numFmtId="0" fontId="19" fillId="0" borderId="0" xfId="0" applyFont="1" applyAlignment="1">
      <alignment horizontal="left"/>
    </xf>
    <xf numFmtId="0" fontId="16" fillId="3" borderId="1" xfId="0" applyFont="1" applyFill="1" applyBorder="1" applyAlignment="1">
      <alignment horizontal="center" vertical="center"/>
    </xf>
    <xf numFmtId="0" fontId="16" fillId="3" borderId="5" xfId="0" applyFont="1" applyFill="1" applyBorder="1" applyAlignment="1">
      <alignment horizontal="center" vertical="center"/>
    </xf>
    <xf numFmtId="0" fontId="16" fillId="3" borderId="3" xfId="0" applyFont="1" applyFill="1" applyBorder="1" applyAlignment="1">
      <alignment horizontal="center" vertical="center"/>
    </xf>
    <xf numFmtId="49" fontId="17" fillId="3" borderId="5" xfId="0" applyNumberFormat="1" applyFont="1" applyFill="1" applyBorder="1" applyAlignment="1">
      <alignment horizontal="center" vertical="center"/>
    </xf>
    <xf numFmtId="49" fontId="17" fillId="3" borderId="6" xfId="0" applyNumberFormat="1" applyFont="1" applyFill="1" applyBorder="1" applyAlignment="1">
      <alignment horizontal="center" vertical="center"/>
    </xf>
    <xf numFmtId="49" fontId="17" fillId="3" borderId="3" xfId="0" applyNumberFormat="1" applyFont="1" applyFill="1" applyBorder="1" applyAlignment="1">
      <alignment horizontal="center" vertical="center"/>
    </xf>
    <xf numFmtId="3" fontId="16" fillId="0" borderId="1" xfId="1" applyNumberFormat="1" applyFont="1" applyBorder="1" applyAlignment="1">
      <alignment horizontal="center" vertical="center" wrapText="1"/>
    </xf>
    <xf numFmtId="3" fontId="17" fillId="0" borderId="1" xfId="1" applyNumberFormat="1" applyFont="1" applyBorder="1" applyAlignment="1">
      <alignment horizontal="left" vertical="center" wrapText="1"/>
    </xf>
    <xf numFmtId="0" fontId="16" fillId="3" borderId="5" xfId="0" applyFont="1" applyFill="1" applyBorder="1" applyAlignment="1">
      <alignment horizontal="right" vertical="center"/>
    </xf>
    <xf numFmtId="0" fontId="16" fillId="3" borderId="6" xfId="0" applyFont="1" applyFill="1" applyBorder="1" applyAlignment="1">
      <alignment horizontal="right" vertical="center"/>
    </xf>
    <xf numFmtId="0" fontId="16" fillId="3" borderId="3" xfId="0" applyFont="1" applyFill="1" applyBorder="1" applyAlignment="1">
      <alignment horizontal="right" vertical="center"/>
    </xf>
    <xf numFmtId="0" fontId="17" fillId="0" borderId="0" xfId="0" applyFont="1" applyAlignment="1">
      <alignment horizontal="left" vertical="top" wrapText="1"/>
    </xf>
    <xf numFmtId="0" fontId="16" fillId="0" borderId="1" xfId="1" applyFont="1" applyBorder="1" applyAlignment="1">
      <alignment horizontal="center" vertical="center" wrapText="1"/>
    </xf>
    <xf numFmtId="0" fontId="16" fillId="0" borderId="8" xfId="1" applyFont="1" applyBorder="1" applyAlignment="1">
      <alignment horizontal="center" vertical="center" wrapText="1"/>
    </xf>
    <xf numFmtId="0" fontId="16" fillId="0" borderId="4" xfId="1" applyFont="1" applyBorder="1" applyAlignment="1">
      <alignment horizontal="center" vertical="center" wrapText="1"/>
    </xf>
    <xf numFmtId="3" fontId="16" fillId="0" borderId="8" xfId="1" applyNumberFormat="1" applyFont="1" applyBorder="1" applyAlignment="1">
      <alignment horizontal="center" vertical="center" wrapText="1"/>
    </xf>
    <xf numFmtId="3" fontId="16" fillId="0" borderId="4" xfId="1" applyNumberFormat="1" applyFont="1" applyBorder="1" applyAlignment="1">
      <alignment horizontal="center" vertical="center" wrapText="1"/>
    </xf>
    <xf numFmtId="0" fontId="17" fillId="4" borderId="0" xfId="88" applyFont="1" applyFill="1" applyAlignment="1">
      <alignment horizontal="left" vertical="top" wrapText="1"/>
    </xf>
    <xf numFmtId="3" fontId="16" fillId="0" borderId="5" xfId="0" applyNumberFormat="1" applyFont="1" applyBorder="1" applyAlignment="1">
      <alignment horizontal="center" vertical="center" wrapText="1"/>
    </xf>
    <xf numFmtId="3" fontId="16" fillId="0" borderId="3" xfId="0" applyNumberFormat="1" applyFont="1" applyBorder="1" applyAlignment="1">
      <alignment horizontal="center" vertical="center" wrapText="1"/>
    </xf>
    <xf numFmtId="1" fontId="30" fillId="0" borderId="22" xfId="0" applyNumberFormat="1" applyFont="1" applyBorder="1" applyAlignment="1">
      <alignment horizontal="right" wrapText="1"/>
    </xf>
    <xf numFmtId="1" fontId="30" fillId="0" borderId="2" xfId="0" applyNumberFormat="1" applyFont="1" applyBorder="1" applyAlignment="1">
      <alignment horizontal="right" wrapText="1"/>
    </xf>
    <xf numFmtId="1" fontId="30" fillId="0" borderId="12" xfId="0" applyNumberFormat="1" applyFont="1" applyBorder="1" applyAlignment="1">
      <alignment horizontal="right" wrapText="1"/>
    </xf>
    <xf numFmtId="0" fontId="26" fillId="0" borderId="0" xfId="0" applyFont="1" applyAlignment="1">
      <alignment horizontal="left" vertical="top" wrapText="1"/>
    </xf>
    <xf numFmtId="0" fontId="48" fillId="0" borderId="0" xfId="0" applyFont="1" applyAlignment="1">
      <alignment horizontal="left" vertical="center" wrapText="1"/>
    </xf>
    <xf numFmtId="0" fontId="28" fillId="0" borderId="0" xfId="0" applyFont="1" applyAlignment="1">
      <alignment horizontal="left" vertical="center" wrapText="1"/>
    </xf>
    <xf numFmtId="3" fontId="30" fillId="3" borderId="39" xfId="115" applyNumberFormat="1" applyFont="1" applyFill="1" applyBorder="1" applyAlignment="1">
      <alignment horizontal="center"/>
    </xf>
    <xf numFmtId="3" fontId="30" fillId="3" borderId="58" xfId="115" applyNumberFormat="1" applyFont="1" applyFill="1" applyBorder="1" applyAlignment="1">
      <alignment horizontal="center"/>
    </xf>
    <xf numFmtId="0" fontId="40" fillId="0" borderId="0" xfId="0" applyFont="1" applyAlignment="1">
      <alignment horizontal="left" vertical="center" wrapText="1"/>
    </xf>
    <xf numFmtId="3" fontId="8" fillId="0" borderId="1" xfId="0" applyNumberFormat="1" applyFont="1" applyBorder="1" applyAlignment="1">
      <alignment horizontal="center" vertical="center" wrapText="1"/>
    </xf>
    <xf numFmtId="0" fontId="8" fillId="0" borderId="0" xfId="0" applyFont="1" applyAlignment="1">
      <alignment horizontal="left" vertical="center" wrapText="1"/>
    </xf>
    <xf numFmtId="0" fontId="18" fillId="0" borderId="0" xfId="0" applyFont="1" applyAlignment="1">
      <alignment horizontal="left" vertical="center"/>
    </xf>
    <xf numFmtId="0" fontId="8" fillId="12" borderId="5" xfId="0" applyFont="1" applyFill="1" applyBorder="1" applyAlignment="1">
      <alignment horizontal="left" vertical="top" wrapText="1"/>
    </xf>
    <xf numFmtId="0" fontId="8" fillId="12" borderId="6" xfId="0" applyFont="1" applyFill="1" applyBorder="1" applyAlignment="1">
      <alignment horizontal="left" vertical="top" wrapText="1"/>
    </xf>
    <xf numFmtId="0" fontId="8" fillId="12" borderId="3" xfId="0" applyFont="1" applyFill="1" applyBorder="1" applyAlignment="1">
      <alignment horizontal="left" vertical="top" wrapText="1"/>
    </xf>
    <xf numFmtId="0" fontId="57" fillId="0" borderId="2" xfId="0" applyFont="1" applyBorder="1" applyAlignment="1">
      <alignment horizontal="center" vertical="center" wrapText="1"/>
    </xf>
    <xf numFmtId="0" fontId="55" fillId="0" borderId="1" xfId="0" applyFont="1" applyBorder="1" applyAlignment="1">
      <alignment horizontal="left" vertical="top" wrapText="1"/>
    </xf>
    <xf numFmtId="0" fontId="16" fillId="0" borderId="0" xfId="4" applyFont="1" applyAlignment="1">
      <alignment horizontal="left" vertical="center"/>
    </xf>
    <xf numFmtId="0" fontId="8" fillId="0" borderId="0" xfId="4" applyFont="1" applyAlignment="1">
      <alignment horizontal="left" vertical="center" wrapText="1"/>
    </xf>
    <xf numFmtId="0" fontId="18" fillId="0" borderId="0" xfId="0" applyFont="1" applyAlignment="1">
      <alignment horizontal="center" vertical="center" wrapText="1"/>
    </xf>
    <xf numFmtId="0" fontId="16" fillId="0" borderId="1" xfId="0" applyFont="1" applyBorder="1" applyAlignment="1">
      <alignment horizontal="center" wrapText="1"/>
    </xf>
    <xf numFmtId="0" fontId="17" fillId="0" borderId="0" xfId="0" applyFont="1" applyAlignment="1">
      <alignment horizontal="center"/>
    </xf>
    <xf numFmtId="0" fontId="16" fillId="4" borderId="2" xfId="84" applyFont="1" applyFill="1" applyBorder="1" applyAlignment="1">
      <alignment horizontal="center"/>
    </xf>
    <xf numFmtId="0" fontId="17" fillId="4" borderId="9" xfId="84" applyFont="1" applyFill="1" applyBorder="1" applyAlignment="1">
      <alignment horizontal="center"/>
    </xf>
    <xf numFmtId="0" fontId="17" fillId="4" borderId="10" xfId="84" applyFont="1" applyFill="1" applyBorder="1" applyAlignment="1">
      <alignment horizontal="center" vertical="center" wrapText="1"/>
    </xf>
    <xf numFmtId="0" fontId="17" fillId="4" borderId="10" xfId="84" applyFont="1" applyFill="1" applyBorder="1" applyAlignment="1">
      <alignment horizontal="center" vertical="center"/>
    </xf>
    <xf numFmtId="0" fontId="17" fillId="5" borderId="1" xfId="84" applyFont="1" applyFill="1" applyBorder="1" applyAlignment="1">
      <alignment horizontal="center" vertical="center" wrapText="1"/>
    </xf>
    <xf numFmtId="3" fontId="17" fillId="3" borderId="1" xfId="84" applyNumberFormat="1" applyFont="1" applyFill="1" applyBorder="1" applyAlignment="1">
      <alignment horizontal="center" vertical="center" wrapText="1"/>
    </xf>
    <xf numFmtId="0" fontId="17" fillId="3" borderId="1" xfId="84" applyFont="1" applyFill="1" applyBorder="1" applyAlignment="1">
      <alignment horizontal="center" vertical="center" wrapText="1"/>
    </xf>
    <xf numFmtId="0" fontId="17" fillId="4" borderId="0" xfId="84" applyFont="1" applyFill="1" applyAlignment="1">
      <alignment horizontal="left" vertical="center" wrapText="1"/>
    </xf>
    <xf numFmtId="0" fontId="17" fillId="3" borderId="5" xfId="84" applyFont="1" applyFill="1" applyBorder="1" applyAlignment="1">
      <alignment horizontal="center" vertical="center" wrapText="1"/>
    </xf>
    <xf numFmtId="0" fontId="17" fillId="3" borderId="6" xfId="84" applyFont="1" applyFill="1" applyBorder="1" applyAlignment="1">
      <alignment horizontal="center" vertical="center" wrapText="1"/>
    </xf>
    <xf numFmtId="0" fontId="17" fillId="3" borderId="3" xfId="84" applyFont="1" applyFill="1" applyBorder="1" applyAlignment="1">
      <alignment horizontal="center" vertical="center" wrapText="1"/>
    </xf>
    <xf numFmtId="3" fontId="17" fillId="3" borderId="5" xfId="84" applyNumberFormat="1" applyFont="1" applyFill="1" applyBorder="1" applyAlignment="1">
      <alignment horizontal="center" vertical="center" wrapText="1"/>
    </xf>
    <xf numFmtId="3" fontId="17" fillId="3" borderId="6" xfId="84" applyNumberFormat="1" applyFont="1" applyFill="1" applyBorder="1" applyAlignment="1">
      <alignment horizontal="center" vertical="center" wrapText="1"/>
    </xf>
    <xf numFmtId="3" fontId="17" fillId="3" borderId="3" xfId="84" applyNumberFormat="1" applyFont="1" applyFill="1" applyBorder="1" applyAlignment="1">
      <alignment horizontal="center" vertical="center" wrapText="1"/>
    </xf>
    <xf numFmtId="0" fontId="17" fillId="4" borderId="1" xfId="84" applyFont="1" applyFill="1" applyBorder="1" applyAlignment="1">
      <alignment horizontal="center"/>
    </xf>
    <xf numFmtId="0" fontId="17" fillId="0" borderId="1" xfId="88" applyFont="1" applyBorder="1" applyAlignment="1">
      <alignment horizontal="center" wrapText="1"/>
    </xf>
    <xf numFmtId="3" fontId="17" fillId="3" borderId="8" xfId="84" applyNumberFormat="1" applyFont="1" applyFill="1" applyBorder="1" applyAlignment="1">
      <alignment horizontal="center" vertical="center" wrapText="1"/>
    </xf>
    <xf numFmtId="3" fontId="17" fillId="3" borderId="4" xfId="84" applyNumberFormat="1" applyFont="1" applyFill="1" applyBorder="1" applyAlignment="1">
      <alignment horizontal="center" vertical="center" wrapText="1"/>
    </xf>
    <xf numFmtId="0" fontId="17" fillId="3" borderId="1" xfId="88" applyFont="1" applyFill="1" applyBorder="1" applyAlignment="1">
      <alignment horizontal="center" vertical="top" wrapText="1"/>
    </xf>
    <xf numFmtId="0" fontId="17" fillId="3" borderId="1" xfId="77" applyFont="1" applyFill="1" applyBorder="1" applyAlignment="1">
      <alignment horizontal="center" vertical="center" wrapText="1"/>
    </xf>
    <xf numFmtId="0" fontId="20" fillId="4" borderId="0" xfId="78" applyFont="1" applyFill="1" applyAlignment="1">
      <alignment horizontal="center" vertical="center" wrapText="1"/>
    </xf>
    <xf numFmtId="0" fontId="15" fillId="8" borderId="0" xfId="10" applyFont="1" applyFill="1" applyAlignment="1">
      <alignment horizontal="left" vertical="center" wrapText="1"/>
    </xf>
    <xf numFmtId="0" fontId="19" fillId="8" borderId="0" xfId="77" applyFont="1" applyFill="1" applyAlignment="1">
      <alignment horizontal="center"/>
    </xf>
    <xf numFmtId="0" fontId="17" fillId="4" borderId="1" xfId="77" applyFont="1" applyFill="1" applyBorder="1" applyAlignment="1">
      <alignment horizontal="center" vertical="center" wrapText="1"/>
    </xf>
    <xf numFmtId="0" fontId="17" fillId="4" borderId="1" xfId="77" applyFont="1" applyFill="1" applyBorder="1" applyAlignment="1">
      <alignment horizontal="center" vertical="center"/>
    </xf>
    <xf numFmtId="0" fontId="20" fillId="7" borderId="5" xfId="77" applyFont="1" applyFill="1" applyBorder="1" applyAlignment="1">
      <alignment horizontal="center" vertical="center" wrapText="1"/>
    </xf>
    <xf numFmtId="0" fontId="20" fillId="7" borderId="6" xfId="77" applyFont="1" applyFill="1" applyBorder="1" applyAlignment="1">
      <alignment horizontal="center" vertical="center" wrapText="1"/>
    </xf>
    <xf numFmtId="0" fontId="20" fillId="7" borderId="3" xfId="77" applyFont="1" applyFill="1" applyBorder="1" applyAlignment="1">
      <alignment horizontal="center" vertical="center" wrapText="1"/>
    </xf>
    <xf numFmtId="3" fontId="20" fillId="7" borderId="1" xfId="77" applyNumberFormat="1" applyFont="1" applyFill="1" applyBorder="1" applyAlignment="1">
      <alignment horizontal="center" vertical="center" wrapText="1"/>
    </xf>
    <xf numFmtId="3" fontId="20" fillId="7" borderId="5" xfId="77" applyNumberFormat="1" applyFont="1" applyFill="1" applyBorder="1" applyAlignment="1">
      <alignment horizontal="center" vertical="center" wrapText="1"/>
    </xf>
    <xf numFmtId="3" fontId="20" fillId="7" borderId="6" xfId="77" applyNumberFormat="1" applyFont="1" applyFill="1" applyBorder="1" applyAlignment="1">
      <alignment horizontal="center" vertical="center" wrapText="1"/>
    </xf>
    <xf numFmtId="3" fontId="20" fillId="7" borderId="3" xfId="77" applyNumberFormat="1" applyFont="1" applyFill="1" applyBorder="1" applyAlignment="1">
      <alignment horizontal="center" vertical="center" wrapText="1"/>
    </xf>
    <xf numFmtId="43" fontId="18" fillId="0" borderId="1" xfId="82" applyFont="1" applyFill="1" applyBorder="1" applyAlignment="1">
      <alignment horizontal="center" vertical="center"/>
    </xf>
    <xf numFmtId="43" fontId="18" fillId="0" borderId="5" xfId="82" applyFont="1" applyFill="1" applyBorder="1" applyAlignment="1">
      <alignment horizontal="center" vertical="center"/>
    </xf>
    <xf numFmtId="0" fontId="15" fillId="4" borderId="0" xfId="10" applyFont="1" applyFill="1" applyAlignment="1">
      <alignment vertical="center" wrapText="1"/>
    </xf>
    <xf numFmtId="0" fontId="8" fillId="8" borderId="0" xfId="10" applyFont="1" applyFill="1" applyAlignment="1">
      <alignment horizontal="left" vertical="center" wrapText="1"/>
    </xf>
    <xf numFmtId="164" fontId="8" fillId="11" borderId="5" xfId="82" applyNumberFormat="1" applyFont="1" applyFill="1" applyBorder="1" applyAlignment="1">
      <alignment vertical="center" wrapText="1"/>
    </xf>
    <xf numFmtId="164" fontId="8" fillId="11" borderId="3" xfId="82" applyNumberFormat="1" applyFont="1" applyFill="1" applyBorder="1" applyAlignment="1">
      <alignment vertical="center" wrapText="1"/>
    </xf>
    <xf numFmtId="3" fontId="20" fillId="7" borderId="8" xfId="77" applyNumberFormat="1" applyFont="1" applyFill="1" applyBorder="1" applyAlignment="1">
      <alignment horizontal="center" vertical="center" wrapText="1"/>
    </xf>
    <xf numFmtId="3" fontId="20" fillId="7" borderId="4" xfId="77" applyNumberFormat="1" applyFont="1" applyFill="1" applyBorder="1" applyAlignment="1">
      <alignment horizontal="center" vertical="center" wrapText="1"/>
    </xf>
    <xf numFmtId="0" fontId="20" fillId="7" borderId="1" xfId="78" applyFont="1" applyFill="1" applyBorder="1" applyAlignment="1">
      <alignment horizontal="center" vertical="top" wrapText="1"/>
    </xf>
    <xf numFmtId="0" fontId="17" fillId="0" borderId="0" xfId="78" applyFont="1" applyAlignment="1">
      <alignment horizontal="left" vertical="center" wrapText="1"/>
    </xf>
    <xf numFmtId="0" fontId="16" fillId="0" borderId="0" xfId="78" applyFont="1" applyAlignment="1">
      <alignment horizontal="left"/>
    </xf>
    <xf numFmtId="0" fontId="20" fillId="7" borderId="1" xfId="77" applyFont="1" applyFill="1" applyBorder="1" applyAlignment="1">
      <alignment horizontal="center" vertical="center" wrapText="1"/>
    </xf>
    <xf numFmtId="0" fontId="8" fillId="0" borderId="1" xfId="88" applyFont="1" applyBorder="1" applyAlignment="1">
      <alignment horizontal="center" vertical="center" wrapText="1"/>
    </xf>
    <xf numFmtId="0" fontId="37" fillId="0" borderId="9" xfId="0" applyFont="1" applyBorder="1" applyAlignment="1">
      <alignment horizontal="left" vertical="center" wrapText="1"/>
    </xf>
    <xf numFmtId="0" fontId="37" fillId="0" borderId="0" xfId="0" applyFont="1" applyAlignment="1">
      <alignment horizontal="left" vertical="center" wrapText="1"/>
    </xf>
    <xf numFmtId="0" fontId="17" fillId="0" borderId="2" xfId="78" applyFont="1" applyBorder="1" applyAlignment="1">
      <alignment horizontal="center" vertical="center" wrapText="1"/>
    </xf>
    <xf numFmtId="0" fontId="17" fillId="0" borderId="0" xfId="78" applyFont="1" applyAlignment="1">
      <alignment horizontal="center" vertical="center" wrapText="1"/>
    </xf>
  </cellXfs>
  <cellStyles count="116">
    <cellStyle name="Comma" xfId="2" builtinId="3"/>
    <cellStyle name="Comma 11" xfId="82" xr:uid="{AF896FAF-C80E-4A31-9BBF-4B94B878B4F8}"/>
    <cellStyle name="Comma 11 2" xfId="103" xr:uid="{45ADABAA-597E-48E2-AC4B-C6A1101D9288}"/>
    <cellStyle name="Comma 2" xfId="6" xr:uid="{F8E5A03D-4C81-45F0-A24C-29B156F336D9}"/>
    <cellStyle name="Comma 2 14" xfId="25" xr:uid="{EAE09C23-5D27-4E8B-B866-CC2DF5F4B137}"/>
    <cellStyle name="Comma 2 2" xfId="19" xr:uid="{EFF771D3-00CD-4E38-A540-7AA094F129DF}"/>
    <cellStyle name="Comma 2 2 2" xfId="36" xr:uid="{1227F8BB-C479-47B7-9A9B-AB727FA4B86A}"/>
    <cellStyle name="Comma 2 2 2 2" xfId="50" xr:uid="{E69A759C-438F-419F-A182-BFDDF03DC9E4}"/>
    <cellStyle name="Comma 2 2 2 2 2" xfId="71" xr:uid="{EF891585-FA3D-4A8A-B886-BD84E4417266}"/>
    <cellStyle name="Comma 2 2 2 3" xfId="59" xr:uid="{97799BEF-A32F-4C57-A7E2-555AC1E4685F}"/>
    <cellStyle name="Comma 2 2 3" xfId="40" xr:uid="{F7E2DE27-ED63-4180-B71E-05E8DC85F622}"/>
    <cellStyle name="Comma 2 2 3 2" xfId="53" xr:uid="{1CCB7A4A-1668-4DDB-8505-8E2C4D60A715}"/>
    <cellStyle name="Comma 2 2 3 2 2" xfId="73" xr:uid="{E57F6B54-38FF-467D-9E10-45FAA133099F}"/>
    <cellStyle name="Comma 2 2 3 3" xfId="63" xr:uid="{66A7B720-F124-4368-ABF4-60838BD3D2C5}"/>
    <cellStyle name="Comma 2 2 4" xfId="43" xr:uid="{A8F448CC-12DF-4C64-9245-4940B85514DE}"/>
    <cellStyle name="Comma 2 2 4 2" xfId="66" xr:uid="{039733EC-34BD-4D5C-947D-7D4F93CE3A51}"/>
    <cellStyle name="Comma 2 2 5" xfId="56" xr:uid="{0AD17CE4-15E5-461E-AC97-CF3AAF7D2DE2}"/>
    <cellStyle name="Comma 2 2 6 4" xfId="86" xr:uid="{D0B9E24B-BC42-4BF2-868F-3AB261E65C30}"/>
    <cellStyle name="Comma 2 2 6 4 2" xfId="104" xr:uid="{3D52B5E5-9FE8-4612-8D21-D0FBD74C82BE}"/>
    <cellStyle name="Comma 2 3" xfId="49" xr:uid="{079E960B-B0E5-4605-A8EB-8A7E915CEDC5}"/>
    <cellStyle name="Comma 2 3 2" xfId="70" xr:uid="{E70EE57D-3678-4CD7-8383-CFF9246110DA}"/>
    <cellStyle name="Comma 2 4" xfId="58" xr:uid="{1F25E8B7-314C-4853-A3E0-F8458E48EC79}"/>
    <cellStyle name="Comma 2 5" xfId="35" xr:uid="{AA72B262-ED1B-4ADF-9383-7C1C118D8D7E}"/>
    <cellStyle name="Comma 3" xfId="39" xr:uid="{2CD2EDFA-D08A-4718-B5D2-2A216D40357F}"/>
    <cellStyle name="Comma 3 2" xfId="55" xr:uid="{32D5D383-164E-4C1F-BDC8-2B8F556CFC55}"/>
    <cellStyle name="Comma 3 2 2" xfId="75" xr:uid="{193C1309-8E2A-408A-95E6-C46343A93B53}"/>
    <cellStyle name="Comma 3 3" xfId="62" xr:uid="{3DB9DA43-7099-4E34-82FC-B9D3B4EF1994}"/>
    <cellStyle name="Comma 3 4" xfId="114" xr:uid="{AB54612A-D22A-4B15-A418-C1EF5B988764}"/>
    <cellStyle name="Comma 4" xfId="42" xr:uid="{91082DB4-EBD5-48C2-812F-0DFBEE090DBD}"/>
    <cellStyle name="Comma 4 2" xfId="65" xr:uid="{E08857C9-F001-4E16-BD66-5A165AD5F0CB}"/>
    <cellStyle name="Explanatory Text 2" xfId="47" xr:uid="{0CFAB8FB-1AC8-47B7-B967-42181E74E9A5}"/>
    <cellStyle name="Heading 3 2" xfId="32" xr:uid="{37552F23-3622-47EA-ABFD-BB8566047997}"/>
    <cellStyle name="Hyperlink 2 4" xfId="87" xr:uid="{5C390165-CC96-4200-BA05-7952EB0EE8EE}"/>
    <cellStyle name="Normal" xfId="0" builtinId="0"/>
    <cellStyle name="Normal 10 2 2" xfId="5" xr:uid="{FF7E0BA5-C699-41B5-B3FB-FB8AECEDABA8}"/>
    <cellStyle name="Normal 10 5 7 2 2" xfId="88" xr:uid="{C1030EC4-42D8-48AF-BB58-2DB61FD46227}"/>
    <cellStyle name="Normal 10 7" xfId="1" xr:uid="{B87162E3-279D-492E-A80A-1D366F2C10B1}"/>
    <cellStyle name="Normal 10 7 2" xfId="12" xr:uid="{F1F34BD1-1BC5-4917-823B-5C4CC65352A3}"/>
    <cellStyle name="Normal 10 7 2 2" xfId="94" xr:uid="{22D8D509-BB55-4C4A-9FA9-7D73196A2F8A}"/>
    <cellStyle name="Normal 10 7 2 3" xfId="27" xr:uid="{AEC00C90-34F6-404E-947B-6B652B179256}"/>
    <cellStyle name="Normal 10 7 2 3 2" xfId="99" xr:uid="{ED732E20-D447-4A3B-A0C7-DF189334318E}"/>
    <cellStyle name="Normal 10 7 2 3 3" xfId="112" xr:uid="{C6490DFC-AEF2-405F-A39A-597D01E390BC}"/>
    <cellStyle name="Normal 10 7 2 4" xfId="109" xr:uid="{64E6F596-D029-432D-B436-554FDD7D8E6A}"/>
    <cellStyle name="Normal 10 7 3" xfId="89" xr:uid="{2179370A-72B5-4D37-B628-D65D59FF4FE5}"/>
    <cellStyle name="Normal 10 7 4" xfId="105" xr:uid="{3EFC7511-DC60-4EB4-BC8C-DF65C46E1FCD}"/>
    <cellStyle name="Normal 17" xfId="78" xr:uid="{4926C055-7E3B-4ECA-9174-0BF090E9553F}"/>
    <cellStyle name="Normal 18 3" xfId="76" xr:uid="{1F903A20-FAC5-434A-9C19-4128DE642303}"/>
    <cellStyle name="Normal 2" xfId="7" xr:uid="{954FA722-CE8B-4175-BF8B-A58446D12F00}"/>
    <cellStyle name="Normal 2 12" xfId="3" xr:uid="{45F65235-D49D-4588-928B-78307C5BD61B}"/>
    <cellStyle name="Normal 2 12 2" xfId="28" xr:uid="{1D8B82A3-B0CD-4714-B33E-13A7AEB4C579}"/>
    <cellStyle name="Normal 2 12 2 2" xfId="100" xr:uid="{397F4742-FA9A-437C-8775-8FA4690D2D7C}"/>
    <cellStyle name="Normal 2 12 2 3" xfId="113" xr:uid="{4AA3E389-9F9D-4077-A894-99D66AF202E9}"/>
    <cellStyle name="Normal 2 12 3" xfId="90" xr:uid="{141CB662-C4A6-4163-B801-49FA46E69238}"/>
    <cellStyle name="Normal 2 12 4" xfId="106" xr:uid="{D59DCA6F-8C01-4D64-970F-3DF8F481142D}"/>
    <cellStyle name="Normal 2 2" xfId="11" xr:uid="{AD369875-CC1F-432C-909F-F19AFA256CD1}"/>
    <cellStyle name="Normal 2 2 2 2" xfId="10" xr:uid="{FDAFF4A3-E2DE-420A-A2FF-EC7062D714CF}"/>
    <cellStyle name="Normal 2 2 3" xfId="33" xr:uid="{C34F88E5-3A9B-424B-8A70-9009ACA4825E}"/>
    <cellStyle name="Normal 2 3" xfId="20" xr:uid="{E57256AD-3FDD-46D8-AED8-814C5027D22C}"/>
    <cellStyle name="Normal 2 3 2" xfId="45" xr:uid="{1A4FF852-DA00-41E2-B1EA-1CF3AA7FA357}"/>
    <cellStyle name="Normal 2 3 2 2" xfId="68" xr:uid="{9D24A7B3-BEBE-4668-A2EF-B5738B5CFADE}"/>
    <cellStyle name="Normal 2 3 3" xfId="54" xr:uid="{8970CAAB-5B1D-4072-B0E4-3F5EA057A5DA}"/>
    <cellStyle name="Normal 2 3 3 2" xfId="74" xr:uid="{983ED0BA-0BA8-41B6-854F-70974E8F0FB6}"/>
    <cellStyle name="Normal 2 3 4" xfId="61" xr:uid="{613FC81B-40D3-4677-9570-30A6D1072641}"/>
    <cellStyle name="Normal 2 3 5" xfId="38" xr:uid="{518EC1A4-892F-42B7-B0AA-B1E9F46D4021}"/>
    <cellStyle name="Normal 2 4" xfId="31" xr:uid="{B90A5704-AE15-4274-A9FF-2B55B9B74CA7}"/>
    <cellStyle name="Normal 2 5" xfId="14" xr:uid="{7CED82DD-6B0D-4F2E-BE76-5AE0C059A149}"/>
    <cellStyle name="Normal 24 2 3 4 2 2 3 6 2" xfId="115" xr:uid="{66DC0718-C54C-4FBD-9EBB-DF8FE88CCEAE}"/>
    <cellStyle name="Normal 3" xfId="4" xr:uid="{4C0CDB01-6437-4D12-B304-2B700A91E263}"/>
    <cellStyle name="Normal 3 10" xfId="22" xr:uid="{D7B9BAC9-ADAA-4718-949F-A588F7604141}"/>
    <cellStyle name="Normal 3 10 2 4" xfId="84" xr:uid="{3BB04862-E0E4-407D-BC33-82DED5AFE7D9}"/>
    <cellStyle name="Normal 3 10 7" xfId="77" xr:uid="{5AAA0796-D02C-460C-A2DB-DCD35A68407E}"/>
    <cellStyle name="Normal 3 2" xfId="16" xr:uid="{47BF0F56-8A4E-4EB1-A76C-6ED27F3962C3}"/>
    <cellStyle name="Normal 3 2 2" xfId="21" xr:uid="{B6B550E6-15C7-48E5-9AAC-E8A6866856D9}"/>
    <cellStyle name="Normal 3 2 2 2" xfId="46" xr:uid="{FCAE0558-ACE3-4DBB-AE4A-0CEC3F8AC91A}"/>
    <cellStyle name="Normal 3 2 2 2 2" xfId="102" xr:uid="{18EB5BA8-6BAC-4566-984A-5ABE7E3466E5}"/>
    <cellStyle name="Normal 3 2 3" xfId="60" xr:uid="{2D67EECB-1066-42B7-BA97-010E7D3460CE}"/>
    <cellStyle name="Normal 3 2 4" xfId="37" xr:uid="{67A77990-9E17-4CEF-A5AE-BDA33701E9A6}"/>
    <cellStyle name="Normal 3 3" xfId="41" xr:uid="{6BEF556F-53AF-485A-A001-B56014148746}"/>
    <cellStyle name="Normal 3 3 2" xfId="51" xr:uid="{8D5D79C6-5EFC-4CD2-8DC0-0D747D13B039}"/>
    <cellStyle name="Normal 3 3 2 11" xfId="85" xr:uid="{6D2F6A73-7969-43F5-B8D6-FCCBE956A670}"/>
    <cellStyle name="Normal 3 3 2 2" xfId="72" xr:uid="{AAC45439-3BE0-4FF4-AE30-938EB370A926}"/>
    <cellStyle name="Normal 3 3 3" xfId="64" xr:uid="{A20A0E8B-9626-4E87-BB78-FDA469A8DC89}"/>
    <cellStyle name="Normal 3 3 6" xfId="79" xr:uid="{DE0C0D5F-C3FC-4F53-B7D9-C42E945B8B6B}"/>
    <cellStyle name="Normal 3 4" xfId="44" xr:uid="{6CC30DC2-6183-4DF4-85A4-149EE55A9999}"/>
    <cellStyle name="Normal 3 4 2" xfId="67" xr:uid="{C9653A96-2520-4BBE-B607-66737FDA51A9}"/>
    <cellStyle name="Normal 3 40" xfId="91" xr:uid="{16B80B40-28E9-4E6C-B277-4E08391C65E8}"/>
    <cellStyle name="Normal 3 5" xfId="57" xr:uid="{2118D3A1-AC42-4CE2-A127-984E31E8A93B}"/>
    <cellStyle name="Normal 3 5 2 10" xfId="97" xr:uid="{A9A0D507-043F-4517-A699-0475DAC27060}"/>
    <cellStyle name="Normal 3 5 2 9" xfId="80" xr:uid="{D6FE7C5A-3CCD-4BAF-A12B-59E759700051}"/>
    <cellStyle name="Normal 3 50" xfId="81" xr:uid="{E8056653-1B8C-4AE1-BF72-33A109F2BFEE}"/>
    <cellStyle name="Normal 39 9" xfId="17" xr:uid="{CD7ECA4A-2C3A-4B23-AA4A-D9652F8AC9E8}"/>
    <cellStyle name="Normal 4" xfId="18" xr:uid="{7F0533C3-CC03-496D-AA49-C1E5084FE938}"/>
    <cellStyle name="Normal 4 2" xfId="52" xr:uid="{F49381D4-8A8A-4942-BD1A-F50F7EAA2E12}"/>
    <cellStyle name="Normal 4 3" xfId="69" xr:uid="{45480B8E-55F5-4ED6-A12B-77E928620CFA}"/>
    <cellStyle name="Normal 4 4" xfId="48" xr:uid="{C6F9C65B-6D39-48B0-9A24-25ADEBDC4316}"/>
    <cellStyle name="Normal 5" xfId="9" xr:uid="{191FEB95-2F1C-49E4-BF83-0707315C7AB5}"/>
    <cellStyle name="Normal 5 2" xfId="34" xr:uid="{CBEB4462-8E3C-4C35-ACE8-EAA1ADB35066}"/>
    <cellStyle name="Normal 5 2 2" xfId="101" xr:uid="{92617865-1E81-4BAE-AC10-EA9F8AD4B559}"/>
    <cellStyle name="Normal 5 3" xfId="15" xr:uid="{BB7F8095-DDC0-4589-A093-E3E2CE034CED}"/>
    <cellStyle name="Normal 5 3 2" xfId="96" xr:uid="{D185B000-9160-4F3C-8CDE-A09FA21531F3}"/>
    <cellStyle name="Normal 5 3 3" xfId="111" xr:uid="{777531A7-BCB0-4E44-BC34-247CAC9CAD42}"/>
    <cellStyle name="Normal 5 4" xfId="93" xr:uid="{FB648124-0E2B-46D5-B041-D2DE82FCFFA7}"/>
    <cellStyle name="Normal 5 5" xfId="108" xr:uid="{D9DFD9A9-FAD1-45C5-AF4D-ADAED2B2FA8D}"/>
    <cellStyle name="Normal 6" xfId="8" xr:uid="{7A4BD534-C035-4E40-9D1A-98264385F07D}"/>
    <cellStyle name="Normal 6 11" xfId="13" xr:uid="{15F41F5B-2142-44DB-A3BF-F60EA7792A01}"/>
    <cellStyle name="Normal 6 11 2" xfId="95" xr:uid="{BC4860FC-1BE3-4903-95E7-39673D4FEE30}"/>
    <cellStyle name="Normal 6 11 3" xfId="110" xr:uid="{5F30E323-B302-4BD2-951D-F29916E49C24}"/>
    <cellStyle name="Normal 6 2" xfId="92" xr:uid="{F0EAF7FD-8323-43D9-AD79-9A18451D58CF}"/>
    <cellStyle name="Normal 6 3" xfId="107" xr:uid="{6AE7EC98-8791-45C8-A1C4-77C12D13CCCA}"/>
    <cellStyle name="Normal 7" xfId="23" xr:uid="{8ADB24A4-718C-4B3F-85DB-F4E4AF1F1357}"/>
    <cellStyle name="Normal 7 9" xfId="26" xr:uid="{CFBC25EF-963C-4F51-A3EF-716DDFBEB81C}"/>
    <cellStyle name="Normal 8" xfId="29" xr:uid="{C11851F5-2E93-44C3-8AF4-B636ECC1D36A}"/>
    <cellStyle name="Normal 99" xfId="24" xr:uid="{F072C0E1-FAFA-4931-8C7A-9C066BCA553F}"/>
    <cellStyle name="Normal 99 2" xfId="98" xr:uid="{B0099618-A827-48B1-9933-5D9D31C33131}"/>
    <cellStyle name="Normal_Sheet1 2 2 2" xfId="83" xr:uid="{F0EDA474-9597-4660-9DB5-0784CD06F473}"/>
    <cellStyle name="V?st." xfId="30" xr:uid="{0A31E6FB-CB9B-4E2E-B8F1-077C2E8E039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externalLink" Target="externalLinks/externalLink7.xml"/><Relationship Id="rId10" Type="http://schemas.openxmlformats.org/officeDocument/2006/relationships/externalLink" Target="externalLinks/externalLink2.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C:\Documents%20and%20Settings\Svetlana.Supulniece\Local%20Settings\Temporary%20Internet%20Files\Content.Outlook\J21U5MYL\LIC%20PP%20parrekins%20pec%202012%209m%20DB\LIC%20laboratorija\R0032%20-LIC%20darbs%20laboratorija%20citam%20ar%20palidz%20veidu%20AI%2031102012.xls?73E465BC" TargetMode="External"/><Relationship Id="rId1" Type="http://schemas.openxmlformats.org/officeDocument/2006/relationships/externalLinkPath" Target="file:///\\73E465BC\R0032%20-LIC%20darbs%20laboratorija%20citam%20ar%20palidz%20veidu%20AI%203110201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Ambulatoro_pakalpojumu_nodala\Planosana_2012\SAVA\!_Grozijumi%202012.gada%20laikaa\Egija_Grozijumi%20ar%2001.10.2012_NEPIENEMTIE\Apaksas%20SAVA%20rikojumam.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Finansu_planosanas_nodala\BUD&#381;ETS\2019\33_finansejums_2018_2021g.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0032"/>
      <sheetName val="Macro1"/>
      <sheetName val="Datu baze bez -"/>
      <sheetName val="Tarifi 18.piel"/>
      <sheetName val="Manip ar 0 tarif"/>
      <sheetName val="LIC tarifi"/>
    </sheetNames>
    <sheetDataSet>
      <sheetData sheetId="0" refreshError="1"/>
      <sheetData sheetId="1">
        <row r="80">
          <cell r="A80" t="str">
            <v>Recover</v>
          </cell>
        </row>
      </sheetData>
      <sheetData sheetId="2" refreshError="1"/>
      <sheetData sheetId="3" refreshError="1"/>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ow r="16">
          <cell r="C16">
            <v>3050494</v>
          </cell>
        </row>
      </sheetData>
      <sheetData sheetId="1"/>
      <sheetData sheetId="2"/>
      <sheetData sheetId="3"/>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889C9-16F5-440D-8C61-3510E9A02896}">
  <sheetPr>
    <tabColor theme="9" tint="0.79998168889431442"/>
  </sheetPr>
  <dimension ref="A1:O113"/>
  <sheetViews>
    <sheetView tabSelected="1" view="pageBreakPreview" topLeftCell="A56" zoomScale="68" zoomScaleNormal="68" zoomScaleSheetLayoutView="68" workbookViewId="0">
      <selection activeCell="P58" sqref="P58"/>
    </sheetView>
  </sheetViews>
  <sheetFormatPr defaultColWidth="9.140625" defaultRowHeight="12.75"/>
  <cols>
    <col min="1" max="1" width="6" style="1" customWidth="1"/>
    <col min="2" max="2" width="16.5703125" style="1" customWidth="1"/>
    <col min="3" max="3" width="44.42578125" style="1" customWidth="1"/>
    <col min="4" max="4" width="41.42578125" style="1" customWidth="1"/>
    <col min="5" max="5" width="18.140625" style="1" customWidth="1"/>
    <col min="6" max="6" width="20.42578125" style="1" customWidth="1"/>
    <col min="7" max="7" width="20.28515625" style="1" customWidth="1"/>
    <col min="8" max="8" width="16.42578125" style="1" customWidth="1"/>
    <col min="9" max="9" width="17.140625" style="1" customWidth="1"/>
    <col min="10" max="10" width="12.85546875" style="1" customWidth="1"/>
    <col min="11" max="11" width="15.7109375" style="1" customWidth="1"/>
    <col min="12" max="12" width="15.5703125" style="1" customWidth="1"/>
    <col min="13" max="13" width="12.5703125" style="1" customWidth="1"/>
    <col min="14" max="15" width="13.140625" style="1" customWidth="1"/>
    <col min="16" max="16384" width="9.140625" style="1"/>
  </cols>
  <sheetData>
    <row r="1" spans="1:15">
      <c r="I1" s="597" t="s">
        <v>7</v>
      </c>
      <c r="J1" s="597"/>
      <c r="K1" s="597"/>
      <c r="L1" s="597"/>
    </row>
    <row r="2" spans="1:15">
      <c r="A2" s="599" t="s">
        <v>13</v>
      </c>
      <c r="B2" s="599"/>
      <c r="C2" s="599"/>
      <c r="K2" s="12"/>
      <c r="L2" s="12"/>
    </row>
    <row r="3" spans="1:15">
      <c r="A3" s="3"/>
      <c r="B3" s="3"/>
      <c r="C3" s="3"/>
      <c r="K3" s="12"/>
      <c r="L3" s="12"/>
    </row>
    <row r="4" spans="1:15" ht="25.5">
      <c r="A4" s="600"/>
      <c r="B4" s="600"/>
      <c r="C4" s="600"/>
      <c r="D4" s="600"/>
      <c r="E4" s="13" t="s">
        <v>9</v>
      </c>
      <c r="F4" s="13" t="s">
        <v>10</v>
      </c>
    </row>
    <row r="5" spans="1:15">
      <c r="A5" s="14"/>
      <c r="B5" s="14"/>
      <c r="C5" s="14"/>
      <c r="D5" s="14"/>
      <c r="E5" s="15">
        <f>I59+I74+I110</f>
        <v>2434369</v>
      </c>
      <c r="F5" s="15">
        <f>J59+I74+J110</f>
        <v>3245825</v>
      </c>
    </row>
    <row r="6" spans="1:15">
      <c r="A6" s="5" t="s">
        <v>14</v>
      </c>
    </row>
    <row r="7" spans="1:15">
      <c r="G7" s="601" t="s">
        <v>15</v>
      </c>
      <c r="H7" s="601"/>
      <c r="I7" s="601"/>
      <c r="J7" s="601" t="s">
        <v>16</v>
      </c>
      <c r="K7" s="601"/>
      <c r="L7" s="601"/>
      <c r="M7" s="16"/>
      <c r="N7" s="16"/>
      <c r="O7" s="16"/>
    </row>
    <row r="8" spans="1:15" ht="63.75">
      <c r="A8" s="17" t="s">
        <v>17</v>
      </c>
      <c r="B8" s="602" t="s">
        <v>18</v>
      </c>
      <c r="C8" s="603"/>
      <c r="D8" s="18" t="s">
        <v>19</v>
      </c>
      <c r="E8" s="18" t="s">
        <v>20</v>
      </c>
      <c r="F8" s="18" t="s">
        <v>21</v>
      </c>
      <c r="G8" s="18" t="s">
        <v>22</v>
      </c>
      <c r="H8" s="18" t="s">
        <v>23</v>
      </c>
      <c r="I8" s="18" t="s">
        <v>24</v>
      </c>
      <c r="J8" s="18" t="s">
        <v>25</v>
      </c>
      <c r="K8" s="18" t="s">
        <v>26</v>
      </c>
      <c r="L8" s="18" t="s">
        <v>27</v>
      </c>
    </row>
    <row r="9" spans="1:15">
      <c r="A9" s="604"/>
      <c r="B9" s="605"/>
      <c r="C9" s="605"/>
      <c r="D9" s="606"/>
      <c r="E9" s="19">
        <v>1</v>
      </c>
      <c r="F9" s="19">
        <v>2</v>
      </c>
      <c r="G9" s="19" t="s">
        <v>28</v>
      </c>
      <c r="H9" s="19" t="s">
        <v>29</v>
      </c>
      <c r="I9" s="19" t="s">
        <v>30</v>
      </c>
      <c r="J9" s="19" t="s">
        <v>28</v>
      </c>
      <c r="K9" s="19" t="s">
        <v>29</v>
      </c>
      <c r="L9" s="19" t="s">
        <v>30</v>
      </c>
    </row>
    <row r="10" spans="1:15">
      <c r="A10" s="20" t="s">
        <v>31</v>
      </c>
      <c r="B10" s="598" t="s">
        <v>32</v>
      </c>
      <c r="C10" s="598"/>
      <c r="D10" s="21" t="s">
        <v>33</v>
      </c>
      <c r="E10" s="22">
        <v>10.45</v>
      </c>
      <c r="F10" s="23">
        <v>0.21</v>
      </c>
      <c r="G10" s="24">
        <v>5767</v>
      </c>
      <c r="H10" s="25">
        <f t="shared" ref="H10:H50" si="0">E10*G10</f>
        <v>60265.149999999994</v>
      </c>
      <c r="I10" s="25">
        <f>ROUND(H10*1.21,2)</f>
        <v>72920.83</v>
      </c>
      <c r="J10" s="24">
        <v>7713</v>
      </c>
      <c r="K10" s="26">
        <f t="shared" ref="K10:K50" si="1">E10*J10</f>
        <v>80600.849999999991</v>
      </c>
      <c r="L10" s="26">
        <f>ROUND(K10*1.21,2)</f>
        <v>97527.03</v>
      </c>
    </row>
    <row r="11" spans="1:15">
      <c r="A11" s="20" t="s">
        <v>34</v>
      </c>
      <c r="B11" s="598" t="s">
        <v>32</v>
      </c>
      <c r="C11" s="598"/>
      <c r="D11" s="21" t="s">
        <v>35</v>
      </c>
      <c r="E11" s="22">
        <v>10.45</v>
      </c>
      <c r="F11" s="23">
        <v>0.21</v>
      </c>
      <c r="G11" s="24">
        <v>5767</v>
      </c>
      <c r="H11" s="25">
        <f t="shared" si="0"/>
        <v>60265.149999999994</v>
      </c>
      <c r="I11" s="25">
        <f t="shared" ref="I11:I50" si="2">ROUND(H11*1.21,2)</f>
        <v>72920.83</v>
      </c>
      <c r="J11" s="24">
        <v>7713</v>
      </c>
      <c r="K11" s="26">
        <f t="shared" si="1"/>
        <v>80600.849999999991</v>
      </c>
      <c r="L11" s="26">
        <f t="shared" ref="L11:L50" si="3">ROUND(K11*1.21,2)</f>
        <v>97527.03</v>
      </c>
    </row>
    <row r="12" spans="1:15">
      <c r="A12" s="20" t="s">
        <v>36</v>
      </c>
      <c r="B12" s="598" t="s">
        <v>32</v>
      </c>
      <c r="C12" s="598"/>
      <c r="D12" s="21" t="s">
        <v>37</v>
      </c>
      <c r="E12" s="22">
        <v>10.45</v>
      </c>
      <c r="F12" s="23">
        <v>0.21</v>
      </c>
      <c r="G12" s="24">
        <v>5383</v>
      </c>
      <c r="H12" s="25">
        <f t="shared" si="0"/>
        <v>56252.35</v>
      </c>
      <c r="I12" s="25">
        <f t="shared" si="2"/>
        <v>68065.34</v>
      </c>
      <c r="J12" s="24">
        <v>7199</v>
      </c>
      <c r="K12" s="26">
        <f t="shared" si="1"/>
        <v>75229.549999999988</v>
      </c>
      <c r="L12" s="26">
        <f t="shared" si="3"/>
        <v>91027.76</v>
      </c>
    </row>
    <row r="13" spans="1:15">
      <c r="A13" s="20" t="s">
        <v>38</v>
      </c>
      <c r="B13" s="598" t="s">
        <v>32</v>
      </c>
      <c r="C13" s="598"/>
      <c r="D13" s="21" t="s">
        <v>39</v>
      </c>
      <c r="E13" s="22">
        <v>10.45</v>
      </c>
      <c r="F13" s="23">
        <v>0.21</v>
      </c>
      <c r="G13" s="24">
        <v>3076</v>
      </c>
      <c r="H13" s="25">
        <f t="shared" si="0"/>
        <v>32144.199999999997</v>
      </c>
      <c r="I13" s="25">
        <f t="shared" si="2"/>
        <v>38894.480000000003</v>
      </c>
      <c r="J13" s="24">
        <v>4114</v>
      </c>
      <c r="K13" s="26">
        <f t="shared" si="1"/>
        <v>42991.299999999996</v>
      </c>
      <c r="L13" s="26">
        <f t="shared" si="3"/>
        <v>52019.47</v>
      </c>
    </row>
    <row r="14" spans="1:15">
      <c r="A14" s="20" t="s">
        <v>40</v>
      </c>
      <c r="B14" s="598" t="s">
        <v>32</v>
      </c>
      <c r="C14" s="598"/>
      <c r="D14" s="21" t="s">
        <v>41</v>
      </c>
      <c r="E14" s="22">
        <v>11.5</v>
      </c>
      <c r="F14" s="23">
        <v>0.21</v>
      </c>
      <c r="G14" s="24">
        <v>3075</v>
      </c>
      <c r="H14" s="25">
        <f t="shared" si="0"/>
        <v>35362.5</v>
      </c>
      <c r="I14" s="25">
        <f t="shared" si="2"/>
        <v>42788.63</v>
      </c>
      <c r="J14" s="24">
        <v>4114</v>
      </c>
      <c r="K14" s="26">
        <f t="shared" si="1"/>
        <v>47311</v>
      </c>
      <c r="L14" s="26">
        <f t="shared" si="3"/>
        <v>57246.31</v>
      </c>
    </row>
    <row r="15" spans="1:15">
      <c r="A15" s="20" t="s">
        <v>42</v>
      </c>
      <c r="B15" s="598" t="s">
        <v>32</v>
      </c>
      <c r="C15" s="598"/>
      <c r="D15" s="21" t="s">
        <v>43</v>
      </c>
      <c r="E15" s="22">
        <v>11.5</v>
      </c>
      <c r="F15" s="23">
        <v>0.21</v>
      </c>
      <c r="G15" s="24">
        <v>3460</v>
      </c>
      <c r="H15" s="25">
        <f t="shared" si="0"/>
        <v>39790</v>
      </c>
      <c r="I15" s="25">
        <f t="shared" si="2"/>
        <v>48145.9</v>
      </c>
      <c r="J15" s="24">
        <v>4628</v>
      </c>
      <c r="K15" s="26">
        <f t="shared" si="1"/>
        <v>53222</v>
      </c>
      <c r="L15" s="26">
        <f t="shared" si="3"/>
        <v>64398.62</v>
      </c>
    </row>
    <row r="16" spans="1:15">
      <c r="A16" s="20" t="s">
        <v>44</v>
      </c>
      <c r="B16" s="598" t="s">
        <v>32</v>
      </c>
      <c r="C16" s="598"/>
      <c r="D16" s="21" t="s">
        <v>45</v>
      </c>
      <c r="E16" s="22">
        <v>10.25</v>
      </c>
      <c r="F16" s="23">
        <v>0.21</v>
      </c>
      <c r="G16" s="24">
        <v>3845</v>
      </c>
      <c r="H16" s="25">
        <f t="shared" si="0"/>
        <v>39411.25</v>
      </c>
      <c r="I16" s="25">
        <f t="shared" si="2"/>
        <v>47687.61</v>
      </c>
      <c r="J16" s="24">
        <v>5142</v>
      </c>
      <c r="K16" s="26">
        <f t="shared" si="1"/>
        <v>52705.5</v>
      </c>
      <c r="L16" s="26">
        <f t="shared" si="3"/>
        <v>63773.66</v>
      </c>
    </row>
    <row r="17" spans="1:12" ht="25.5">
      <c r="A17" s="20" t="s">
        <v>46</v>
      </c>
      <c r="B17" s="598" t="s">
        <v>32</v>
      </c>
      <c r="C17" s="598"/>
      <c r="D17" s="21" t="s">
        <v>47</v>
      </c>
      <c r="E17" s="22">
        <v>11.8</v>
      </c>
      <c r="F17" s="23">
        <v>0.21</v>
      </c>
      <c r="G17" s="24">
        <v>3460</v>
      </c>
      <c r="H17" s="25">
        <f t="shared" si="0"/>
        <v>40828</v>
      </c>
      <c r="I17" s="25">
        <f t="shared" si="2"/>
        <v>49401.88</v>
      </c>
      <c r="J17" s="24">
        <v>4628</v>
      </c>
      <c r="K17" s="26">
        <f t="shared" si="1"/>
        <v>54610.400000000001</v>
      </c>
      <c r="L17" s="26">
        <f t="shared" si="3"/>
        <v>66078.58</v>
      </c>
    </row>
    <row r="18" spans="1:12">
      <c r="A18" s="20" t="s">
        <v>48</v>
      </c>
      <c r="B18" s="598" t="s">
        <v>32</v>
      </c>
      <c r="C18" s="598"/>
      <c r="D18" s="21" t="s">
        <v>49</v>
      </c>
      <c r="E18" s="22">
        <v>10.25</v>
      </c>
      <c r="F18" s="23">
        <v>0.21</v>
      </c>
      <c r="G18" s="24">
        <v>3076</v>
      </c>
      <c r="H18" s="25">
        <f t="shared" si="0"/>
        <v>31529</v>
      </c>
      <c r="I18" s="25">
        <f t="shared" si="2"/>
        <v>38150.089999999997</v>
      </c>
      <c r="J18" s="24">
        <v>4114</v>
      </c>
      <c r="K18" s="26">
        <f t="shared" si="1"/>
        <v>42168.5</v>
      </c>
      <c r="L18" s="26">
        <f t="shared" si="3"/>
        <v>51023.89</v>
      </c>
    </row>
    <row r="19" spans="1:12">
      <c r="A19" s="20" t="s">
        <v>50</v>
      </c>
      <c r="B19" s="598" t="s">
        <v>32</v>
      </c>
      <c r="C19" s="598"/>
      <c r="D19" s="21" t="s">
        <v>51</v>
      </c>
      <c r="E19" s="22">
        <v>10.25</v>
      </c>
      <c r="F19" s="23">
        <v>0.21</v>
      </c>
      <c r="G19" s="24">
        <v>2499</v>
      </c>
      <c r="H19" s="25">
        <f t="shared" si="0"/>
        <v>25614.75</v>
      </c>
      <c r="I19" s="25">
        <f t="shared" si="2"/>
        <v>30993.85</v>
      </c>
      <c r="J19" s="24">
        <v>3342</v>
      </c>
      <c r="K19" s="26">
        <f t="shared" si="1"/>
        <v>34255.5</v>
      </c>
      <c r="L19" s="26">
        <f t="shared" si="3"/>
        <v>41449.160000000003</v>
      </c>
    </row>
    <row r="20" spans="1:12">
      <c r="A20" s="20" t="s">
        <v>52</v>
      </c>
      <c r="B20" s="598" t="s">
        <v>32</v>
      </c>
      <c r="C20" s="598"/>
      <c r="D20" s="21" t="s">
        <v>53</v>
      </c>
      <c r="E20" s="22">
        <v>25</v>
      </c>
      <c r="F20" s="23">
        <v>0.21</v>
      </c>
      <c r="G20" s="24">
        <v>4325</v>
      </c>
      <c r="H20" s="25">
        <f t="shared" si="0"/>
        <v>108125</v>
      </c>
      <c r="I20" s="25">
        <f t="shared" si="2"/>
        <v>130831.25</v>
      </c>
      <c r="J20" s="24">
        <v>5785</v>
      </c>
      <c r="K20" s="26">
        <f t="shared" si="1"/>
        <v>144625</v>
      </c>
      <c r="L20" s="26">
        <f t="shared" si="3"/>
        <v>174996.25</v>
      </c>
    </row>
    <row r="21" spans="1:12">
      <c r="A21" s="20" t="s">
        <v>54</v>
      </c>
      <c r="B21" s="598" t="s">
        <v>32</v>
      </c>
      <c r="C21" s="598"/>
      <c r="D21" s="21" t="s">
        <v>55</v>
      </c>
      <c r="E21" s="22">
        <v>25</v>
      </c>
      <c r="F21" s="23">
        <v>0.21</v>
      </c>
      <c r="G21" s="24">
        <v>4614</v>
      </c>
      <c r="H21" s="25">
        <f t="shared" si="0"/>
        <v>115350</v>
      </c>
      <c r="I21" s="25">
        <f t="shared" si="2"/>
        <v>139573.5</v>
      </c>
      <c r="J21" s="24">
        <v>6170</v>
      </c>
      <c r="K21" s="26">
        <f t="shared" si="1"/>
        <v>154250</v>
      </c>
      <c r="L21" s="26">
        <f t="shared" si="3"/>
        <v>186642.5</v>
      </c>
    </row>
    <row r="22" spans="1:12">
      <c r="A22" s="20" t="s">
        <v>56</v>
      </c>
      <c r="B22" s="598" t="s">
        <v>32</v>
      </c>
      <c r="C22" s="598"/>
      <c r="D22" s="21" t="s">
        <v>57</v>
      </c>
      <c r="E22" s="22">
        <v>13.55</v>
      </c>
      <c r="F22" s="23">
        <v>0.21</v>
      </c>
      <c r="G22" s="24">
        <v>3845</v>
      </c>
      <c r="H22" s="25">
        <f t="shared" si="0"/>
        <v>52099.75</v>
      </c>
      <c r="I22" s="25">
        <f t="shared" si="2"/>
        <v>63040.7</v>
      </c>
      <c r="J22" s="24">
        <v>5142</v>
      </c>
      <c r="K22" s="26">
        <f t="shared" si="1"/>
        <v>69674.100000000006</v>
      </c>
      <c r="L22" s="26">
        <f t="shared" si="3"/>
        <v>84305.66</v>
      </c>
    </row>
    <row r="23" spans="1:12" ht="25.5">
      <c r="A23" s="20" t="s">
        <v>58</v>
      </c>
      <c r="B23" s="598" t="s">
        <v>32</v>
      </c>
      <c r="C23" s="598"/>
      <c r="D23" s="21" t="s">
        <v>59</v>
      </c>
      <c r="E23" s="22">
        <v>14</v>
      </c>
      <c r="F23" s="23">
        <v>0.21</v>
      </c>
      <c r="G23" s="24">
        <v>2163</v>
      </c>
      <c r="H23" s="25">
        <f t="shared" si="0"/>
        <v>30282</v>
      </c>
      <c r="I23" s="25">
        <f t="shared" si="2"/>
        <v>36641.22</v>
      </c>
      <c r="J23" s="24">
        <v>2892</v>
      </c>
      <c r="K23" s="26">
        <f t="shared" si="1"/>
        <v>40488</v>
      </c>
      <c r="L23" s="26">
        <f t="shared" si="3"/>
        <v>48990.48</v>
      </c>
    </row>
    <row r="24" spans="1:12">
      <c r="A24" s="20" t="s">
        <v>60</v>
      </c>
      <c r="B24" s="598" t="s">
        <v>32</v>
      </c>
      <c r="C24" s="598"/>
      <c r="D24" s="27" t="s">
        <v>61</v>
      </c>
      <c r="E24" s="22">
        <v>16.72</v>
      </c>
      <c r="F24" s="23">
        <v>0.21</v>
      </c>
      <c r="G24" s="24">
        <v>2307</v>
      </c>
      <c r="H24" s="25">
        <f t="shared" si="0"/>
        <v>38573.040000000001</v>
      </c>
      <c r="I24" s="25">
        <f t="shared" si="2"/>
        <v>46673.38</v>
      </c>
      <c r="J24" s="24">
        <v>3085</v>
      </c>
      <c r="K24" s="26">
        <f t="shared" si="1"/>
        <v>51581.2</v>
      </c>
      <c r="L24" s="26">
        <f t="shared" si="3"/>
        <v>62413.25</v>
      </c>
    </row>
    <row r="25" spans="1:12">
      <c r="A25" s="20" t="s">
        <v>62</v>
      </c>
      <c r="B25" s="598" t="s">
        <v>32</v>
      </c>
      <c r="C25" s="598"/>
      <c r="D25" s="27" t="s">
        <v>63</v>
      </c>
      <c r="E25" s="22">
        <v>11.25</v>
      </c>
      <c r="F25" s="23">
        <v>0.21</v>
      </c>
      <c r="G25" s="24">
        <v>2595</v>
      </c>
      <c r="H25" s="25">
        <f t="shared" si="0"/>
        <v>29193.75</v>
      </c>
      <c r="I25" s="25">
        <f t="shared" si="2"/>
        <v>35324.44</v>
      </c>
      <c r="J25" s="24">
        <v>3471</v>
      </c>
      <c r="K25" s="26">
        <f t="shared" si="1"/>
        <v>39048.75</v>
      </c>
      <c r="L25" s="26">
        <f t="shared" si="3"/>
        <v>47248.99</v>
      </c>
    </row>
    <row r="26" spans="1:12">
      <c r="A26" s="20" t="s">
        <v>64</v>
      </c>
      <c r="B26" s="598" t="s">
        <v>32</v>
      </c>
      <c r="C26" s="598"/>
      <c r="D26" s="27" t="s">
        <v>65</v>
      </c>
      <c r="E26" s="22">
        <v>11.25</v>
      </c>
      <c r="F26" s="23">
        <v>0.21</v>
      </c>
      <c r="G26" s="24">
        <v>2595</v>
      </c>
      <c r="H26" s="25">
        <f t="shared" si="0"/>
        <v>29193.75</v>
      </c>
      <c r="I26" s="25">
        <f t="shared" si="2"/>
        <v>35324.44</v>
      </c>
      <c r="J26" s="24">
        <v>3471</v>
      </c>
      <c r="K26" s="26">
        <f t="shared" si="1"/>
        <v>39048.75</v>
      </c>
      <c r="L26" s="26">
        <f t="shared" si="3"/>
        <v>47248.99</v>
      </c>
    </row>
    <row r="27" spans="1:12">
      <c r="A27" s="20" t="s">
        <v>66</v>
      </c>
      <c r="B27" s="598" t="s">
        <v>32</v>
      </c>
      <c r="C27" s="598"/>
      <c r="D27" s="27" t="s">
        <v>67</v>
      </c>
      <c r="E27" s="22">
        <v>11.25</v>
      </c>
      <c r="F27" s="23">
        <v>0.21</v>
      </c>
      <c r="G27" s="24">
        <v>2595</v>
      </c>
      <c r="H27" s="25">
        <f t="shared" si="0"/>
        <v>29193.75</v>
      </c>
      <c r="I27" s="25">
        <f t="shared" si="2"/>
        <v>35324.44</v>
      </c>
      <c r="J27" s="24">
        <v>3471</v>
      </c>
      <c r="K27" s="26">
        <f t="shared" si="1"/>
        <v>39048.75</v>
      </c>
      <c r="L27" s="26">
        <f t="shared" si="3"/>
        <v>47248.99</v>
      </c>
    </row>
    <row r="28" spans="1:12">
      <c r="A28" s="20" t="s">
        <v>68</v>
      </c>
      <c r="B28" s="598" t="s">
        <v>32</v>
      </c>
      <c r="C28" s="598"/>
      <c r="D28" s="27" t="s">
        <v>69</v>
      </c>
      <c r="E28" s="22">
        <v>19.04</v>
      </c>
      <c r="F28" s="23">
        <v>0.21</v>
      </c>
      <c r="G28" s="24">
        <v>3037</v>
      </c>
      <c r="H28" s="25">
        <f t="shared" si="0"/>
        <v>57824.479999999996</v>
      </c>
      <c r="I28" s="25">
        <f t="shared" si="2"/>
        <v>69967.62</v>
      </c>
      <c r="J28" s="24">
        <v>4071</v>
      </c>
      <c r="K28" s="26">
        <f t="shared" si="1"/>
        <v>77511.839999999997</v>
      </c>
      <c r="L28" s="26">
        <f t="shared" si="3"/>
        <v>93789.33</v>
      </c>
    </row>
    <row r="29" spans="1:12" ht="25.5">
      <c r="A29" s="20" t="s">
        <v>70</v>
      </c>
      <c r="B29" s="598" t="s">
        <v>32</v>
      </c>
      <c r="C29" s="598"/>
      <c r="D29" s="27" t="s">
        <v>71</v>
      </c>
      <c r="E29" s="22">
        <v>19.04</v>
      </c>
      <c r="F29" s="23">
        <v>0.21</v>
      </c>
      <c r="G29" s="24">
        <v>3204</v>
      </c>
      <c r="H29" s="25">
        <f t="shared" si="0"/>
        <v>61004.159999999996</v>
      </c>
      <c r="I29" s="25">
        <f t="shared" si="2"/>
        <v>73815.03</v>
      </c>
      <c r="J29" s="24">
        <v>4285</v>
      </c>
      <c r="K29" s="26">
        <f t="shared" si="1"/>
        <v>81586.399999999994</v>
      </c>
      <c r="L29" s="26">
        <f t="shared" si="3"/>
        <v>98719.54</v>
      </c>
    </row>
    <row r="30" spans="1:12" ht="25.5">
      <c r="A30" s="20" t="s">
        <v>72</v>
      </c>
      <c r="B30" s="598" t="s">
        <v>32</v>
      </c>
      <c r="C30" s="598"/>
      <c r="D30" s="27" t="s">
        <v>73</v>
      </c>
      <c r="E30" s="22">
        <v>19.04</v>
      </c>
      <c r="F30" s="23">
        <v>0.21</v>
      </c>
      <c r="G30" s="24">
        <v>3364</v>
      </c>
      <c r="H30" s="25">
        <f t="shared" si="0"/>
        <v>64050.559999999998</v>
      </c>
      <c r="I30" s="25">
        <f t="shared" si="2"/>
        <v>77501.179999999993</v>
      </c>
      <c r="J30" s="24">
        <v>4499</v>
      </c>
      <c r="K30" s="26">
        <f t="shared" si="1"/>
        <v>85660.959999999992</v>
      </c>
      <c r="L30" s="26">
        <f t="shared" si="3"/>
        <v>103649.76</v>
      </c>
    </row>
    <row r="31" spans="1:12">
      <c r="A31" s="20" t="s">
        <v>74</v>
      </c>
      <c r="B31" s="598" t="s">
        <v>32</v>
      </c>
      <c r="C31" s="598"/>
      <c r="D31" s="27" t="s">
        <v>75</v>
      </c>
      <c r="E31" s="22">
        <v>19.04</v>
      </c>
      <c r="F31" s="23">
        <v>0.21</v>
      </c>
      <c r="G31" s="24">
        <v>3364</v>
      </c>
      <c r="H31" s="25">
        <f t="shared" si="0"/>
        <v>64050.559999999998</v>
      </c>
      <c r="I31" s="25">
        <f t="shared" si="2"/>
        <v>77501.179999999993</v>
      </c>
      <c r="J31" s="24">
        <v>4499</v>
      </c>
      <c r="K31" s="26">
        <f t="shared" si="1"/>
        <v>85660.959999999992</v>
      </c>
      <c r="L31" s="26">
        <f t="shared" si="3"/>
        <v>103649.76</v>
      </c>
    </row>
    <row r="32" spans="1:12">
      <c r="A32" s="20" t="s">
        <v>76</v>
      </c>
      <c r="B32" s="598" t="s">
        <v>32</v>
      </c>
      <c r="C32" s="598"/>
      <c r="D32" s="27" t="s">
        <v>77</v>
      </c>
      <c r="E32" s="22">
        <v>19.04</v>
      </c>
      <c r="F32" s="23">
        <v>0.21</v>
      </c>
      <c r="G32" s="24">
        <v>3364</v>
      </c>
      <c r="H32" s="25">
        <f t="shared" si="0"/>
        <v>64050.559999999998</v>
      </c>
      <c r="I32" s="25">
        <f t="shared" si="2"/>
        <v>77501.179999999993</v>
      </c>
      <c r="J32" s="24">
        <v>4499</v>
      </c>
      <c r="K32" s="26">
        <f t="shared" si="1"/>
        <v>85660.959999999992</v>
      </c>
      <c r="L32" s="26">
        <f t="shared" si="3"/>
        <v>103649.76</v>
      </c>
    </row>
    <row r="33" spans="1:12">
      <c r="A33" s="20" t="s">
        <v>78</v>
      </c>
      <c r="B33" s="598" t="s">
        <v>32</v>
      </c>
      <c r="C33" s="598"/>
      <c r="D33" s="27" t="s">
        <v>79</v>
      </c>
      <c r="E33" s="22">
        <v>19.04</v>
      </c>
      <c r="F33" s="23">
        <v>0.21</v>
      </c>
      <c r="G33" s="24">
        <v>3044</v>
      </c>
      <c r="H33" s="25">
        <f t="shared" si="0"/>
        <v>57957.759999999995</v>
      </c>
      <c r="I33" s="25">
        <f t="shared" si="2"/>
        <v>70128.89</v>
      </c>
      <c r="J33" s="24">
        <v>4071</v>
      </c>
      <c r="K33" s="26">
        <f t="shared" si="1"/>
        <v>77511.839999999997</v>
      </c>
      <c r="L33" s="26">
        <f t="shared" si="3"/>
        <v>93789.33</v>
      </c>
    </row>
    <row r="34" spans="1:12">
      <c r="A34" s="20" t="s">
        <v>80</v>
      </c>
      <c r="B34" s="598" t="s">
        <v>32</v>
      </c>
      <c r="C34" s="598"/>
      <c r="D34" s="27" t="s">
        <v>81</v>
      </c>
      <c r="E34" s="22">
        <v>19.04</v>
      </c>
      <c r="F34" s="23">
        <v>0.21</v>
      </c>
      <c r="G34" s="24">
        <v>2924</v>
      </c>
      <c r="H34" s="25">
        <f t="shared" si="0"/>
        <v>55672.959999999999</v>
      </c>
      <c r="I34" s="25">
        <f t="shared" si="2"/>
        <v>67364.28</v>
      </c>
      <c r="J34" s="24">
        <v>3910</v>
      </c>
      <c r="K34" s="26">
        <f t="shared" si="1"/>
        <v>74446.399999999994</v>
      </c>
      <c r="L34" s="26">
        <f t="shared" si="3"/>
        <v>90080.14</v>
      </c>
    </row>
    <row r="35" spans="1:12">
      <c r="A35" s="20" t="s">
        <v>82</v>
      </c>
      <c r="B35" s="598" t="s">
        <v>32</v>
      </c>
      <c r="C35" s="598"/>
      <c r="D35" s="27" t="s">
        <v>83</v>
      </c>
      <c r="E35" s="22">
        <v>19.04</v>
      </c>
      <c r="F35" s="23">
        <v>0.21</v>
      </c>
      <c r="G35" s="24">
        <v>3244</v>
      </c>
      <c r="H35" s="25">
        <f t="shared" si="0"/>
        <v>61765.759999999995</v>
      </c>
      <c r="I35" s="25">
        <f t="shared" si="2"/>
        <v>74736.570000000007</v>
      </c>
      <c r="J35" s="24">
        <v>4339</v>
      </c>
      <c r="K35" s="26">
        <f t="shared" si="1"/>
        <v>82614.559999999998</v>
      </c>
      <c r="L35" s="26">
        <f t="shared" si="3"/>
        <v>99963.62</v>
      </c>
    </row>
    <row r="36" spans="1:12">
      <c r="A36" s="20" t="s">
        <v>84</v>
      </c>
      <c r="B36" s="598" t="s">
        <v>32</v>
      </c>
      <c r="C36" s="598"/>
      <c r="D36" s="27" t="s">
        <v>85</v>
      </c>
      <c r="E36" s="22">
        <v>16.72</v>
      </c>
      <c r="F36" s="23">
        <v>0.21</v>
      </c>
      <c r="G36" s="24">
        <v>2283</v>
      </c>
      <c r="H36" s="25">
        <f t="shared" si="0"/>
        <v>38171.759999999995</v>
      </c>
      <c r="I36" s="25">
        <f t="shared" si="2"/>
        <v>46187.83</v>
      </c>
      <c r="J36" s="24">
        <v>3053</v>
      </c>
      <c r="K36" s="26">
        <f t="shared" si="1"/>
        <v>51046.159999999996</v>
      </c>
      <c r="L36" s="26">
        <f t="shared" si="3"/>
        <v>61765.85</v>
      </c>
    </row>
    <row r="37" spans="1:12">
      <c r="A37" s="20" t="s">
        <v>86</v>
      </c>
      <c r="B37" s="598" t="s">
        <v>32</v>
      </c>
      <c r="C37" s="598"/>
      <c r="D37" s="27" t="s">
        <v>61</v>
      </c>
      <c r="E37" s="22">
        <v>16.72</v>
      </c>
      <c r="F37" s="23">
        <v>0.21</v>
      </c>
      <c r="G37" s="24">
        <v>3004</v>
      </c>
      <c r="H37" s="25">
        <f t="shared" si="0"/>
        <v>50226.879999999997</v>
      </c>
      <c r="I37" s="25">
        <f t="shared" si="2"/>
        <v>60774.52</v>
      </c>
      <c r="J37" s="24">
        <v>4017</v>
      </c>
      <c r="K37" s="26">
        <f t="shared" si="1"/>
        <v>67164.239999999991</v>
      </c>
      <c r="L37" s="26">
        <f t="shared" si="3"/>
        <v>81268.73</v>
      </c>
    </row>
    <row r="38" spans="1:12">
      <c r="A38" s="20" t="s">
        <v>87</v>
      </c>
      <c r="B38" s="598" t="s">
        <v>32</v>
      </c>
      <c r="C38" s="598"/>
      <c r="D38" s="27" t="s">
        <v>88</v>
      </c>
      <c r="E38" s="22">
        <v>16.72</v>
      </c>
      <c r="F38" s="23">
        <v>0.21</v>
      </c>
      <c r="G38" s="24">
        <v>2643</v>
      </c>
      <c r="H38" s="25">
        <f t="shared" si="0"/>
        <v>44190.96</v>
      </c>
      <c r="I38" s="25">
        <f t="shared" si="2"/>
        <v>53471.06</v>
      </c>
      <c r="J38" s="24">
        <v>3535</v>
      </c>
      <c r="K38" s="26">
        <f t="shared" si="1"/>
        <v>59105.2</v>
      </c>
      <c r="L38" s="26">
        <f t="shared" si="3"/>
        <v>71517.289999999994</v>
      </c>
    </row>
    <row r="39" spans="1:12">
      <c r="A39" s="20" t="s">
        <v>89</v>
      </c>
      <c r="B39" s="598" t="s">
        <v>32</v>
      </c>
      <c r="C39" s="598"/>
      <c r="D39" s="27" t="s">
        <v>90</v>
      </c>
      <c r="E39" s="22">
        <v>16.72</v>
      </c>
      <c r="F39" s="23">
        <v>0.21</v>
      </c>
      <c r="G39" s="24">
        <v>2763</v>
      </c>
      <c r="H39" s="25">
        <f t="shared" si="0"/>
        <v>46197.359999999993</v>
      </c>
      <c r="I39" s="25">
        <f t="shared" si="2"/>
        <v>55898.81</v>
      </c>
      <c r="J39" s="24">
        <v>3696</v>
      </c>
      <c r="K39" s="26">
        <f t="shared" si="1"/>
        <v>61797.119999999995</v>
      </c>
      <c r="L39" s="26">
        <f t="shared" si="3"/>
        <v>74774.52</v>
      </c>
    </row>
    <row r="40" spans="1:12">
      <c r="A40" s="20" t="s">
        <v>91</v>
      </c>
      <c r="B40" s="598" t="s">
        <v>32</v>
      </c>
      <c r="C40" s="598"/>
      <c r="D40" s="27" t="s">
        <v>92</v>
      </c>
      <c r="E40" s="22">
        <v>16.72</v>
      </c>
      <c r="F40" s="23">
        <v>0.21</v>
      </c>
      <c r="G40" s="24">
        <v>2403</v>
      </c>
      <c r="H40" s="25">
        <f t="shared" si="0"/>
        <v>40178.159999999996</v>
      </c>
      <c r="I40" s="25">
        <f t="shared" si="2"/>
        <v>48615.57</v>
      </c>
      <c r="J40" s="24">
        <v>3214</v>
      </c>
      <c r="K40" s="26">
        <f t="shared" si="1"/>
        <v>53738.079999999994</v>
      </c>
      <c r="L40" s="26">
        <f t="shared" si="3"/>
        <v>65023.08</v>
      </c>
    </row>
    <row r="41" spans="1:12" ht="25.5">
      <c r="A41" s="20" t="s">
        <v>93</v>
      </c>
      <c r="B41" s="598" t="s">
        <v>32</v>
      </c>
      <c r="C41" s="598"/>
      <c r="D41" s="27" t="s">
        <v>94</v>
      </c>
      <c r="E41" s="22">
        <v>10.45</v>
      </c>
      <c r="F41" s="23">
        <v>0.21</v>
      </c>
      <c r="G41" s="24">
        <v>2307</v>
      </c>
      <c r="H41" s="25">
        <f t="shared" si="0"/>
        <v>24108.149999999998</v>
      </c>
      <c r="I41" s="25">
        <f t="shared" si="2"/>
        <v>29170.86</v>
      </c>
      <c r="J41" s="24">
        <v>3085</v>
      </c>
      <c r="K41" s="26">
        <f t="shared" si="1"/>
        <v>32238.249999999996</v>
      </c>
      <c r="L41" s="26">
        <f t="shared" si="3"/>
        <v>39008.28</v>
      </c>
    </row>
    <row r="42" spans="1:12">
      <c r="A42" s="20" t="s">
        <v>95</v>
      </c>
      <c r="B42" s="598" t="s">
        <v>32</v>
      </c>
      <c r="C42" s="598"/>
      <c r="D42" s="27" t="s">
        <v>96</v>
      </c>
      <c r="E42" s="22">
        <v>10.45</v>
      </c>
      <c r="F42" s="23">
        <v>0.21</v>
      </c>
      <c r="G42" s="24">
        <v>2307</v>
      </c>
      <c r="H42" s="25">
        <f t="shared" si="0"/>
        <v>24108.149999999998</v>
      </c>
      <c r="I42" s="25">
        <f t="shared" si="2"/>
        <v>29170.86</v>
      </c>
      <c r="J42" s="24">
        <v>3085</v>
      </c>
      <c r="K42" s="26">
        <f t="shared" si="1"/>
        <v>32238.249999999996</v>
      </c>
      <c r="L42" s="26">
        <f t="shared" si="3"/>
        <v>39008.28</v>
      </c>
    </row>
    <row r="43" spans="1:12">
      <c r="A43" s="20" t="s">
        <v>97</v>
      </c>
      <c r="B43" s="598" t="s">
        <v>32</v>
      </c>
      <c r="C43" s="598"/>
      <c r="D43" s="27" t="s">
        <v>98</v>
      </c>
      <c r="E43" s="22">
        <v>10.45</v>
      </c>
      <c r="F43" s="23">
        <v>0.21</v>
      </c>
      <c r="G43" s="24">
        <v>2163</v>
      </c>
      <c r="H43" s="25">
        <f t="shared" si="0"/>
        <v>22603.35</v>
      </c>
      <c r="I43" s="25">
        <f t="shared" si="2"/>
        <v>27350.05</v>
      </c>
      <c r="J43" s="24">
        <v>2892</v>
      </c>
      <c r="K43" s="26">
        <f t="shared" si="1"/>
        <v>30221.399999999998</v>
      </c>
      <c r="L43" s="26">
        <f t="shared" si="3"/>
        <v>36567.89</v>
      </c>
    </row>
    <row r="44" spans="1:12">
      <c r="A44" s="20" t="s">
        <v>99</v>
      </c>
      <c r="B44" s="598" t="s">
        <v>32</v>
      </c>
      <c r="C44" s="598"/>
      <c r="D44" s="27" t="s">
        <v>100</v>
      </c>
      <c r="E44" s="22">
        <v>10.45</v>
      </c>
      <c r="F44" s="23">
        <v>0.21</v>
      </c>
      <c r="G44" s="24">
        <v>2163</v>
      </c>
      <c r="H44" s="25">
        <f t="shared" si="0"/>
        <v>22603.35</v>
      </c>
      <c r="I44" s="25">
        <f t="shared" si="2"/>
        <v>27350.05</v>
      </c>
      <c r="J44" s="24">
        <v>2891</v>
      </c>
      <c r="K44" s="26">
        <f t="shared" si="1"/>
        <v>30210.949999999997</v>
      </c>
      <c r="L44" s="26">
        <f t="shared" si="3"/>
        <v>36555.25</v>
      </c>
    </row>
    <row r="45" spans="1:12">
      <c r="A45" s="20" t="s">
        <v>101</v>
      </c>
      <c r="B45" s="598" t="s">
        <v>32</v>
      </c>
      <c r="C45" s="598"/>
      <c r="D45" s="27" t="s">
        <v>102</v>
      </c>
      <c r="E45" s="22">
        <v>9.65</v>
      </c>
      <c r="F45" s="23">
        <v>0.21</v>
      </c>
      <c r="G45" s="24">
        <v>2880</v>
      </c>
      <c r="H45" s="25">
        <f t="shared" si="0"/>
        <v>27792</v>
      </c>
      <c r="I45" s="25">
        <f t="shared" si="2"/>
        <v>33628.32</v>
      </c>
      <c r="J45" s="24">
        <v>3857</v>
      </c>
      <c r="K45" s="26">
        <f t="shared" si="1"/>
        <v>37220.050000000003</v>
      </c>
      <c r="L45" s="26">
        <f t="shared" si="3"/>
        <v>45036.26</v>
      </c>
    </row>
    <row r="46" spans="1:12">
      <c r="A46" s="20" t="s">
        <v>103</v>
      </c>
      <c r="B46" s="598" t="s">
        <v>32</v>
      </c>
      <c r="C46" s="598"/>
      <c r="D46" s="27" t="s">
        <v>104</v>
      </c>
      <c r="E46" s="22">
        <v>9.65</v>
      </c>
      <c r="F46" s="23">
        <v>0.21</v>
      </c>
      <c r="G46" s="24">
        <v>2884</v>
      </c>
      <c r="H46" s="25">
        <f t="shared" si="0"/>
        <v>27830.600000000002</v>
      </c>
      <c r="I46" s="25">
        <f t="shared" si="2"/>
        <v>33675.03</v>
      </c>
      <c r="J46" s="24">
        <v>3856</v>
      </c>
      <c r="K46" s="26">
        <f t="shared" si="1"/>
        <v>37210.400000000001</v>
      </c>
      <c r="L46" s="26">
        <f t="shared" si="3"/>
        <v>45024.58</v>
      </c>
    </row>
    <row r="47" spans="1:12">
      <c r="A47" s="20" t="s">
        <v>105</v>
      </c>
      <c r="B47" s="598" t="s">
        <v>32</v>
      </c>
      <c r="C47" s="598"/>
      <c r="D47" s="27" t="s">
        <v>106</v>
      </c>
      <c r="E47" s="22">
        <v>18.16</v>
      </c>
      <c r="F47" s="23">
        <v>0.21</v>
      </c>
      <c r="G47" s="24">
        <v>1802</v>
      </c>
      <c r="H47" s="25">
        <f t="shared" si="0"/>
        <v>32724.32</v>
      </c>
      <c r="I47" s="25">
        <f t="shared" si="2"/>
        <v>39596.43</v>
      </c>
      <c r="J47" s="24">
        <v>2410</v>
      </c>
      <c r="K47" s="26">
        <f t="shared" si="1"/>
        <v>43765.599999999999</v>
      </c>
      <c r="L47" s="26">
        <f t="shared" si="3"/>
        <v>52956.38</v>
      </c>
    </row>
    <row r="48" spans="1:12">
      <c r="A48" s="20" t="s">
        <v>107</v>
      </c>
      <c r="B48" s="598" t="s">
        <v>32</v>
      </c>
      <c r="C48" s="598"/>
      <c r="D48" s="27" t="s">
        <v>108</v>
      </c>
      <c r="E48" s="22">
        <v>18.16</v>
      </c>
      <c r="F48" s="23">
        <v>0.21</v>
      </c>
      <c r="G48" s="24">
        <v>1802</v>
      </c>
      <c r="H48" s="25">
        <f t="shared" si="0"/>
        <v>32724.32</v>
      </c>
      <c r="I48" s="25">
        <f t="shared" si="2"/>
        <v>39596.43</v>
      </c>
      <c r="J48" s="24">
        <v>2410</v>
      </c>
      <c r="K48" s="26">
        <f t="shared" si="1"/>
        <v>43765.599999999999</v>
      </c>
      <c r="L48" s="26">
        <f t="shared" si="3"/>
        <v>52956.38</v>
      </c>
    </row>
    <row r="49" spans="1:15">
      <c r="A49" s="20" t="s">
        <v>109</v>
      </c>
      <c r="B49" s="598" t="s">
        <v>32</v>
      </c>
      <c r="C49" s="598"/>
      <c r="D49" s="27" t="s">
        <v>110</v>
      </c>
      <c r="E49" s="22">
        <v>16.72</v>
      </c>
      <c r="F49" s="23">
        <v>0.21</v>
      </c>
      <c r="G49" s="24">
        <v>3605</v>
      </c>
      <c r="H49" s="25">
        <f t="shared" si="0"/>
        <v>60275.6</v>
      </c>
      <c r="I49" s="25">
        <f t="shared" si="2"/>
        <v>72933.48</v>
      </c>
      <c r="J49" s="24">
        <v>4821</v>
      </c>
      <c r="K49" s="26">
        <f t="shared" si="1"/>
        <v>80607.12</v>
      </c>
      <c r="L49" s="26">
        <f t="shared" si="3"/>
        <v>97534.62</v>
      </c>
    </row>
    <row r="50" spans="1:15">
      <c r="A50" s="20" t="s">
        <v>111</v>
      </c>
      <c r="B50" s="598" t="s">
        <v>32</v>
      </c>
      <c r="C50" s="598"/>
      <c r="D50" s="27" t="s">
        <v>112</v>
      </c>
      <c r="E50" s="22">
        <v>16.72</v>
      </c>
      <c r="F50" s="23">
        <v>0.21</v>
      </c>
      <c r="G50" s="24">
        <v>3605</v>
      </c>
      <c r="H50" s="25">
        <f t="shared" si="0"/>
        <v>60275.6</v>
      </c>
      <c r="I50" s="25">
        <f t="shared" si="2"/>
        <v>72933.48</v>
      </c>
      <c r="J50" s="24">
        <v>4820</v>
      </c>
      <c r="K50" s="26">
        <f t="shared" si="1"/>
        <v>80590.399999999994</v>
      </c>
      <c r="L50" s="26">
        <f t="shared" si="3"/>
        <v>97514.38</v>
      </c>
    </row>
    <row r="51" spans="1:15">
      <c r="A51" s="609" t="s">
        <v>113</v>
      </c>
      <c r="B51" s="610"/>
      <c r="C51" s="610"/>
      <c r="D51" s="611"/>
      <c r="E51" s="28"/>
      <c r="F51" s="28"/>
      <c r="G51" s="29">
        <f>SUM(G10:G50)</f>
        <v>128606</v>
      </c>
      <c r="H51" s="30">
        <f t="shared" ref="H51:J51" si="4">SUM(H10:H50)</f>
        <v>1893860.7500000005</v>
      </c>
      <c r="I51" s="30">
        <f t="shared" si="4"/>
        <v>2291571.5200000005</v>
      </c>
      <c r="J51" s="29">
        <f t="shared" si="4"/>
        <v>172009</v>
      </c>
      <c r="K51" s="31">
        <f>SUM(K10:K50)</f>
        <v>2533032.7399999998</v>
      </c>
      <c r="L51" s="31">
        <f>SUM(L10:L50)</f>
        <v>3064969.6299999994</v>
      </c>
    </row>
    <row r="52" spans="1:15">
      <c r="A52" s="16"/>
      <c r="B52" s="16"/>
      <c r="D52" s="16"/>
      <c r="E52" s="16"/>
      <c r="F52" s="16"/>
      <c r="G52" s="16"/>
      <c r="H52" s="16"/>
      <c r="I52" s="32"/>
      <c r="J52" s="32"/>
      <c r="K52" s="32"/>
      <c r="L52" s="32"/>
    </row>
    <row r="53" spans="1:15">
      <c r="A53" s="612" t="s">
        <v>114</v>
      </c>
      <c r="B53" s="612"/>
      <c r="C53" s="612"/>
      <c r="D53" s="612"/>
      <c r="E53" s="612"/>
      <c r="F53" s="612"/>
      <c r="G53" s="612"/>
      <c r="H53" s="612"/>
      <c r="I53" s="612"/>
      <c r="J53" s="612"/>
      <c r="K53" s="612"/>
      <c r="L53" s="612"/>
      <c r="M53" s="612"/>
      <c r="N53" s="612"/>
      <c r="O53" s="612"/>
    </row>
    <row r="54" spans="1:15">
      <c r="A54" s="612" t="s">
        <v>115</v>
      </c>
      <c r="B54" s="612"/>
      <c r="C54" s="612"/>
      <c r="D54" s="612"/>
      <c r="E54" s="612"/>
      <c r="F54" s="612"/>
      <c r="G54" s="612"/>
      <c r="H54" s="612"/>
      <c r="I54" s="612"/>
      <c r="J54" s="612"/>
      <c r="K54" s="612"/>
      <c r="L54" s="612"/>
      <c r="M54" s="612"/>
      <c r="N54" s="612"/>
    </row>
    <row r="55" spans="1:15">
      <c r="A55" s="618" t="s">
        <v>425</v>
      </c>
      <c r="B55" s="618"/>
      <c r="C55" s="618"/>
      <c r="D55" s="618"/>
      <c r="E55" s="618"/>
      <c r="F55" s="618"/>
      <c r="G55" s="618"/>
      <c r="H55" s="618"/>
      <c r="I55" s="618"/>
      <c r="J55" s="618"/>
      <c r="K55" s="618"/>
      <c r="L55" s="618"/>
      <c r="M55" s="618"/>
      <c r="N55" s="618"/>
    </row>
    <row r="56" spans="1:15">
      <c r="A56" s="16"/>
      <c r="B56" s="16"/>
      <c r="D56" s="16"/>
      <c r="E56" s="16"/>
      <c r="F56" s="33"/>
      <c r="G56" s="16"/>
      <c r="H56" s="16"/>
      <c r="I56" s="32"/>
      <c r="K56" s="34"/>
      <c r="L56" s="34"/>
    </row>
    <row r="57" spans="1:15">
      <c r="A57" s="16"/>
      <c r="B57" s="16"/>
      <c r="D57" s="16"/>
      <c r="E57" s="16"/>
      <c r="F57" s="619" t="s">
        <v>626</v>
      </c>
      <c r="G57" s="620"/>
      <c r="H57" s="16"/>
      <c r="I57" s="595" t="s">
        <v>116</v>
      </c>
      <c r="J57" s="596"/>
      <c r="K57" s="34"/>
      <c r="L57" s="34"/>
    </row>
    <row r="58" spans="1:15" ht="38.25">
      <c r="A58" s="16"/>
      <c r="B58" s="16"/>
      <c r="D58" s="16"/>
      <c r="E58" s="16"/>
      <c r="F58" s="332" t="s">
        <v>9</v>
      </c>
      <c r="G58" s="332" t="s">
        <v>10</v>
      </c>
      <c r="H58" s="16"/>
      <c r="I58" s="13" t="s">
        <v>9</v>
      </c>
      <c r="J58" s="13" t="s">
        <v>10</v>
      </c>
    </row>
    <row r="59" spans="1:15">
      <c r="A59" s="16"/>
      <c r="B59" s="16"/>
      <c r="D59" s="16"/>
      <c r="E59" s="16"/>
      <c r="F59" s="333">
        <f>ROUND((I59/600)*15,0)</f>
        <v>57289</v>
      </c>
      <c r="G59" s="333">
        <f>ROUND((J59/600)*15,0)</f>
        <v>76624</v>
      </c>
      <c r="H59" s="16"/>
      <c r="I59" s="35">
        <f>ROUND(I51,0)</f>
        <v>2291572</v>
      </c>
      <c r="J59" s="35">
        <f>ROUND(L51,0)</f>
        <v>3064970</v>
      </c>
    </row>
    <row r="60" spans="1:15">
      <c r="A60" s="16"/>
      <c r="B60" s="16"/>
      <c r="D60" s="16"/>
      <c r="E60" s="16"/>
      <c r="F60" s="16"/>
      <c r="G60" s="16"/>
      <c r="H60" s="16"/>
      <c r="I60" s="199"/>
      <c r="J60" s="199"/>
      <c r="K60" s="179"/>
    </row>
    <row r="61" spans="1:15">
      <c r="G61" s="6"/>
      <c r="J61" s="6"/>
      <c r="K61" s="36"/>
      <c r="L61" s="2"/>
    </row>
    <row r="62" spans="1:15" s="38" customFormat="1">
      <c r="A62" s="5" t="s">
        <v>117</v>
      </c>
      <c r="B62" s="37"/>
      <c r="C62" s="37"/>
      <c r="D62" s="37"/>
      <c r="E62" s="37"/>
      <c r="F62" s="37"/>
      <c r="G62" s="37"/>
      <c r="H62" s="37"/>
      <c r="J62" s="39"/>
      <c r="K62" s="39"/>
    </row>
    <row r="63" spans="1:15" s="38" customFormat="1">
      <c r="A63" s="5"/>
      <c r="B63" s="37"/>
      <c r="C63" s="37"/>
      <c r="D63" s="37"/>
      <c r="E63" s="37"/>
      <c r="F63" s="37"/>
      <c r="G63" s="37"/>
      <c r="H63" s="37"/>
    </row>
    <row r="64" spans="1:15" s="38" customFormat="1">
      <c r="A64" s="5"/>
      <c r="B64" s="613" t="s">
        <v>118</v>
      </c>
      <c r="C64" s="613" t="s">
        <v>119</v>
      </c>
      <c r="D64" s="613" t="s">
        <v>120</v>
      </c>
      <c r="E64" s="607" t="s">
        <v>121</v>
      </c>
      <c r="F64" s="613" t="s">
        <v>122</v>
      </c>
      <c r="G64" s="614" t="s">
        <v>123</v>
      </c>
      <c r="H64" s="616" t="s">
        <v>124</v>
      </c>
      <c r="I64" s="607" t="s">
        <v>125</v>
      </c>
      <c r="J64" s="607"/>
      <c r="K64" s="607"/>
      <c r="L64" s="607"/>
    </row>
    <row r="65" spans="1:12" s="38" customFormat="1">
      <c r="A65" s="5"/>
      <c r="B65" s="613"/>
      <c r="C65" s="613"/>
      <c r="D65" s="613"/>
      <c r="E65" s="607"/>
      <c r="F65" s="613"/>
      <c r="G65" s="615"/>
      <c r="H65" s="617"/>
      <c r="I65" s="607"/>
      <c r="J65" s="607"/>
      <c r="K65" s="607"/>
      <c r="L65" s="607"/>
    </row>
    <row r="66" spans="1:12" s="38" customFormat="1" ht="25.5">
      <c r="A66" s="5"/>
      <c r="B66" s="40" t="s">
        <v>126</v>
      </c>
      <c r="C66" s="41" t="s">
        <v>127</v>
      </c>
      <c r="D66" s="42">
        <v>18.309999999999999</v>
      </c>
      <c r="E66" s="43">
        <v>0</v>
      </c>
      <c r="F66" s="44">
        <v>35</v>
      </c>
      <c r="G66" s="44">
        <v>54</v>
      </c>
      <c r="H66" s="45">
        <f>ROUNDDOWN(D66*F66*G66,0)</f>
        <v>34605</v>
      </c>
      <c r="I66" s="608" t="s">
        <v>128</v>
      </c>
      <c r="J66" s="608"/>
      <c r="K66" s="608"/>
      <c r="L66" s="608"/>
    </row>
    <row r="67" spans="1:12" s="38" customFormat="1"/>
    <row r="68" spans="1:12" s="38" customFormat="1">
      <c r="B68" s="46" t="s">
        <v>118</v>
      </c>
      <c r="C68" s="46" t="s">
        <v>1</v>
      </c>
      <c r="D68" s="46" t="s">
        <v>129</v>
      </c>
      <c r="E68" s="46" t="s">
        <v>130</v>
      </c>
      <c r="F68" s="46" t="s">
        <v>131</v>
      </c>
      <c r="G68" s="46" t="s">
        <v>132</v>
      </c>
      <c r="H68" s="46" t="s">
        <v>133</v>
      </c>
      <c r="I68" s="46" t="s">
        <v>134</v>
      </c>
      <c r="J68" s="46" t="s">
        <v>135</v>
      </c>
      <c r="K68" s="46" t="s">
        <v>136</v>
      </c>
    </row>
    <row r="69" spans="1:12" s="38" customFormat="1" ht="25.5">
      <c r="B69" s="47" t="s">
        <v>137</v>
      </c>
      <c r="C69" s="48" t="s">
        <v>127</v>
      </c>
      <c r="D69" s="49"/>
      <c r="E69" s="49"/>
      <c r="F69" s="47">
        <f>ROUND(3.609*3,2)</f>
        <v>10.83</v>
      </c>
      <c r="G69" s="47"/>
      <c r="H69" s="47">
        <v>7.48</v>
      </c>
      <c r="I69" s="49"/>
      <c r="J69" s="50"/>
      <c r="K69" s="51">
        <f>SUM(D69:J69)</f>
        <v>18.310000000000002</v>
      </c>
    </row>
    <row r="70" spans="1:12" s="38" customFormat="1"/>
    <row r="71" spans="1:12" s="38" customFormat="1">
      <c r="B71" s="38" t="s">
        <v>138</v>
      </c>
    </row>
    <row r="72" spans="1:12" s="38" customFormat="1" ht="102">
      <c r="B72" s="569" t="s">
        <v>139</v>
      </c>
      <c r="I72" s="568" t="s">
        <v>12</v>
      </c>
    </row>
    <row r="73" spans="1:12" s="56" customFormat="1" ht="25.5">
      <c r="A73" s="52"/>
      <c r="B73" s="53"/>
      <c r="C73" s="54"/>
      <c r="D73" s="55"/>
      <c r="E73" s="52"/>
      <c r="F73" s="52"/>
      <c r="G73" s="52"/>
      <c r="H73" s="55"/>
      <c r="I73" s="13" t="s">
        <v>140</v>
      </c>
    </row>
    <row r="74" spans="1:12" s="56" customFormat="1">
      <c r="A74" s="52"/>
      <c r="B74" s="53"/>
      <c r="C74" s="54"/>
      <c r="D74" s="55"/>
      <c r="E74" s="52"/>
      <c r="F74" s="52"/>
      <c r="G74" s="52"/>
      <c r="H74" s="55"/>
      <c r="I74" s="35">
        <f>H66</f>
        <v>34605</v>
      </c>
    </row>
    <row r="75" spans="1:12" s="56" customFormat="1">
      <c r="A75" s="52"/>
      <c r="B75" s="53"/>
      <c r="C75" s="54"/>
      <c r="D75" s="55"/>
      <c r="E75" s="52"/>
      <c r="F75" s="52"/>
      <c r="G75" s="52"/>
      <c r="H75" s="55"/>
      <c r="I75" s="57"/>
      <c r="K75" s="34"/>
    </row>
    <row r="76" spans="1:12" s="56" customFormat="1">
      <c r="A76" s="5" t="s">
        <v>141</v>
      </c>
      <c r="B76" s="53"/>
      <c r="C76" s="54"/>
      <c r="D76" s="55"/>
      <c r="E76" s="52"/>
      <c r="F76" s="52"/>
      <c r="G76" s="52"/>
      <c r="H76" s="55"/>
      <c r="I76" s="57"/>
      <c r="K76" s="34"/>
    </row>
    <row r="77" spans="1:12" s="56" customFormat="1">
      <c r="A77" s="52"/>
      <c r="B77" s="53"/>
      <c r="C77" s="54"/>
      <c r="D77" s="55"/>
      <c r="E77" s="52"/>
      <c r="F77" s="52"/>
      <c r="G77" s="52"/>
      <c r="H77" s="55"/>
      <c r="I77" s="57"/>
      <c r="K77" s="34"/>
    </row>
    <row r="78" spans="1:12" s="56" customFormat="1" ht="63.75">
      <c r="A78" s="52"/>
      <c r="B78" s="53"/>
      <c r="C78" s="18" t="s">
        <v>142</v>
      </c>
      <c r="D78" s="18" t="s">
        <v>143</v>
      </c>
      <c r="E78" s="18" t="s">
        <v>144</v>
      </c>
      <c r="F78" s="18" t="s">
        <v>145</v>
      </c>
      <c r="G78" s="18" t="s">
        <v>146</v>
      </c>
      <c r="H78" s="18" t="s">
        <v>147</v>
      </c>
      <c r="I78" s="18" t="s">
        <v>625</v>
      </c>
      <c r="J78" s="58"/>
      <c r="L78" s="34"/>
    </row>
    <row r="79" spans="1:12" s="56" customFormat="1" ht="63.75">
      <c r="A79" s="52"/>
      <c r="B79" s="53"/>
      <c r="C79" s="59" t="s">
        <v>148</v>
      </c>
      <c r="D79" s="27" t="s">
        <v>149</v>
      </c>
      <c r="E79" s="22">
        <v>4.38</v>
      </c>
      <c r="F79" s="60">
        <v>3</v>
      </c>
      <c r="G79" s="24">
        <f>E79*F79*600</f>
        <v>7884</v>
      </c>
      <c r="H79" s="60">
        <v>4</v>
      </c>
      <c r="I79" s="24">
        <f t="shared" ref="I79:I104" si="5">E79*H79*600</f>
        <v>10512</v>
      </c>
      <c r="J79" s="58"/>
      <c r="L79" s="34"/>
    </row>
    <row r="80" spans="1:12" s="56" customFormat="1">
      <c r="A80" s="52"/>
      <c r="B80" s="53"/>
      <c r="C80" s="59" t="s">
        <v>150</v>
      </c>
      <c r="D80" s="61" t="s">
        <v>151</v>
      </c>
      <c r="E80" s="22">
        <v>1.59</v>
      </c>
      <c r="F80" s="60">
        <v>3</v>
      </c>
      <c r="G80" s="24">
        <f t="shared" ref="G80:G104" si="6">E80*F80*600</f>
        <v>2862.0000000000005</v>
      </c>
      <c r="H80" s="60">
        <v>4</v>
      </c>
      <c r="I80" s="24">
        <f t="shared" si="5"/>
        <v>3816</v>
      </c>
      <c r="J80" s="58"/>
      <c r="L80" s="34"/>
    </row>
    <row r="81" spans="1:12" s="56" customFormat="1">
      <c r="A81" s="52"/>
      <c r="B81" s="53"/>
      <c r="C81" s="62" t="s">
        <v>152</v>
      </c>
      <c r="D81" s="61" t="s">
        <v>153</v>
      </c>
      <c r="E81" s="22">
        <v>1.3</v>
      </c>
      <c r="F81" s="60">
        <v>3</v>
      </c>
      <c r="G81" s="24">
        <f t="shared" si="6"/>
        <v>2340</v>
      </c>
      <c r="H81" s="60">
        <v>4</v>
      </c>
      <c r="I81" s="24">
        <f t="shared" si="5"/>
        <v>3120</v>
      </c>
      <c r="J81" s="58"/>
      <c r="L81" s="34"/>
    </row>
    <row r="82" spans="1:12" s="56" customFormat="1">
      <c r="A82" s="52"/>
      <c r="B82" s="53"/>
      <c r="C82" s="62" t="s">
        <v>154</v>
      </c>
      <c r="D82" s="61" t="s">
        <v>155</v>
      </c>
      <c r="E82" s="22">
        <v>1.97</v>
      </c>
      <c r="F82" s="60">
        <v>3</v>
      </c>
      <c r="G82" s="24">
        <f t="shared" si="6"/>
        <v>3546</v>
      </c>
      <c r="H82" s="60">
        <v>4</v>
      </c>
      <c r="I82" s="24">
        <f t="shared" si="5"/>
        <v>4728</v>
      </c>
      <c r="J82" s="58"/>
      <c r="L82" s="34"/>
    </row>
    <row r="83" spans="1:12" s="56" customFormat="1">
      <c r="A83" s="52"/>
      <c r="B83" s="53"/>
      <c r="C83" s="62" t="s">
        <v>156</v>
      </c>
      <c r="D83" s="61" t="s">
        <v>157</v>
      </c>
      <c r="E83" s="22">
        <v>1.42</v>
      </c>
      <c r="F83" s="60">
        <v>3</v>
      </c>
      <c r="G83" s="24">
        <f t="shared" si="6"/>
        <v>2556</v>
      </c>
      <c r="H83" s="60">
        <v>4</v>
      </c>
      <c r="I83" s="24">
        <f t="shared" si="5"/>
        <v>3408</v>
      </c>
      <c r="J83" s="58"/>
      <c r="L83" s="34"/>
    </row>
    <row r="84" spans="1:12" s="56" customFormat="1">
      <c r="A84" s="52"/>
      <c r="B84" s="53"/>
      <c r="C84" s="62" t="s">
        <v>158</v>
      </c>
      <c r="D84" s="61" t="s">
        <v>159</v>
      </c>
      <c r="E84" s="22">
        <v>1.58</v>
      </c>
      <c r="F84" s="60">
        <v>3</v>
      </c>
      <c r="G84" s="24">
        <f t="shared" si="6"/>
        <v>2844</v>
      </c>
      <c r="H84" s="60">
        <v>4</v>
      </c>
      <c r="I84" s="24">
        <f t="shared" si="5"/>
        <v>3792</v>
      </c>
      <c r="J84" s="58"/>
      <c r="L84" s="34"/>
    </row>
    <row r="85" spans="1:12" s="56" customFormat="1">
      <c r="A85" s="52"/>
      <c r="B85" s="53"/>
      <c r="C85" s="62" t="s">
        <v>160</v>
      </c>
      <c r="D85" s="61" t="s">
        <v>161</v>
      </c>
      <c r="E85" s="22">
        <v>1.58</v>
      </c>
      <c r="F85" s="60">
        <v>3</v>
      </c>
      <c r="G85" s="24">
        <f t="shared" si="6"/>
        <v>2844</v>
      </c>
      <c r="H85" s="60">
        <v>4</v>
      </c>
      <c r="I85" s="24">
        <f t="shared" si="5"/>
        <v>3792</v>
      </c>
      <c r="J85" s="58"/>
      <c r="L85" s="34"/>
    </row>
    <row r="86" spans="1:12" s="56" customFormat="1">
      <c r="A86" s="52"/>
      <c r="B86" s="53"/>
      <c r="C86" s="59" t="s">
        <v>162</v>
      </c>
      <c r="D86" s="61" t="s">
        <v>163</v>
      </c>
      <c r="E86" s="22">
        <v>2.66</v>
      </c>
      <c r="F86" s="60">
        <v>3</v>
      </c>
      <c r="G86" s="24">
        <f t="shared" si="6"/>
        <v>4788</v>
      </c>
      <c r="H86" s="60">
        <v>4</v>
      </c>
      <c r="I86" s="24">
        <f t="shared" si="5"/>
        <v>6384</v>
      </c>
      <c r="J86" s="58"/>
      <c r="L86" s="34"/>
    </row>
    <row r="87" spans="1:12" s="56" customFormat="1">
      <c r="A87" s="52"/>
      <c r="B87" s="53"/>
      <c r="C87" s="62" t="s">
        <v>164</v>
      </c>
      <c r="D87" s="61" t="s">
        <v>165</v>
      </c>
      <c r="E87" s="22">
        <v>1.62</v>
      </c>
      <c r="F87" s="60">
        <v>3</v>
      </c>
      <c r="G87" s="24">
        <f t="shared" si="6"/>
        <v>2916</v>
      </c>
      <c r="H87" s="60">
        <v>4</v>
      </c>
      <c r="I87" s="24">
        <f t="shared" si="5"/>
        <v>3888.0000000000005</v>
      </c>
      <c r="J87" s="58"/>
      <c r="L87" s="34"/>
    </row>
    <row r="88" spans="1:12" s="56" customFormat="1">
      <c r="A88" s="52"/>
      <c r="B88" s="53"/>
      <c r="C88" s="62" t="s">
        <v>166</v>
      </c>
      <c r="D88" s="61" t="s">
        <v>167</v>
      </c>
      <c r="E88" s="22">
        <v>1.3</v>
      </c>
      <c r="F88" s="60">
        <v>3</v>
      </c>
      <c r="G88" s="24">
        <f t="shared" si="6"/>
        <v>2340</v>
      </c>
      <c r="H88" s="60">
        <v>4</v>
      </c>
      <c r="I88" s="24">
        <f t="shared" si="5"/>
        <v>3120</v>
      </c>
      <c r="J88" s="58"/>
      <c r="L88" s="34"/>
    </row>
    <row r="89" spans="1:12" s="56" customFormat="1">
      <c r="A89" s="52"/>
      <c r="B89" s="53"/>
      <c r="C89" s="62" t="s">
        <v>168</v>
      </c>
      <c r="D89" s="61" t="s">
        <v>169</v>
      </c>
      <c r="E89" s="22">
        <v>1.3</v>
      </c>
      <c r="F89" s="60">
        <v>3</v>
      </c>
      <c r="G89" s="24">
        <f t="shared" si="6"/>
        <v>2340</v>
      </c>
      <c r="H89" s="60">
        <v>4</v>
      </c>
      <c r="I89" s="24">
        <f t="shared" si="5"/>
        <v>3120</v>
      </c>
      <c r="J89" s="58"/>
      <c r="L89" s="34"/>
    </row>
    <row r="90" spans="1:12" s="56" customFormat="1">
      <c r="A90" s="52"/>
      <c r="B90" s="53"/>
      <c r="C90" s="62" t="s">
        <v>170</v>
      </c>
      <c r="D90" s="61" t="s">
        <v>171</v>
      </c>
      <c r="E90" s="22">
        <v>1.3</v>
      </c>
      <c r="F90" s="60">
        <v>3</v>
      </c>
      <c r="G90" s="24">
        <f t="shared" si="6"/>
        <v>2340</v>
      </c>
      <c r="H90" s="60">
        <v>4</v>
      </c>
      <c r="I90" s="24">
        <f t="shared" si="5"/>
        <v>3120</v>
      </c>
      <c r="J90" s="58"/>
      <c r="L90" s="34"/>
    </row>
    <row r="91" spans="1:12" s="56" customFormat="1">
      <c r="A91" s="52"/>
      <c r="B91" s="53"/>
      <c r="C91" s="59" t="s">
        <v>172</v>
      </c>
      <c r="D91" s="61" t="s">
        <v>173</v>
      </c>
      <c r="E91" s="22">
        <v>1.6</v>
      </c>
      <c r="F91" s="60">
        <v>3</v>
      </c>
      <c r="G91" s="24">
        <f t="shared" si="6"/>
        <v>2880.0000000000005</v>
      </c>
      <c r="H91" s="60">
        <v>4</v>
      </c>
      <c r="I91" s="24">
        <f t="shared" si="5"/>
        <v>3840</v>
      </c>
      <c r="J91" s="58"/>
      <c r="L91" s="34"/>
    </row>
    <row r="92" spans="1:12" s="56" customFormat="1">
      <c r="A92" s="52"/>
      <c r="B92" s="53"/>
      <c r="C92" s="62" t="s">
        <v>174</v>
      </c>
      <c r="D92" s="61" t="s">
        <v>175</v>
      </c>
      <c r="E92" s="22">
        <v>1.6</v>
      </c>
      <c r="F92" s="60">
        <v>3</v>
      </c>
      <c r="G92" s="24">
        <f t="shared" si="6"/>
        <v>2880.0000000000005</v>
      </c>
      <c r="H92" s="60">
        <v>4</v>
      </c>
      <c r="I92" s="24">
        <f t="shared" si="5"/>
        <v>3840</v>
      </c>
      <c r="J92" s="58"/>
      <c r="L92" s="34"/>
    </row>
    <row r="93" spans="1:12" s="56" customFormat="1">
      <c r="A93" s="52"/>
      <c r="B93" s="53"/>
      <c r="C93" s="59" t="s">
        <v>176</v>
      </c>
      <c r="D93" s="61" t="s">
        <v>177</v>
      </c>
      <c r="E93" s="22">
        <v>2.5499999999999998</v>
      </c>
      <c r="F93" s="60">
        <v>3</v>
      </c>
      <c r="G93" s="24">
        <f t="shared" si="6"/>
        <v>4590</v>
      </c>
      <c r="H93" s="60">
        <v>4</v>
      </c>
      <c r="I93" s="24">
        <f t="shared" si="5"/>
        <v>6120</v>
      </c>
      <c r="J93" s="58"/>
      <c r="L93" s="34"/>
    </row>
    <row r="94" spans="1:12" s="56" customFormat="1" ht="51">
      <c r="A94" s="52"/>
      <c r="B94" s="53"/>
      <c r="C94" s="62" t="s">
        <v>178</v>
      </c>
      <c r="D94" s="27" t="s">
        <v>179</v>
      </c>
      <c r="E94" s="22">
        <v>1.51</v>
      </c>
      <c r="F94" s="60">
        <v>3</v>
      </c>
      <c r="G94" s="24">
        <f t="shared" si="6"/>
        <v>2718</v>
      </c>
      <c r="H94" s="60">
        <v>4</v>
      </c>
      <c r="I94" s="24">
        <f t="shared" si="5"/>
        <v>3624</v>
      </c>
      <c r="J94" s="58"/>
      <c r="L94" s="34"/>
    </row>
    <row r="95" spans="1:12" s="56" customFormat="1">
      <c r="A95" s="52"/>
      <c r="B95" s="53"/>
      <c r="C95" s="62" t="s">
        <v>180</v>
      </c>
      <c r="D95" s="27" t="s">
        <v>181</v>
      </c>
      <c r="E95" s="22">
        <v>3.24</v>
      </c>
      <c r="F95" s="60">
        <v>3</v>
      </c>
      <c r="G95" s="24">
        <f t="shared" si="6"/>
        <v>5832</v>
      </c>
      <c r="H95" s="60">
        <v>4</v>
      </c>
      <c r="I95" s="24">
        <f t="shared" si="5"/>
        <v>7776.0000000000009</v>
      </c>
      <c r="J95" s="58"/>
      <c r="L95" s="34"/>
    </row>
    <row r="96" spans="1:12" s="56" customFormat="1" ht="76.5">
      <c r="A96" s="52"/>
      <c r="B96" s="53"/>
      <c r="C96" s="62" t="s">
        <v>182</v>
      </c>
      <c r="D96" s="27" t="s">
        <v>183</v>
      </c>
      <c r="E96" s="22">
        <v>3.63</v>
      </c>
      <c r="F96" s="60">
        <v>3</v>
      </c>
      <c r="G96" s="24">
        <f t="shared" si="6"/>
        <v>6534</v>
      </c>
      <c r="H96" s="60">
        <v>4</v>
      </c>
      <c r="I96" s="24">
        <f t="shared" si="5"/>
        <v>8712</v>
      </c>
      <c r="J96" s="58"/>
      <c r="L96" s="34"/>
    </row>
    <row r="97" spans="1:12" s="56" customFormat="1">
      <c r="A97" s="52"/>
      <c r="B97" s="53"/>
      <c r="C97" s="62" t="s">
        <v>184</v>
      </c>
      <c r="D97" s="61" t="s">
        <v>185</v>
      </c>
      <c r="E97" s="22">
        <v>2.08</v>
      </c>
      <c r="F97" s="60">
        <v>3</v>
      </c>
      <c r="G97" s="24">
        <f t="shared" si="6"/>
        <v>3744</v>
      </c>
      <c r="H97" s="60">
        <v>4</v>
      </c>
      <c r="I97" s="24">
        <f t="shared" si="5"/>
        <v>4992</v>
      </c>
      <c r="J97" s="58"/>
      <c r="L97" s="34"/>
    </row>
    <row r="98" spans="1:12" s="56" customFormat="1">
      <c r="A98" s="52"/>
      <c r="B98" s="53"/>
      <c r="C98" s="62" t="s">
        <v>186</v>
      </c>
      <c r="D98" s="61" t="s">
        <v>187</v>
      </c>
      <c r="E98" s="22">
        <v>7.42</v>
      </c>
      <c r="F98" s="60">
        <v>1</v>
      </c>
      <c r="G98" s="24">
        <f t="shared" si="6"/>
        <v>4452</v>
      </c>
      <c r="H98" s="60">
        <v>2</v>
      </c>
      <c r="I98" s="24">
        <f t="shared" si="5"/>
        <v>8904</v>
      </c>
      <c r="J98" s="58"/>
      <c r="L98" s="34"/>
    </row>
    <row r="99" spans="1:12" s="56" customFormat="1">
      <c r="A99" s="52"/>
      <c r="B99" s="53"/>
      <c r="C99" s="62" t="s">
        <v>188</v>
      </c>
      <c r="D99" s="61" t="s">
        <v>189</v>
      </c>
      <c r="E99" s="22">
        <v>9.0399999999999991</v>
      </c>
      <c r="F99" s="60">
        <v>1</v>
      </c>
      <c r="G99" s="24">
        <f t="shared" si="6"/>
        <v>5423.9999999999991</v>
      </c>
      <c r="H99" s="60">
        <v>2</v>
      </c>
      <c r="I99" s="24">
        <f t="shared" si="5"/>
        <v>10847.999999999998</v>
      </c>
      <c r="J99" s="58"/>
      <c r="L99" s="34"/>
    </row>
    <row r="100" spans="1:12" s="56" customFormat="1">
      <c r="A100" s="52"/>
      <c r="B100" s="53"/>
      <c r="C100" s="62" t="s">
        <v>190</v>
      </c>
      <c r="D100" s="61" t="s">
        <v>191</v>
      </c>
      <c r="E100" s="22">
        <v>8.23</v>
      </c>
      <c r="F100" s="60">
        <v>1</v>
      </c>
      <c r="G100" s="24">
        <f t="shared" si="6"/>
        <v>4938</v>
      </c>
      <c r="H100" s="60">
        <v>1</v>
      </c>
      <c r="I100" s="24">
        <f t="shared" si="5"/>
        <v>4938</v>
      </c>
      <c r="J100" s="58"/>
      <c r="L100" s="34"/>
    </row>
    <row r="101" spans="1:12" s="56" customFormat="1">
      <c r="A101" s="52"/>
      <c r="B101" s="53"/>
      <c r="C101" s="62" t="s">
        <v>192</v>
      </c>
      <c r="D101" s="61" t="s">
        <v>193</v>
      </c>
      <c r="E101" s="22">
        <v>1.79</v>
      </c>
      <c r="F101" s="60">
        <v>1</v>
      </c>
      <c r="G101" s="24">
        <f t="shared" si="6"/>
        <v>1074</v>
      </c>
      <c r="H101" s="60">
        <v>1</v>
      </c>
      <c r="I101" s="24">
        <f t="shared" si="5"/>
        <v>1074</v>
      </c>
      <c r="J101" s="58"/>
      <c r="L101" s="34"/>
    </row>
    <row r="102" spans="1:12" s="56" customFormat="1">
      <c r="A102" s="52"/>
      <c r="B102" s="53"/>
      <c r="C102" s="62" t="s">
        <v>194</v>
      </c>
      <c r="D102" s="63" t="s">
        <v>195</v>
      </c>
      <c r="E102" s="22">
        <v>8.76</v>
      </c>
      <c r="F102" s="60">
        <v>3</v>
      </c>
      <c r="G102" s="24">
        <f t="shared" si="6"/>
        <v>15768</v>
      </c>
      <c r="H102" s="60">
        <v>4</v>
      </c>
      <c r="I102" s="24">
        <f t="shared" si="5"/>
        <v>21024</v>
      </c>
      <c r="J102" s="58"/>
      <c r="L102" s="34"/>
    </row>
    <row r="103" spans="1:12" s="56" customFormat="1">
      <c r="A103" s="52"/>
      <c r="B103" s="53"/>
      <c r="C103" s="62" t="s">
        <v>196</v>
      </c>
      <c r="D103" s="61" t="s">
        <v>197</v>
      </c>
      <c r="E103" s="22">
        <v>3.94</v>
      </c>
      <c r="F103" s="60">
        <v>1</v>
      </c>
      <c r="G103" s="24">
        <f t="shared" si="6"/>
        <v>2364</v>
      </c>
      <c r="H103" s="60">
        <v>1</v>
      </c>
      <c r="I103" s="24">
        <f t="shared" si="5"/>
        <v>2364</v>
      </c>
      <c r="J103" s="58"/>
      <c r="L103" s="34"/>
    </row>
    <row r="104" spans="1:12" s="56" customFormat="1">
      <c r="A104" s="52"/>
      <c r="B104" s="53"/>
      <c r="C104" s="62" t="s">
        <v>198</v>
      </c>
      <c r="D104" s="61" t="s">
        <v>199</v>
      </c>
      <c r="E104" s="22">
        <v>8.99</v>
      </c>
      <c r="F104" s="60">
        <v>1</v>
      </c>
      <c r="G104" s="24">
        <f t="shared" si="6"/>
        <v>5394</v>
      </c>
      <c r="H104" s="60">
        <v>1</v>
      </c>
      <c r="I104" s="24">
        <f t="shared" si="5"/>
        <v>5394</v>
      </c>
      <c r="J104" s="58"/>
      <c r="L104" s="34"/>
    </row>
    <row r="105" spans="1:12" s="56" customFormat="1">
      <c r="A105" s="52"/>
      <c r="B105" s="53"/>
      <c r="C105" s="54"/>
      <c r="D105" s="64" t="s">
        <v>11</v>
      </c>
      <c r="E105" s="65"/>
      <c r="F105" s="65"/>
      <c r="G105" s="66">
        <f>ROUND(SUM(G79:G104),0)</f>
        <v>108192</v>
      </c>
      <c r="H105" s="66"/>
      <c r="I105" s="66">
        <f t="shared" ref="I105" si="7">ROUND(SUM(I79:I104),0)</f>
        <v>146250</v>
      </c>
      <c r="K105" s="34"/>
    </row>
    <row r="106" spans="1:12" s="56" customFormat="1">
      <c r="A106" s="52"/>
      <c r="B106" s="53"/>
      <c r="C106" s="54"/>
      <c r="D106" s="67"/>
      <c r="E106" s="52"/>
      <c r="F106" s="52"/>
      <c r="G106" s="52"/>
      <c r="H106" s="55"/>
      <c r="I106" s="57"/>
    </row>
    <row r="107" spans="1:12">
      <c r="C107" s="1" t="s">
        <v>200</v>
      </c>
      <c r="D107" s="58"/>
      <c r="E107" s="68"/>
      <c r="F107" s="68"/>
      <c r="G107" s="68"/>
      <c r="H107" s="68"/>
    </row>
    <row r="108" spans="1:12">
      <c r="D108" s="58"/>
      <c r="E108" s="68"/>
      <c r="F108" s="68"/>
      <c r="G108" s="68"/>
      <c r="H108" s="68"/>
      <c r="I108" s="595" t="s">
        <v>202</v>
      </c>
      <c r="J108" s="596"/>
    </row>
    <row r="109" spans="1:12" ht="38.25">
      <c r="D109" s="58"/>
      <c r="E109" s="68"/>
      <c r="F109" s="68"/>
      <c r="G109" s="68"/>
      <c r="I109" s="13" t="s">
        <v>201</v>
      </c>
      <c r="J109" s="13" t="s">
        <v>10</v>
      </c>
    </row>
    <row r="110" spans="1:12">
      <c r="D110" s="58"/>
      <c r="E110" s="68"/>
      <c r="F110" s="68"/>
      <c r="G110" s="68"/>
      <c r="I110" s="35">
        <f>G105</f>
        <v>108192</v>
      </c>
      <c r="J110" s="35">
        <f>I105</f>
        <v>146250</v>
      </c>
    </row>
    <row r="111" spans="1:12">
      <c r="D111" s="58"/>
      <c r="E111" s="68"/>
      <c r="F111" s="68"/>
      <c r="G111" s="68"/>
      <c r="H111" s="68"/>
    </row>
    <row r="112" spans="1:12">
      <c r="B112" s="1" t="s">
        <v>203</v>
      </c>
      <c r="D112" s="58"/>
      <c r="E112" s="68"/>
      <c r="F112" s="68"/>
      <c r="G112" s="68"/>
      <c r="H112" s="68"/>
    </row>
    <row r="113" spans="3:8">
      <c r="C113" s="11"/>
      <c r="D113" s="11"/>
      <c r="E113" s="69"/>
      <c r="F113" s="69"/>
      <c r="G113" s="69"/>
      <c r="H113" s="69"/>
    </row>
  </sheetData>
  <mergeCells count="64">
    <mergeCell ref="I64:L65"/>
    <mergeCell ref="I66:L66"/>
    <mergeCell ref="A51:D51"/>
    <mergeCell ref="A53:O53"/>
    <mergeCell ref="A54:N54"/>
    <mergeCell ref="B64:B65"/>
    <mergeCell ref="C64:C65"/>
    <mergeCell ref="D64:D65"/>
    <mergeCell ref="E64:E65"/>
    <mergeCell ref="F64:F65"/>
    <mergeCell ref="G64:G65"/>
    <mergeCell ref="H64:H65"/>
    <mergeCell ref="A55:N55"/>
    <mergeCell ref="I57:J57"/>
    <mergeCell ref="F57:G57"/>
    <mergeCell ref="B50:C50"/>
    <mergeCell ref="B39:C39"/>
    <mergeCell ref="B40:C40"/>
    <mergeCell ref="B41:C41"/>
    <mergeCell ref="B42:C42"/>
    <mergeCell ref="B43:C43"/>
    <mergeCell ref="B44:C44"/>
    <mergeCell ref="B45:C45"/>
    <mergeCell ref="B46:C46"/>
    <mergeCell ref="B47:C47"/>
    <mergeCell ref="B48:C48"/>
    <mergeCell ref="B49:C49"/>
    <mergeCell ref="B22:C22"/>
    <mergeCell ref="B23:C23"/>
    <mergeCell ref="B24:C24"/>
    <mergeCell ref="B25:C25"/>
    <mergeCell ref="B38:C38"/>
    <mergeCell ref="B27:C27"/>
    <mergeCell ref="B28:C28"/>
    <mergeCell ref="B29:C29"/>
    <mergeCell ref="B30:C30"/>
    <mergeCell ref="B31:C31"/>
    <mergeCell ref="B32:C32"/>
    <mergeCell ref="B33:C33"/>
    <mergeCell ref="B34:C34"/>
    <mergeCell ref="B35:C35"/>
    <mergeCell ref="B36:C36"/>
    <mergeCell ref="B37:C37"/>
    <mergeCell ref="B17:C17"/>
    <mergeCell ref="B18:C18"/>
    <mergeCell ref="B19:C19"/>
    <mergeCell ref="B20:C20"/>
    <mergeCell ref="B21:C21"/>
    <mergeCell ref="I108:J108"/>
    <mergeCell ref="I1:L1"/>
    <mergeCell ref="B14:C14"/>
    <mergeCell ref="A2:C2"/>
    <mergeCell ref="A4:D4"/>
    <mergeCell ref="G7:I7"/>
    <mergeCell ref="J7:L7"/>
    <mergeCell ref="B8:C8"/>
    <mergeCell ref="A9:D9"/>
    <mergeCell ref="B10:C10"/>
    <mergeCell ref="B11:C11"/>
    <mergeCell ref="B12:C12"/>
    <mergeCell ref="B13:C13"/>
    <mergeCell ref="B26:C26"/>
    <mergeCell ref="B15:C15"/>
    <mergeCell ref="B16:C16"/>
  </mergeCells>
  <pageMargins left="0.7" right="0.7" top="0.75" bottom="0.75" header="0.3" footer="0.3"/>
  <pageSetup paperSize="9" scale="2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BA4B63-49D3-40E5-A8C1-D379BA8C8E9B}">
  <sheetPr>
    <tabColor theme="9" tint="0.79998168889431442"/>
  </sheetPr>
  <dimension ref="A1:AJ100"/>
  <sheetViews>
    <sheetView view="pageBreakPreview" topLeftCell="I59" zoomScale="60" zoomScaleNormal="70" workbookViewId="0">
      <selection activeCell="U4" sqref="U4"/>
    </sheetView>
  </sheetViews>
  <sheetFormatPr defaultColWidth="9.140625" defaultRowHeight="12.75"/>
  <cols>
    <col min="1" max="1" width="4.5703125" style="80" customWidth="1"/>
    <col min="2" max="2" width="7.28515625" style="80" customWidth="1"/>
    <col min="3" max="3" width="46" style="80" customWidth="1"/>
    <col min="4" max="12" width="15.7109375" style="80" customWidth="1"/>
    <col min="13" max="13" width="15.7109375" style="485" customWidth="1"/>
    <col min="14" max="14" width="20.7109375" style="485" customWidth="1"/>
    <col min="15" max="16" width="20.7109375" style="485" hidden="1" customWidth="1"/>
    <col min="17" max="18" width="15.28515625" style="485" hidden="1" customWidth="1"/>
    <col min="19" max="19" width="12.28515625" style="485" customWidth="1"/>
    <col min="20" max="20" width="27.140625" style="485" customWidth="1"/>
    <col min="21" max="21" width="15.28515625" style="485" customWidth="1"/>
    <col min="22" max="22" width="16.28515625" style="512" customWidth="1"/>
    <col min="23" max="24" width="17.7109375" style="512" customWidth="1"/>
    <col min="25" max="25" width="16.42578125" style="512" customWidth="1"/>
    <col min="26" max="26" width="20.28515625" style="512" customWidth="1"/>
    <col min="27" max="27" width="23.42578125" style="80" customWidth="1"/>
    <col min="28" max="28" width="1.7109375" style="80" customWidth="1"/>
    <col min="29" max="29" width="26.85546875" style="80" hidden="1" customWidth="1"/>
    <col min="30" max="35" width="25" style="80" hidden="1" customWidth="1"/>
    <col min="36" max="36" width="14.7109375" style="334" customWidth="1"/>
    <col min="37" max="16384" width="9.140625" style="80"/>
  </cols>
  <sheetData>
    <row r="1" spans="2:36" ht="72" customHeight="1">
      <c r="M1" s="625" t="s">
        <v>5</v>
      </c>
      <c r="N1" s="625"/>
      <c r="O1" s="625"/>
      <c r="P1" s="484"/>
      <c r="T1" s="486"/>
      <c r="V1" s="485"/>
      <c r="W1" s="485"/>
      <c r="X1" s="485"/>
      <c r="Y1" s="485"/>
      <c r="Z1" s="485"/>
      <c r="AA1" s="11"/>
      <c r="AB1" s="11"/>
      <c r="AC1" s="11"/>
      <c r="AD1" s="11"/>
      <c r="AE1" s="11"/>
      <c r="AF1" s="11"/>
      <c r="AG1" s="11"/>
      <c r="AH1" s="11"/>
      <c r="AI1" s="11"/>
    </row>
    <row r="2" spans="2:36" ht="15" customHeight="1">
      <c r="B2" s="599" t="s">
        <v>426</v>
      </c>
      <c r="C2" s="599"/>
      <c r="D2" s="599"/>
      <c r="E2" s="599"/>
      <c r="F2" s="599"/>
      <c r="G2" s="599"/>
      <c r="H2" s="599"/>
      <c r="I2" s="599"/>
      <c r="J2" s="599"/>
      <c r="K2" s="599"/>
      <c r="L2" s="599"/>
      <c r="M2" s="599"/>
      <c r="N2" s="599"/>
      <c r="O2" s="178"/>
      <c r="P2" s="178"/>
      <c r="Q2" s="178"/>
      <c r="R2" s="178"/>
      <c r="S2" s="178"/>
      <c r="T2" s="487"/>
      <c r="U2" s="488"/>
      <c r="V2" s="485"/>
      <c r="W2" s="485"/>
      <c r="X2" s="485"/>
      <c r="Y2" s="485"/>
      <c r="Z2" s="485"/>
      <c r="AA2" s="11"/>
      <c r="AB2" s="11"/>
      <c r="AC2" s="11"/>
      <c r="AD2" s="11"/>
      <c r="AE2" s="11"/>
      <c r="AF2" s="11"/>
      <c r="AG2" s="11"/>
      <c r="AH2" s="11"/>
      <c r="AI2" s="11"/>
    </row>
    <row r="3" spans="2:36" ht="19.5" customHeight="1" thickBot="1">
      <c r="B3" s="626" t="s">
        <v>427</v>
      </c>
      <c r="C3" s="626"/>
      <c r="D3" s="626"/>
      <c r="E3" s="626"/>
      <c r="F3" s="626"/>
      <c r="G3" s="180"/>
      <c r="H3" s="180"/>
      <c r="I3" s="180"/>
      <c r="J3" s="180"/>
      <c r="K3" s="627" t="s">
        <v>428</v>
      </c>
      <c r="L3" s="628"/>
      <c r="T3" s="489"/>
      <c r="V3" s="485"/>
      <c r="W3" s="485"/>
      <c r="X3" s="485"/>
      <c r="Y3" s="485"/>
      <c r="Z3" s="485"/>
      <c r="AA3" s="11"/>
      <c r="AB3" s="11"/>
      <c r="AC3" s="11"/>
      <c r="AD3" s="11"/>
      <c r="AE3" s="11"/>
      <c r="AF3" s="11"/>
      <c r="AG3" s="11"/>
      <c r="AH3" s="11"/>
      <c r="AI3" s="11"/>
    </row>
    <row r="4" spans="2:36" ht="77.25" customHeight="1" thickBot="1">
      <c r="B4" s="271" t="s">
        <v>6</v>
      </c>
      <c r="C4" s="391" t="s">
        <v>429</v>
      </c>
      <c r="D4" s="274" t="s">
        <v>536</v>
      </c>
      <c r="E4" s="275" t="s">
        <v>430</v>
      </c>
      <c r="F4" s="275" t="s">
        <v>431</v>
      </c>
      <c r="G4" s="275" t="s">
        <v>432</v>
      </c>
      <c r="H4" s="275" t="s">
        <v>433</v>
      </c>
      <c r="I4" s="275" t="s">
        <v>434</v>
      </c>
      <c r="J4" s="275" t="s">
        <v>435</v>
      </c>
      <c r="K4" s="275" t="s">
        <v>436</v>
      </c>
      <c r="L4" s="275" t="s">
        <v>437</v>
      </c>
      <c r="M4" s="490" t="s">
        <v>438</v>
      </c>
      <c r="N4" s="491" t="s">
        <v>624</v>
      </c>
      <c r="O4" s="492" t="s">
        <v>623</v>
      </c>
      <c r="P4" s="493" t="s">
        <v>622</v>
      </c>
      <c r="T4" s="338"/>
      <c r="U4" s="338"/>
      <c r="V4" s="338"/>
      <c r="W4" s="338"/>
      <c r="X4" s="338"/>
      <c r="Y4" s="338"/>
      <c r="Z4" s="338"/>
      <c r="AA4" s="337"/>
      <c r="AB4" s="337"/>
      <c r="AC4" s="337"/>
      <c r="AD4" s="338"/>
      <c r="AE4" s="338"/>
      <c r="AF4" s="338"/>
      <c r="AG4" s="338"/>
      <c r="AH4" s="338"/>
      <c r="AI4" s="338"/>
      <c r="AJ4" s="80"/>
    </row>
    <row r="5" spans="2:36" ht="13.5" thickBot="1">
      <c r="B5" s="203">
        <v>1</v>
      </c>
      <c r="C5" s="203">
        <v>2</v>
      </c>
      <c r="D5" s="204">
        <v>3</v>
      </c>
      <c r="E5" s="204">
        <v>4</v>
      </c>
      <c r="F5" s="204">
        <v>5</v>
      </c>
      <c r="G5" s="204">
        <v>6</v>
      </c>
      <c r="H5" s="204">
        <v>7</v>
      </c>
      <c r="I5" s="204">
        <v>8</v>
      </c>
      <c r="J5" s="205">
        <v>9</v>
      </c>
      <c r="K5" s="397">
        <v>10</v>
      </c>
      <c r="L5" s="398">
        <v>11</v>
      </c>
      <c r="M5" s="494">
        <v>12</v>
      </c>
      <c r="N5" s="495">
        <v>13</v>
      </c>
      <c r="O5" s="494">
        <v>14</v>
      </c>
      <c r="P5" s="495">
        <v>15</v>
      </c>
      <c r="U5" s="496"/>
      <c r="V5" s="496"/>
      <c r="W5" s="496"/>
      <c r="X5" s="496"/>
      <c r="Y5" s="496"/>
      <c r="Z5" s="496"/>
      <c r="AA5" s="339"/>
      <c r="AB5" s="339"/>
      <c r="AC5" s="339"/>
      <c r="AD5" s="340"/>
      <c r="AE5" s="340"/>
      <c r="AF5" s="340"/>
      <c r="AG5" s="340"/>
      <c r="AH5" s="340"/>
      <c r="AI5" s="340"/>
      <c r="AJ5" s="80"/>
    </row>
    <row r="6" spans="2:36">
      <c r="B6" s="206">
        <v>1</v>
      </c>
      <c r="C6" s="207" t="s">
        <v>439</v>
      </c>
      <c r="D6" s="208">
        <v>205.7</v>
      </c>
      <c r="E6" s="209">
        <v>10</v>
      </c>
      <c r="F6" s="209">
        <f>ROUND(D6/10/12,2)</f>
        <v>1.71</v>
      </c>
      <c r="G6" s="210">
        <v>1.71</v>
      </c>
      <c r="H6" s="209">
        <v>1.71</v>
      </c>
      <c r="I6" s="209">
        <v>1.71</v>
      </c>
      <c r="J6" s="211">
        <v>1.71</v>
      </c>
      <c r="K6" s="212"/>
      <c r="L6" s="209">
        <v>1.71</v>
      </c>
      <c r="M6" s="392">
        <v>1.71</v>
      </c>
      <c r="N6" s="497">
        <v>1.71</v>
      </c>
      <c r="O6" s="498">
        <v>1.71</v>
      </c>
      <c r="P6" s="499">
        <f>O6</f>
        <v>1.71</v>
      </c>
      <c r="Q6" s="500"/>
      <c r="R6" s="500"/>
      <c r="S6" s="500"/>
      <c r="U6" s="496"/>
      <c r="V6" s="496"/>
      <c r="W6" s="496"/>
      <c r="X6" s="496"/>
      <c r="Y6" s="496"/>
      <c r="Z6" s="496"/>
      <c r="AA6" s="339"/>
      <c r="AB6" s="339"/>
      <c r="AC6" s="339"/>
      <c r="AD6" s="340"/>
      <c r="AE6" s="340"/>
      <c r="AF6" s="340"/>
      <c r="AG6" s="340"/>
      <c r="AH6" s="340"/>
      <c r="AI6" s="340"/>
      <c r="AJ6" s="80"/>
    </row>
    <row r="7" spans="2:36" s="264" customFormat="1">
      <c r="B7" s="213">
        <v>2</v>
      </c>
      <c r="C7" s="214" t="s">
        <v>440</v>
      </c>
      <c r="D7" s="215">
        <v>165.05</v>
      </c>
      <c r="E7" s="216">
        <v>10</v>
      </c>
      <c r="F7" s="216">
        <f t="shared" ref="F7:F19" si="0">ROUND(D7/10/12,2)</f>
        <v>1.38</v>
      </c>
      <c r="G7" s="217">
        <v>1.38</v>
      </c>
      <c r="H7" s="216">
        <v>1.38</v>
      </c>
      <c r="I7" s="216">
        <v>1.38</v>
      </c>
      <c r="J7" s="218">
        <v>1.38</v>
      </c>
      <c r="K7" s="219"/>
      <c r="L7" s="216">
        <v>1.38</v>
      </c>
      <c r="M7" s="393">
        <v>1.38</v>
      </c>
      <c r="N7" s="501">
        <v>1.38</v>
      </c>
      <c r="O7" s="502">
        <v>1.38</v>
      </c>
      <c r="P7" s="503">
        <f t="shared" ref="P7:P70" si="1">O7</f>
        <v>1.38</v>
      </c>
      <c r="Q7" s="500"/>
      <c r="R7" s="500"/>
      <c r="S7" s="500"/>
      <c r="T7" s="485"/>
      <c r="U7" s="496"/>
      <c r="V7" s="496"/>
      <c r="W7" s="496"/>
      <c r="X7" s="496"/>
      <c r="Y7" s="496"/>
      <c r="Z7" s="496"/>
      <c r="AA7" s="339"/>
      <c r="AB7" s="339"/>
      <c r="AC7" s="339"/>
      <c r="AD7" s="340"/>
      <c r="AE7" s="340"/>
      <c r="AF7" s="340"/>
      <c r="AG7" s="340"/>
      <c r="AH7" s="340"/>
      <c r="AI7" s="340"/>
    </row>
    <row r="8" spans="2:36" s="264" customFormat="1">
      <c r="B8" s="213">
        <v>3</v>
      </c>
      <c r="C8" s="214" t="s">
        <v>441</v>
      </c>
      <c r="D8" s="215">
        <v>119.79</v>
      </c>
      <c r="E8" s="216">
        <v>10</v>
      </c>
      <c r="F8" s="216">
        <f>ROUND(D8/10/12,2)</f>
        <v>1</v>
      </c>
      <c r="G8" s="217">
        <v>1</v>
      </c>
      <c r="H8" s="216">
        <v>1</v>
      </c>
      <c r="I8" s="216">
        <v>1</v>
      </c>
      <c r="J8" s="218">
        <v>1</v>
      </c>
      <c r="K8" s="219"/>
      <c r="L8" s="216">
        <v>1</v>
      </c>
      <c r="M8" s="393">
        <v>1</v>
      </c>
      <c r="N8" s="501">
        <v>1</v>
      </c>
      <c r="O8" s="502">
        <v>1</v>
      </c>
      <c r="P8" s="503">
        <f t="shared" si="1"/>
        <v>1</v>
      </c>
      <c r="Q8" s="500"/>
      <c r="R8" s="500"/>
      <c r="S8" s="500"/>
      <c r="T8" s="485"/>
      <c r="U8" s="496"/>
      <c r="V8" s="496"/>
      <c r="W8" s="496"/>
      <c r="X8" s="496"/>
      <c r="Y8" s="496"/>
      <c r="Z8" s="496"/>
      <c r="AA8" s="339"/>
      <c r="AB8" s="339"/>
      <c r="AC8" s="339"/>
      <c r="AD8" s="340"/>
      <c r="AE8" s="340"/>
      <c r="AF8" s="340"/>
      <c r="AG8" s="340"/>
      <c r="AH8" s="340"/>
      <c r="AI8" s="340"/>
    </row>
    <row r="9" spans="2:36" s="264" customFormat="1">
      <c r="B9" s="213">
        <v>4</v>
      </c>
      <c r="C9" s="214" t="s">
        <v>442</v>
      </c>
      <c r="D9" s="215">
        <v>67.760000000000005</v>
      </c>
      <c r="E9" s="216">
        <v>10</v>
      </c>
      <c r="F9" s="216">
        <f t="shared" si="0"/>
        <v>0.56000000000000005</v>
      </c>
      <c r="G9" s="217">
        <v>0.56000000000000005</v>
      </c>
      <c r="H9" s="216">
        <v>0.56000000000000005</v>
      </c>
      <c r="I9" s="216">
        <v>0.56000000000000005</v>
      </c>
      <c r="J9" s="218">
        <v>0.56000000000000005</v>
      </c>
      <c r="K9" s="219"/>
      <c r="L9" s="216">
        <v>0.56000000000000005</v>
      </c>
      <c r="M9" s="393">
        <v>0.56000000000000005</v>
      </c>
      <c r="N9" s="501">
        <v>0.56000000000000005</v>
      </c>
      <c r="O9" s="502">
        <v>0.56000000000000005</v>
      </c>
      <c r="P9" s="503">
        <f t="shared" si="1"/>
        <v>0.56000000000000005</v>
      </c>
      <c r="Q9" s="500"/>
      <c r="R9" s="500"/>
      <c r="S9" s="500"/>
      <c r="T9" s="485"/>
      <c r="U9" s="496"/>
      <c r="V9" s="496"/>
      <c r="W9" s="496"/>
      <c r="X9" s="496"/>
      <c r="Y9" s="496"/>
      <c r="Z9" s="496"/>
      <c r="AA9" s="339"/>
      <c r="AB9" s="339"/>
      <c r="AC9" s="339"/>
      <c r="AD9" s="340"/>
      <c r="AE9" s="340"/>
      <c r="AF9" s="340"/>
      <c r="AG9" s="340"/>
      <c r="AH9" s="340"/>
      <c r="AI9" s="340"/>
    </row>
    <row r="10" spans="2:36">
      <c r="B10" s="213">
        <v>5</v>
      </c>
      <c r="C10" s="214" t="s">
        <v>443</v>
      </c>
      <c r="D10" s="220">
        <v>88.33</v>
      </c>
      <c r="E10" s="216">
        <v>10</v>
      </c>
      <c r="F10" s="216">
        <f t="shared" si="0"/>
        <v>0.74</v>
      </c>
      <c r="G10" s="217">
        <v>0.74</v>
      </c>
      <c r="H10" s="216">
        <v>0.74</v>
      </c>
      <c r="I10" s="216">
        <v>0.74</v>
      </c>
      <c r="J10" s="218">
        <v>0.74</v>
      </c>
      <c r="K10" s="219"/>
      <c r="L10" s="216">
        <v>0.74</v>
      </c>
      <c r="M10" s="393">
        <v>0.74</v>
      </c>
      <c r="N10" s="501">
        <v>0.74</v>
      </c>
      <c r="O10" s="502">
        <v>0.74</v>
      </c>
      <c r="P10" s="503">
        <f t="shared" si="1"/>
        <v>0.74</v>
      </c>
      <c r="Q10" s="500"/>
      <c r="R10" s="500"/>
      <c r="S10" s="500"/>
      <c r="T10" s="504"/>
      <c r="U10" s="505"/>
      <c r="V10" s="505"/>
      <c r="W10" s="505"/>
      <c r="X10" s="505"/>
      <c r="Y10" s="505"/>
      <c r="Z10" s="505"/>
      <c r="AA10" s="341"/>
      <c r="AB10" s="341"/>
      <c r="AC10" s="341"/>
      <c r="AD10" s="342"/>
      <c r="AE10" s="342"/>
      <c r="AF10" s="342"/>
      <c r="AG10" s="342"/>
      <c r="AH10" s="342"/>
      <c r="AI10" s="342"/>
      <c r="AJ10" s="80"/>
    </row>
    <row r="11" spans="2:36">
      <c r="B11" s="213">
        <v>6</v>
      </c>
      <c r="C11" s="214" t="s">
        <v>444</v>
      </c>
      <c r="D11" s="220">
        <v>33.879999999999995</v>
      </c>
      <c r="E11" s="216">
        <v>10</v>
      </c>
      <c r="F11" s="216">
        <f t="shared" si="0"/>
        <v>0.28000000000000003</v>
      </c>
      <c r="G11" s="217">
        <v>0.28000000000000003</v>
      </c>
      <c r="H11" s="216">
        <v>0.28000000000000003</v>
      </c>
      <c r="I11" s="216">
        <v>0.28000000000000003</v>
      </c>
      <c r="J11" s="218">
        <v>0.28000000000000003</v>
      </c>
      <c r="K11" s="219"/>
      <c r="L11" s="216">
        <v>0.28000000000000003</v>
      </c>
      <c r="M11" s="393">
        <v>0.28000000000000003</v>
      </c>
      <c r="N11" s="501">
        <v>0.28000000000000003</v>
      </c>
      <c r="O11" s="502">
        <v>0.28000000000000003</v>
      </c>
      <c r="P11" s="503">
        <f t="shared" si="1"/>
        <v>0.28000000000000003</v>
      </c>
      <c r="Q11" s="500"/>
      <c r="R11" s="500"/>
      <c r="S11" s="500"/>
      <c r="T11" s="506">
        <v>0.99938720796037139</v>
      </c>
      <c r="U11" s="488"/>
      <c r="V11" s="485"/>
      <c r="W11" s="485"/>
      <c r="X11" s="485"/>
      <c r="Y11" s="485"/>
      <c r="Z11" s="485"/>
      <c r="AA11" s="11"/>
      <c r="AB11" s="11"/>
      <c r="AC11" s="11"/>
      <c r="AJ11" s="80"/>
    </row>
    <row r="12" spans="2:36">
      <c r="B12" s="213">
        <v>7</v>
      </c>
      <c r="C12" s="214" t="s">
        <v>445</v>
      </c>
      <c r="D12" s="215">
        <v>227.06</v>
      </c>
      <c r="E12" s="216">
        <v>10</v>
      </c>
      <c r="F12" s="216">
        <f>ROUND(D12/10/12,2)</f>
        <v>1.89</v>
      </c>
      <c r="G12" s="217">
        <v>1.89</v>
      </c>
      <c r="H12" s="216">
        <v>1.89</v>
      </c>
      <c r="I12" s="216">
        <v>1.89</v>
      </c>
      <c r="J12" s="218">
        <v>1.89</v>
      </c>
      <c r="K12" s="219"/>
      <c r="L12" s="216">
        <v>1.89</v>
      </c>
      <c r="M12" s="393">
        <v>1.89</v>
      </c>
      <c r="N12" s="501">
        <v>1.89</v>
      </c>
      <c r="O12" s="502">
        <v>1.89</v>
      </c>
      <c r="P12" s="503">
        <f t="shared" si="1"/>
        <v>1.89</v>
      </c>
      <c r="Q12" s="500"/>
      <c r="R12" s="500"/>
      <c r="S12" s="500"/>
      <c r="T12" s="507">
        <v>3.3360530000000002</v>
      </c>
      <c r="V12" s="485"/>
      <c r="W12" s="485"/>
      <c r="X12" s="485"/>
      <c r="Y12" s="485"/>
      <c r="Z12" s="485"/>
      <c r="AA12" s="11"/>
      <c r="AB12" s="11"/>
      <c r="AC12" s="11"/>
      <c r="AD12" s="419">
        <f>N94</f>
        <v>3.3360530000000002</v>
      </c>
      <c r="AG12" s="419">
        <f>O94</f>
        <v>3.3538679999999998</v>
      </c>
      <c r="AJ12" s="80"/>
    </row>
    <row r="13" spans="2:36" ht="75.75" customHeight="1">
      <c r="B13" s="213">
        <v>8</v>
      </c>
      <c r="C13" s="214" t="s">
        <v>446</v>
      </c>
      <c r="D13" s="215">
        <v>94.74</v>
      </c>
      <c r="E13" s="216">
        <v>10</v>
      </c>
      <c r="F13" s="216">
        <f>ROUND(D13/10/12,2)</f>
        <v>0.79</v>
      </c>
      <c r="G13" s="217">
        <v>0.79</v>
      </c>
      <c r="H13" s="216">
        <v>0.79</v>
      </c>
      <c r="I13" s="216">
        <v>0.79</v>
      </c>
      <c r="J13" s="218">
        <v>0.79</v>
      </c>
      <c r="K13" s="219"/>
      <c r="L13" s="216">
        <v>0.79</v>
      </c>
      <c r="M13" s="393">
        <v>0.79</v>
      </c>
      <c r="N13" s="501">
        <v>0.79</v>
      </c>
      <c r="O13" s="502">
        <v>0.79</v>
      </c>
      <c r="P13" s="503">
        <f t="shared" si="1"/>
        <v>0.79</v>
      </c>
      <c r="Q13" s="500"/>
      <c r="R13" s="500"/>
      <c r="S13" s="500"/>
      <c r="T13" s="336" t="s">
        <v>298</v>
      </c>
      <c r="U13" s="336" t="s">
        <v>447</v>
      </c>
      <c r="V13" s="336" t="s">
        <v>299</v>
      </c>
      <c r="W13" s="336" t="s">
        <v>448</v>
      </c>
      <c r="X13" s="336" t="s">
        <v>449</v>
      </c>
      <c r="Y13" s="336" t="s">
        <v>609</v>
      </c>
      <c r="Z13" s="336" t="s">
        <v>614</v>
      </c>
      <c r="AA13" s="410" t="s">
        <v>615</v>
      </c>
      <c r="AB13" s="338"/>
      <c r="AC13" s="413" t="s">
        <v>612</v>
      </c>
      <c r="AD13" s="413" t="s">
        <v>616</v>
      </c>
      <c r="AE13" s="413" t="s">
        <v>617</v>
      </c>
      <c r="AF13" s="410" t="s">
        <v>618</v>
      </c>
      <c r="AG13" s="336" t="s">
        <v>613</v>
      </c>
      <c r="AH13" s="336" t="s">
        <v>619</v>
      </c>
      <c r="AI13" s="336" t="s">
        <v>610</v>
      </c>
      <c r="AJ13" s="80"/>
    </row>
    <row r="14" spans="2:36" s="264" customFormat="1">
      <c r="B14" s="213">
        <v>9</v>
      </c>
      <c r="C14" s="214" t="s">
        <v>450</v>
      </c>
      <c r="D14" s="215">
        <v>101.34</v>
      </c>
      <c r="E14" s="216">
        <v>10</v>
      </c>
      <c r="F14" s="216">
        <f>ROUND(D14/10/12,2)</f>
        <v>0.84</v>
      </c>
      <c r="G14" s="217">
        <v>0.84</v>
      </c>
      <c r="H14" s="216">
        <v>0.84</v>
      </c>
      <c r="I14" s="216">
        <v>0.84</v>
      </c>
      <c r="J14" s="218">
        <v>0.84</v>
      </c>
      <c r="K14" s="219"/>
      <c r="L14" s="216">
        <v>0.84</v>
      </c>
      <c r="M14" s="393">
        <v>0.84</v>
      </c>
      <c r="N14" s="501">
        <v>0.84</v>
      </c>
      <c r="O14" s="502">
        <v>0.84</v>
      </c>
      <c r="P14" s="503">
        <f t="shared" si="1"/>
        <v>0.84</v>
      </c>
      <c r="Q14" s="500"/>
      <c r="R14" s="500"/>
      <c r="S14" s="500"/>
      <c r="T14" s="508" t="s">
        <v>300</v>
      </c>
      <c r="U14" s="509">
        <v>181</v>
      </c>
      <c r="V14" s="509">
        <v>286689</v>
      </c>
      <c r="W14" s="509">
        <v>753087.97250000027</v>
      </c>
      <c r="X14" s="509">
        <f>W14*4</f>
        <v>3012351.8900000011</v>
      </c>
      <c r="Y14" s="509">
        <v>959793.22</v>
      </c>
      <c r="Z14" s="509">
        <v>3839172.88</v>
      </c>
      <c r="AA14" s="411">
        <f>Z14-X14</f>
        <v>826820.98999999883</v>
      </c>
      <c r="AB14" s="339"/>
      <c r="AC14" s="409">
        <v>753088</v>
      </c>
      <c r="AD14" s="414">
        <v>959793</v>
      </c>
      <c r="AE14" s="414">
        <f>AD14-AC14</f>
        <v>206705</v>
      </c>
      <c r="AF14" s="414">
        <f>AE14*4</f>
        <v>826820</v>
      </c>
      <c r="AG14" s="414">
        <v>964918</v>
      </c>
      <c r="AH14" s="414">
        <f>AG14-AD14</f>
        <v>5125</v>
      </c>
      <c r="AI14" s="414">
        <f>AH14*4</f>
        <v>20500</v>
      </c>
    </row>
    <row r="15" spans="2:36" s="264" customFormat="1">
      <c r="B15" s="213">
        <v>10</v>
      </c>
      <c r="C15" s="214" t="s">
        <v>451</v>
      </c>
      <c r="D15" s="215">
        <f>444+22.26</f>
        <v>466.26</v>
      </c>
      <c r="E15" s="216">
        <v>10</v>
      </c>
      <c r="F15" s="216">
        <f t="shared" si="0"/>
        <v>3.89</v>
      </c>
      <c r="G15" s="217">
        <v>3.89</v>
      </c>
      <c r="H15" s="216">
        <v>3.89</v>
      </c>
      <c r="I15" s="216">
        <v>3.89</v>
      </c>
      <c r="J15" s="218">
        <v>3.89</v>
      </c>
      <c r="K15" s="219"/>
      <c r="L15" s="216">
        <v>3.89</v>
      </c>
      <c r="M15" s="393">
        <v>3.89</v>
      </c>
      <c r="N15" s="501">
        <v>3.89</v>
      </c>
      <c r="O15" s="502">
        <v>3.89</v>
      </c>
      <c r="P15" s="503">
        <f t="shared" si="1"/>
        <v>3.89</v>
      </c>
      <c r="Q15" s="500"/>
      <c r="R15" s="500"/>
      <c r="S15" s="500"/>
      <c r="T15" s="508" t="s">
        <v>301</v>
      </c>
      <c r="U15" s="509">
        <v>143</v>
      </c>
      <c r="V15" s="509">
        <v>240349</v>
      </c>
      <c r="W15" s="509">
        <v>619289.35</v>
      </c>
      <c r="X15" s="509">
        <f>W15*4</f>
        <v>2477157.4</v>
      </c>
      <c r="Y15" s="509">
        <v>788948.59000000032</v>
      </c>
      <c r="Z15" s="509">
        <v>3155794.3600000013</v>
      </c>
      <c r="AA15" s="411">
        <f>Z15-X15</f>
        <v>678636.96000000136</v>
      </c>
      <c r="AB15" s="339"/>
      <c r="AC15" s="409">
        <v>619290</v>
      </c>
      <c r="AD15" s="414">
        <v>788948</v>
      </c>
      <c r="AE15" s="414">
        <f t="shared" ref="AE15:AE18" si="2">AD15-AC15</f>
        <v>169658</v>
      </c>
      <c r="AF15" s="414">
        <f t="shared" ref="AF15:AF18" si="3">AE15*4</f>
        <v>678632</v>
      </c>
      <c r="AG15" s="414">
        <v>793162</v>
      </c>
      <c r="AH15" s="414">
        <f t="shared" ref="AH15:AH18" si="4">AG15-AD15</f>
        <v>4214</v>
      </c>
      <c r="AI15" s="414">
        <f t="shared" ref="AI15:AI18" si="5">AH15*4</f>
        <v>16856</v>
      </c>
    </row>
    <row r="16" spans="2:36" ht="25.5">
      <c r="B16" s="213">
        <v>11</v>
      </c>
      <c r="C16" s="214" t="s">
        <v>452</v>
      </c>
      <c r="D16" s="215">
        <v>339.8</v>
      </c>
      <c r="E16" s="216">
        <v>10</v>
      </c>
      <c r="F16" s="216">
        <f t="shared" si="0"/>
        <v>2.83</v>
      </c>
      <c r="G16" s="217">
        <v>2.83</v>
      </c>
      <c r="H16" s="216">
        <v>2.83</v>
      </c>
      <c r="I16" s="216">
        <v>2.83</v>
      </c>
      <c r="J16" s="218">
        <v>2.83</v>
      </c>
      <c r="K16" s="219"/>
      <c r="L16" s="216">
        <v>2.83</v>
      </c>
      <c r="M16" s="393">
        <v>2.83</v>
      </c>
      <c r="N16" s="501">
        <v>2.83</v>
      </c>
      <c r="O16" s="502">
        <v>2.83</v>
      </c>
      <c r="P16" s="503">
        <f t="shared" si="1"/>
        <v>2.83</v>
      </c>
      <c r="Q16" s="500"/>
      <c r="R16" s="500"/>
      <c r="S16" s="500"/>
      <c r="T16" s="508" t="s">
        <v>302</v>
      </c>
      <c r="U16" s="509">
        <v>558</v>
      </c>
      <c r="V16" s="509">
        <v>885163</v>
      </c>
      <c r="W16" s="509">
        <v>2317296.2199999993</v>
      </c>
      <c r="X16" s="509">
        <f>W16*4</f>
        <v>9269184.8799999971</v>
      </c>
      <c r="Y16" s="509">
        <v>2951990.4100000025</v>
      </c>
      <c r="Z16" s="509">
        <v>11807961.64000001</v>
      </c>
      <c r="AA16" s="411">
        <f>Z16-X16</f>
        <v>2538776.7600000128</v>
      </c>
      <c r="AB16" s="339"/>
      <c r="AC16" s="409">
        <v>2317296</v>
      </c>
      <c r="AD16" s="414">
        <v>2951991</v>
      </c>
      <c r="AE16" s="414">
        <f t="shared" si="2"/>
        <v>634695</v>
      </c>
      <c r="AF16" s="414">
        <f t="shared" si="3"/>
        <v>2538780</v>
      </c>
      <c r="AG16" s="414">
        <v>2967754</v>
      </c>
      <c r="AH16" s="414">
        <f t="shared" si="4"/>
        <v>15763</v>
      </c>
      <c r="AI16" s="414">
        <f t="shared" si="5"/>
        <v>63052</v>
      </c>
      <c r="AJ16" s="80"/>
    </row>
    <row r="17" spans="2:36" s="264" customFormat="1">
      <c r="B17" s="213">
        <v>12</v>
      </c>
      <c r="C17" s="214" t="s">
        <v>453</v>
      </c>
      <c r="D17" s="215">
        <v>69.260000000000005</v>
      </c>
      <c r="E17" s="216">
        <v>10</v>
      </c>
      <c r="F17" s="216">
        <f t="shared" si="0"/>
        <v>0.57999999999999996</v>
      </c>
      <c r="G17" s="217">
        <v>0.57999999999999996</v>
      </c>
      <c r="H17" s="216">
        <v>0.57999999999999996</v>
      </c>
      <c r="I17" s="216">
        <v>0.57999999999999996</v>
      </c>
      <c r="J17" s="218">
        <v>0.57999999999999996</v>
      </c>
      <c r="K17" s="219"/>
      <c r="L17" s="216">
        <v>0.57999999999999996</v>
      </c>
      <c r="M17" s="393">
        <v>0.57999999999999996</v>
      </c>
      <c r="N17" s="501">
        <v>0.57999999999999996</v>
      </c>
      <c r="O17" s="502">
        <v>0.57999999999999996</v>
      </c>
      <c r="P17" s="503">
        <f t="shared" si="1"/>
        <v>0.57999999999999996</v>
      </c>
      <c r="Q17" s="500"/>
      <c r="R17" s="500"/>
      <c r="S17" s="500"/>
      <c r="T17" s="508" t="s">
        <v>303</v>
      </c>
      <c r="U17" s="509">
        <v>155</v>
      </c>
      <c r="V17" s="509">
        <v>235144</v>
      </c>
      <c r="W17" s="509">
        <v>614714.46833333361</v>
      </c>
      <c r="X17" s="509">
        <f>W17*4</f>
        <v>2458857.8733333345</v>
      </c>
      <c r="Y17" s="509">
        <v>783250.15999999968</v>
      </c>
      <c r="Z17" s="509">
        <v>3133000.6399999987</v>
      </c>
      <c r="AA17" s="411">
        <f>Z17-X17</f>
        <v>674142.76666666428</v>
      </c>
      <c r="AB17" s="339"/>
      <c r="AC17" s="409">
        <v>614714</v>
      </c>
      <c r="AD17" s="414">
        <v>783250</v>
      </c>
      <c r="AE17" s="414">
        <f t="shared" si="2"/>
        <v>168536</v>
      </c>
      <c r="AF17" s="414">
        <f t="shared" si="3"/>
        <v>674144</v>
      </c>
      <c r="AG17" s="414">
        <v>787433</v>
      </c>
      <c r="AH17" s="414">
        <f t="shared" si="4"/>
        <v>4183</v>
      </c>
      <c r="AI17" s="414">
        <f t="shared" si="5"/>
        <v>16732</v>
      </c>
    </row>
    <row r="18" spans="2:36">
      <c r="B18" s="206">
        <v>13</v>
      </c>
      <c r="C18" s="221" t="s">
        <v>454</v>
      </c>
      <c r="D18" s="215">
        <v>500</v>
      </c>
      <c r="E18" s="216">
        <v>10</v>
      </c>
      <c r="F18" s="216">
        <f>ROUND(D18/10/12,2)</f>
        <v>4.17</v>
      </c>
      <c r="G18" s="217">
        <v>4.17</v>
      </c>
      <c r="H18" s="216">
        <v>4.17</v>
      </c>
      <c r="I18" s="216">
        <v>4.17</v>
      </c>
      <c r="J18" s="218">
        <v>4.17</v>
      </c>
      <c r="K18" s="219"/>
      <c r="L18" s="216">
        <v>4.17</v>
      </c>
      <c r="M18" s="393">
        <v>4.17</v>
      </c>
      <c r="N18" s="501">
        <v>4.17</v>
      </c>
      <c r="O18" s="502">
        <v>4.17</v>
      </c>
      <c r="P18" s="503">
        <f t="shared" si="1"/>
        <v>4.17</v>
      </c>
      <c r="Q18" s="500"/>
      <c r="R18" s="500"/>
      <c r="S18" s="500"/>
      <c r="T18" s="508" t="s">
        <v>304</v>
      </c>
      <c r="U18" s="509">
        <v>183</v>
      </c>
      <c r="V18" s="509">
        <v>285788</v>
      </c>
      <c r="W18" s="509">
        <v>755968.88083333336</v>
      </c>
      <c r="X18" s="509">
        <f>W18*4</f>
        <v>3023875.5233333334</v>
      </c>
      <c r="Y18" s="509">
        <v>963070.7799999998</v>
      </c>
      <c r="Z18" s="509">
        <v>3852283.1199999992</v>
      </c>
      <c r="AA18" s="411">
        <f>Z18-X18</f>
        <v>828407.59666666575</v>
      </c>
      <c r="AB18" s="339"/>
      <c r="AC18" s="421">
        <v>755969</v>
      </c>
      <c r="AD18" s="422">
        <v>963071</v>
      </c>
      <c r="AE18" s="422">
        <f t="shared" si="2"/>
        <v>207102</v>
      </c>
      <c r="AF18" s="422">
        <f t="shared" si="3"/>
        <v>828408</v>
      </c>
      <c r="AG18" s="422">
        <v>968214</v>
      </c>
      <c r="AH18" s="414">
        <f t="shared" si="4"/>
        <v>5143</v>
      </c>
      <c r="AI18" s="414">
        <f t="shared" si="5"/>
        <v>20572</v>
      </c>
      <c r="AJ18" s="80"/>
    </row>
    <row r="19" spans="2:36">
      <c r="B19" s="213">
        <v>14</v>
      </c>
      <c r="C19" s="221" t="s">
        <v>455</v>
      </c>
      <c r="D19" s="220">
        <v>156.09</v>
      </c>
      <c r="E19" s="216">
        <v>10</v>
      </c>
      <c r="F19" s="216">
        <f t="shared" si="0"/>
        <v>1.3</v>
      </c>
      <c r="G19" s="217">
        <v>1.3</v>
      </c>
      <c r="H19" s="216">
        <v>1.3</v>
      </c>
      <c r="I19" s="216">
        <v>1.3</v>
      </c>
      <c r="J19" s="218">
        <v>1.3</v>
      </c>
      <c r="K19" s="219"/>
      <c r="L19" s="216">
        <v>1.3</v>
      </c>
      <c r="M19" s="393">
        <v>1.3</v>
      </c>
      <c r="N19" s="501">
        <v>1.3</v>
      </c>
      <c r="O19" s="502">
        <v>1.3</v>
      </c>
      <c r="P19" s="503">
        <f t="shared" si="1"/>
        <v>1.3</v>
      </c>
      <c r="Q19" s="500"/>
      <c r="R19" s="500"/>
      <c r="S19" s="500"/>
      <c r="T19" s="510" t="s">
        <v>3</v>
      </c>
      <c r="U19" s="511">
        <f>SUM(U14:U18)</f>
        <v>1220</v>
      </c>
      <c r="V19" s="511">
        <f>SUM(V14:V18)</f>
        <v>1933133</v>
      </c>
      <c r="W19" s="511">
        <f>SUM(W14:W18)</f>
        <v>5060356.8916666666</v>
      </c>
      <c r="X19" s="511">
        <f>SUM(X14:X18)</f>
        <v>20241427.566666666</v>
      </c>
      <c r="Y19" s="511">
        <v>6447053.160000002</v>
      </c>
      <c r="Z19" s="511">
        <v>25788212.640000008</v>
      </c>
      <c r="AA19" s="412">
        <f>SUM(AA14:AA18)</f>
        <v>5546785.0733333435</v>
      </c>
      <c r="AB19" s="416"/>
      <c r="AC19" s="265">
        <f>SUM(AC14:AC18)</f>
        <v>5060357</v>
      </c>
      <c r="AD19" s="265">
        <f>SUM(AD14:AD18)</f>
        <v>6447053</v>
      </c>
      <c r="AE19" s="265">
        <f>SUM(AE14:AE18)</f>
        <v>1386696</v>
      </c>
      <c r="AF19" s="265">
        <f>SUM(AF14:AF18)</f>
        <v>5546784</v>
      </c>
      <c r="AG19" s="265">
        <f t="shared" ref="AG19:AI19" si="6">SUM(AG14:AG18)</f>
        <v>6481481</v>
      </c>
      <c r="AH19" s="415">
        <f t="shared" si="6"/>
        <v>34428</v>
      </c>
      <c r="AI19" s="412">
        <f t="shared" si="6"/>
        <v>137712</v>
      </c>
      <c r="AJ19" s="80"/>
    </row>
    <row r="20" spans="2:36">
      <c r="B20" s="213">
        <v>15</v>
      </c>
      <c r="C20" s="221" t="s">
        <v>456</v>
      </c>
      <c r="D20" s="215">
        <v>290.39999999999998</v>
      </c>
      <c r="E20" s="216">
        <v>10</v>
      </c>
      <c r="F20" s="216">
        <f t="shared" ref="F20:F25" si="7">ROUND(D20/12/10,2)</f>
        <v>2.42</v>
      </c>
      <c r="G20" s="217">
        <v>2.42</v>
      </c>
      <c r="H20" s="216">
        <v>2.42</v>
      </c>
      <c r="I20" s="216">
        <v>2.42</v>
      </c>
      <c r="J20" s="218">
        <v>2.42</v>
      </c>
      <c r="K20" s="219"/>
      <c r="L20" s="216">
        <v>2.42</v>
      </c>
      <c r="M20" s="393">
        <v>2.42</v>
      </c>
      <c r="N20" s="501">
        <v>2.42</v>
      </c>
      <c r="O20" s="502">
        <v>2.42</v>
      </c>
      <c r="P20" s="503">
        <f t="shared" si="1"/>
        <v>2.42</v>
      </c>
      <c r="Q20" s="500"/>
      <c r="R20" s="500"/>
      <c r="S20" s="500"/>
      <c r="V20" s="485"/>
      <c r="W20" s="485"/>
      <c r="X20" s="485"/>
      <c r="Y20" s="485"/>
      <c r="Z20" s="485"/>
      <c r="AA20" s="11"/>
      <c r="AB20" s="11"/>
      <c r="AC20" s="423"/>
      <c r="AD20" s="423"/>
      <c r="AE20" s="424"/>
      <c r="AF20" s="423"/>
      <c r="AG20" s="423"/>
      <c r="AH20" s="420"/>
      <c r="AI20" s="11"/>
    </row>
    <row r="21" spans="2:36" ht="40.5" customHeight="1">
      <c r="B21" s="213">
        <v>16</v>
      </c>
      <c r="C21" s="221" t="s">
        <v>457</v>
      </c>
      <c r="D21" s="215">
        <v>272.25</v>
      </c>
      <c r="E21" s="216">
        <v>10</v>
      </c>
      <c r="F21" s="216">
        <f t="shared" si="7"/>
        <v>2.27</v>
      </c>
      <c r="G21" s="217">
        <v>2.27</v>
      </c>
      <c r="H21" s="216">
        <v>2.27</v>
      </c>
      <c r="I21" s="216">
        <v>2.27</v>
      </c>
      <c r="J21" s="218">
        <v>2.27</v>
      </c>
      <c r="K21" s="219"/>
      <c r="L21" s="216">
        <v>2.27</v>
      </c>
      <c r="M21" s="393">
        <v>2.27</v>
      </c>
      <c r="N21" s="501">
        <v>2.27</v>
      </c>
      <c r="O21" s="502">
        <v>2.27</v>
      </c>
      <c r="P21" s="503">
        <f t="shared" si="1"/>
        <v>2.27</v>
      </c>
      <c r="Q21" s="500"/>
      <c r="R21" s="500"/>
      <c r="S21" s="500"/>
      <c r="T21" s="624" t="s">
        <v>458</v>
      </c>
      <c r="U21" s="624"/>
      <c r="V21" s="624"/>
      <c r="W21" s="624"/>
      <c r="X21" s="624"/>
      <c r="Y21" s="624"/>
      <c r="Z21" s="624"/>
      <c r="AA21" s="624"/>
      <c r="AB21" s="624"/>
      <c r="AC21" s="624"/>
      <c r="AD21" s="624"/>
      <c r="AE21" s="624"/>
      <c r="AF21" s="624"/>
      <c r="AG21" s="624"/>
      <c r="AH21" s="624"/>
      <c r="AI21" s="624"/>
      <c r="AJ21" s="624"/>
    </row>
    <row r="22" spans="2:36">
      <c r="B22" s="213">
        <v>17</v>
      </c>
      <c r="C22" s="221" t="s">
        <v>459</v>
      </c>
      <c r="D22" s="215">
        <v>365.78</v>
      </c>
      <c r="E22" s="216">
        <v>10</v>
      </c>
      <c r="F22" s="216">
        <f t="shared" si="7"/>
        <v>3.05</v>
      </c>
      <c r="G22" s="217">
        <v>3.05</v>
      </c>
      <c r="H22" s="216">
        <v>3.05</v>
      </c>
      <c r="I22" s="216">
        <v>3.05</v>
      </c>
      <c r="J22" s="218">
        <v>3.05</v>
      </c>
      <c r="K22" s="219"/>
      <c r="L22" s="216">
        <v>3.05</v>
      </c>
      <c r="M22" s="393">
        <v>3.05</v>
      </c>
      <c r="N22" s="501">
        <v>3.05</v>
      </c>
      <c r="O22" s="502">
        <v>3.05</v>
      </c>
      <c r="P22" s="503">
        <f t="shared" si="1"/>
        <v>3.05</v>
      </c>
      <c r="Q22" s="500"/>
      <c r="R22" s="500"/>
      <c r="S22" s="500"/>
    </row>
    <row r="23" spans="2:36">
      <c r="B23" s="213">
        <v>18</v>
      </c>
      <c r="C23" s="221" t="s">
        <v>460</v>
      </c>
      <c r="D23" s="222">
        <v>444.98</v>
      </c>
      <c r="E23" s="216">
        <v>10</v>
      </c>
      <c r="F23" s="216">
        <f t="shared" si="7"/>
        <v>3.71</v>
      </c>
      <c r="G23" s="217">
        <v>3.71</v>
      </c>
      <c r="H23" s="216">
        <v>3.71</v>
      </c>
      <c r="I23" s="216">
        <v>3.71</v>
      </c>
      <c r="J23" s="218">
        <v>3.71</v>
      </c>
      <c r="K23" s="219"/>
      <c r="L23" s="216">
        <v>3.71</v>
      </c>
      <c r="M23" s="393">
        <v>3.71</v>
      </c>
      <c r="N23" s="501">
        <v>3.71</v>
      </c>
      <c r="O23" s="502">
        <v>3.71</v>
      </c>
      <c r="P23" s="503">
        <f t="shared" si="1"/>
        <v>3.71</v>
      </c>
      <c r="Q23" s="500"/>
      <c r="R23" s="500"/>
      <c r="S23" s="500"/>
      <c r="AC23" s="418"/>
      <c r="AD23" s="418"/>
      <c r="AF23" s="418"/>
      <c r="AG23" s="418"/>
    </row>
    <row r="24" spans="2:36">
      <c r="B24" s="213">
        <v>19</v>
      </c>
      <c r="C24" s="221" t="s">
        <v>461</v>
      </c>
      <c r="D24" s="215">
        <v>155</v>
      </c>
      <c r="E24" s="216">
        <v>10</v>
      </c>
      <c r="F24" s="216">
        <f t="shared" si="7"/>
        <v>1.29</v>
      </c>
      <c r="G24" s="217">
        <v>1.29</v>
      </c>
      <c r="H24" s="216">
        <v>1.29</v>
      </c>
      <c r="I24" s="216">
        <v>1.29</v>
      </c>
      <c r="J24" s="218">
        <v>1.29</v>
      </c>
      <c r="K24" s="219"/>
      <c r="L24" s="216">
        <v>1.29</v>
      </c>
      <c r="M24" s="393">
        <v>1.29</v>
      </c>
      <c r="N24" s="501">
        <v>1.29</v>
      </c>
      <c r="O24" s="502">
        <v>1.29</v>
      </c>
      <c r="P24" s="503">
        <f t="shared" si="1"/>
        <v>1.29</v>
      </c>
      <c r="Q24" s="500"/>
      <c r="R24" s="500"/>
      <c r="S24" s="500"/>
      <c r="T24" s="566"/>
      <c r="U24" s="566"/>
      <c r="V24" s="566"/>
      <c r="W24" s="566"/>
      <c r="X24" s="566"/>
      <c r="AJ24" s="80"/>
    </row>
    <row r="25" spans="2:36">
      <c r="B25" s="213">
        <v>20</v>
      </c>
      <c r="C25" s="221" t="s">
        <v>462</v>
      </c>
      <c r="D25" s="215">
        <v>232.43</v>
      </c>
      <c r="E25" s="216">
        <v>10</v>
      </c>
      <c r="F25" s="216">
        <f t="shared" si="7"/>
        <v>1.94</v>
      </c>
      <c r="G25" s="217">
        <v>1.94</v>
      </c>
      <c r="H25" s="216">
        <v>1.94</v>
      </c>
      <c r="I25" s="216">
        <v>1.94</v>
      </c>
      <c r="J25" s="218">
        <v>1.94</v>
      </c>
      <c r="K25" s="219"/>
      <c r="L25" s="216">
        <v>1.94</v>
      </c>
      <c r="M25" s="393">
        <v>1.94</v>
      </c>
      <c r="N25" s="501">
        <v>1.94</v>
      </c>
      <c r="O25" s="502">
        <v>1.94</v>
      </c>
      <c r="P25" s="503">
        <f t="shared" si="1"/>
        <v>1.94</v>
      </c>
      <c r="Q25" s="500"/>
      <c r="R25" s="500"/>
      <c r="S25" s="500"/>
      <c r="T25" s="570"/>
      <c r="U25" s="512"/>
      <c r="V25" s="570"/>
      <c r="X25" s="570"/>
      <c r="Z25" s="570"/>
      <c r="AA25" s="512"/>
      <c r="AB25" s="570"/>
      <c r="AC25" s="512"/>
      <c r="AD25" s="570"/>
      <c r="AJ25" s="80"/>
    </row>
    <row r="26" spans="2:36" ht="12.75" customHeight="1">
      <c r="B26" s="213">
        <v>21</v>
      </c>
      <c r="C26" s="223" t="s">
        <v>463</v>
      </c>
      <c r="D26" s="215">
        <v>3.38</v>
      </c>
      <c r="E26" s="216">
        <v>3</v>
      </c>
      <c r="F26" s="216">
        <f>ROUND(D26/3/12,2)</f>
        <v>0.09</v>
      </c>
      <c r="G26" s="217">
        <v>0.09</v>
      </c>
      <c r="H26" s="216">
        <v>0.09</v>
      </c>
      <c r="I26" s="216">
        <v>0.09</v>
      </c>
      <c r="J26" s="218">
        <v>0.09</v>
      </c>
      <c r="K26" s="219"/>
      <c r="L26" s="216">
        <v>0.09</v>
      </c>
      <c r="M26" s="393">
        <v>0.09</v>
      </c>
      <c r="N26" s="501">
        <v>0.09</v>
      </c>
      <c r="O26" s="502">
        <v>0.09</v>
      </c>
      <c r="P26" s="503">
        <f t="shared" si="1"/>
        <v>0.09</v>
      </c>
      <c r="Q26" s="500"/>
      <c r="R26" s="500"/>
      <c r="S26" s="500"/>
      <c r="T26" s="512"/>
      <c r="U26" s="512"/>
      <c r="AA26" s="512"/>
      <c r="AB26" s="512"/>
      <c r="AC26" s="512"/>
      <c r="AD26" s="512"/>
      <c r="AE26" s="408"/>
      <c r="AF26" s="408"/>
      <c r="AG26" s="408"/>
      <c r="AH26" s="408"/>
      <c r="AI26" s="408"/>
    </row>
    <row r="27" spans="2:36" ht="12.75" customHeight="1">
      <c r="B27" s="213">
        <v>22</v>
      </c>
      <c r="C27" s="223" t="s">
        <v>464</v>
      </c>
      <c r="D27" s="215">
        <v>3.9</v>
      </c>
      <c r="E27" s="216">
        <v>3</v>
      </c>
      <c r="F27" s="216">
        <f t="shared" ref="F27:F28" si="8">ROUND(D27/3/12,2)</f>
        <v>0.11</v>
      </c>
      <c r="G27" s="217">
        <v>0.11</v>
      </c>
      <c r="H27" s="216">
        <v>0.11</v>
      </c>
      <c r="I27" s="216">
        <v>0.11</v>
      </c>
      <c r="J27" s="218">
        <v>0.11</v>
      </c>
      <c r="K27" s="219"/>
      <c r="L27" s="216">
        <v>0.11</v>
      </c>
      <c r="M27" s="393">
        <v>0.11</v>
      </c>
      <c r="N27" s="501">
        <v>0.11</v>
      </c>
      <c r="O27" s="502">
        <v>0.11</v>
      </c>
      <c r="P27" s="503">
        <f t="shared" si="1"/>
        <v>0.11</v>
      </c>
      <c r="Q27" s="500"/>
      <c r="R27" s="500"/>
      <c r="S27" s="500"/>
      <c r="T27" s="512"/>
      <c r="U27" s="512"/>
      <c r="AA27" s="512"/>
      <c r="AB27" s="512"/>
      <c r="AC27" s="512"/>
      <c r="AD27" s="512"/>
      <c r="AE27" s="408"/>
      <c r="AF27" s="408"/>
      <c r="AG27" s="408"/>
      <c r="AH27" s="408"/>
      <c r="AI27" s="408"/>
    </row>
    <row r="28" spans="2:36">
      <c r="B28" s="213">
        <v>23</v>
      </c>
      <c r="C28" s="223" t="s">
        <v>465</v>
      </c>
      <c r="D28" s="215">
        <v>6.03</v>
      </c>
      <c r="E28" s="216">
        <v>3</v>
      </c>
      <c r="F28" s="216">
        <f t="shared" si="8"/>
        <v>0.17</v>
      </c>
      <c r="G28" s="217">
        <v>0.17</v>
      </c>
      <c r="H28" s="216">
        <v>0.17</v>
      </c>
      <c r="I28" s="216">
        <v>0.17</v>
      </c>
      <c r="J28" s="218">
        <v>0.17</v>
      </c>
      <c r="K28" s="219"/>
      <c r="L28" s="216">
        <v>0.17</v>
      </c>
      <c r="M28" s="393">
        <v>0.17</v>
      </c>
      <c r="N28" s="501">
        <v>0.17</v>
      </c>
      <c r="O28" s="502">
        <v>0.17</v>
      </c>
      <c r="P28" s="503">
        <f t="shared" si="1"/>
        <v>0.17</v>
      </c>
      <c r="Q28" s="500"/>
      <c r="R28" s="500"/>
      <c r="S28" s="500"/>
      <c r="T28" s="512"/>
      <c r="U28" s="512"/>
      <c r="AA28" s="512"/>
      <c r="AB28" s="512"/>
      <c r="AC28" s="512"/>
      <c r="AD28" s="512"/>
    </row>
    <row r="29" spans="2:36">
      <c r="B29" s="213">
        <v>24</v>
      </c>
      <c r="C29" s="223" t="s">
        <v>466</v>
      </c>
      <c r="D29" s="215">
        <v>19.87</v>
      </c>
      <c r="E29" s="216">
        <v>3</v>
      </c>
      <c r="F29" s="216">
        <f>ROUND(D29/3/12,2)</f>
        <v>0.55000000000000004</v>
      </c>
      <c r="G29" s="217">
        <v>0.55000000000000004</v>
      </c>
      <c r="H29" s="216">
        <v>0.55000000000000004</v>
      </c>
      <c r="I29" s="216">
        <v>0.55000000000000004</v>
      </c>
      <c r="J29" s="218">
        <v>0.55000000000000004</v>
      </c>
      <c r="K29" s="219"/>
      <c r="L29" s="216">
        <v>0.55000000000000004</v>
      </c>
      <c r="M29" s="393">
        <v>0.55000000000000004</v>
      </c>
      <c r="N29" s="501">
        <v>0.55000000000000004</v>
      </c>
      <c r="O29" s="502">
        <v>0.55000000000000004</v>
      </c>
      <c r="P29" s="503">
        <f t="shared" si="1"/>
        <v>0.55000000000000004</v>
      </c>
      <c r="Q29" s="500"/>
      <c r="R29" s="500"/>
      <c r="S29" s="500"/>
      <c r="T29" s="4"/>
      <c r="U29" s="571"/>
      <c r="V29" s="572"/>
      <c r="W29" s="4"/>
      <c r="X29" s="4"/>
      <c r="Y29" s="4"/>
    </row>
    <row r="30" spans="2:36">
      <c r="B30" s="206">
        <v>25</v>
      </c>
      <c r="C30" s="223" t="s">
        <v>467</v>
      </c>
      <c r="D30" s="215">
        <v>14.25</v>
      </c>
      <c r="E30" s="216">
        <v>3</v>
      </c>
      <c r="F30" s="216">
        <f>ROUND(D30/3/12,2)</f>
        <v>0.4</v>
      </c>
      <c r="G30" s="217">
        <v>0.4</v>
      </c>
      <c r="H30" s="216">
        <v>0.4</v>
      </c>
      <c r="I30" s="216">
        <v>0.4</v>
      </c>
      <c r="J30" s="218">
        <v>0.4</v>
      </c>
      <c r="K30" s="219"/>
      <c r="L30" s="216">
        <v>0.4</v>
      </c>
      <c r="M30" s="393">
        <v>0.4</v>
      </c>
      <c r="N30" s="501">
        <v>0.4</v>
      </c>
      <c r="O30" s="502">
        <v>0.4</v>
      </c>
      <c r="P30" s="503">
        <f t="shared" si="1"/>
        <v>0.4</v>
      </c>
      <c r="Q30" s="500"/>
      <c r="R30" s="500"/>
      <c r="S30" s="500"/>
      <c r="T30" s="565"/>
      <c r="U30" s="573"/>
      <c r="V30" s="573"/>
      <c r="W30" s="4"/>
      <c r="X30" s="4"/>
      <c r="Y30" s="4"/>
    </row>
    <row r="31" spans="2:36" ht="15.75">
      <c r="B31" s="213">
        <v>26</v>
      </c>
      <c r="C31" s="223" t="s">
        <v>468</v>
      </c>
      <c r="D31" s="215">
        <v>3.33</v>
      </c>
      <c r="E31" s="216">
        <v>3</v>
      </c>
      <c r="F31" s="216">
        <f t="shared" ref="F31:F32" si="9">ROUND(D31/3/12,2)</f>
        <v>0.09</v>
      </c>
      <c r="G31" s="217">
        <v>0.09</v>
      </c>
      <c r="H31" s="216">
        <v>0.09</v>
      </c>
      <c r="I31" s="216">
        <v>0.09</v>
      </c>
      <c r="J31" s="218">
        <v>0.09</v>
      </c>
      <c r="K31" s="219"/>
      <c r="L31" s="216">
        <v>0.09</v>
      </c>
      <c r="M31" s="393">
        <v>0.09</v>
      </c>
      <c r="N31" s="501">
        <v>0.09</v>
      </c>
      <c r="O31" s="502">
        <v>0.09</v>
      </c>
      <c r="P31" s="503">
        <f t="shared" si="1"/>
        <v>0.09</v>
      </c>
      <c r="Q31" s="500"/>
      <c r="R31" s="500"/>
      <c r="S31" s="500"/>
      <c r="T31" s="574"/>
      <c r="U31" s="575"/>
      <c r="V31" s="567"/>
      <c r="W31" s="4"/>
      <c r="X31" s="575"/>
      <c r="Y31" s="4"/>
    </row>
    <row r="32" spans="2:36" ht="15.75">
      <c r="B32" s="213">
        <v>27</v>
      </c>
      <c r="C32" s="223" t="s">
        <v>469</v>
      </c>
      <c r="D32" s="215">
        <v>2.95</v>
      </c>
      <c r="E32" s="216">
        <v>3</v>
      </c>
      <c r="F32" s="216">
        <f t="shared" si="9"/>
        <v>0.08</v>
      </c>
      <c r="G32" s="217">
        <v>0.08</v>
      </c>
      <c r="H32" s="216">
        <v>0.08</v>
      </c>
      <c r="I32" s="216">
        <v>0.08</v>
      </c>
      <c r="J32" s="218">
        <v>0.08</v>
      </c>
      <c r="K32" s="219"/>
      <c r="L32" s="216">
        <v>0.08</v>
      </c>
      <c r="M32" s="393">
        <v>0.08</v>
      </c>
      <c r="N32" s="501">
        <v>0.08</v>
      </c>
      <c r="O32" s="502">
        <v>0.08</v>
      </c>
      <c r="P32" s="503">
        <f t="shared" si="1"/>
        <v>0.08</v>
      </c>
      <c r="Q32" s="500"/>
      <c r="R32" s="500"/>
      <c r="S32" s="500"/>
      <c r="T32" s="576"/>
      <c r="U32" s="575"/>
      <c r="V32" s="575"/>
      <c r="W32" s="4"/>
      <c r="X32" s="575"/>
      <c r="Y32" s="4"/>
    </row>
    <row r="33" spans="1:36" ht="15.75">
      <c r="B33" s="213">
        <v>28</v>
      </c>
      <c r="C33" s="223" t="s">
        <v>470</v>
      </c>
      <c r="D33" s="215">
        <v>2.2400000000000002</v>
      </c>
      <c r="E33" s="216">
        <v>3</v>
      </c>
      <c r="F33" s="216">
        <f>ROUND(D33/3/12,2)</f>
        <v>0.06</v>
      </c>
      <c r="G33" s="217">
        <v>0.06</v>
      </c>
      <c r="H33" s="216">
        <v>0.06</v>
      </c>
      <c r="I33" s="216">
        <v>0.06</v>
      </c>
      <c r="J33" s="218">
        <v>0.06</v>
      </c>
      <c r="K33" s="219"/>
      <c r="L33" s="216">
        <v>0.06</v>
      </c>
      <c r="M33" s="393">
        <v>0.06</v>
      </c>
      <c r="N33" s="501">
        <v>0.06</v>
      </c>
      <c r="O33" s="502">
        <v>0.06</v>
      </c>
      <c r="P33" s="503">
        <f t="shared" si="1"/>
        <v>0.06</v>
      </c>
      <c r="Q33" s="500"/>
      <c r="R33" s="500"/>
      <c r="S33" s="500"/>
      <c r="T33" s="576"/>
      <c r="U33" s="573"/>
      <c r="V33" s="573"/>
      <c r="W33" s="4"/>
      <c r="X33" s="570"/>
      <c r="Y33" s="4"/>
    </row>
    <row r="34" spans="1:36">
      <c r="B34" s="213">
        <v>29</v>
      </c>
      <c r="C34" s="224" t="s">
        <v>471</v>
      </c>
      <c r="D34" s="215">
        <v>70.42</v>
      </c>
      <c r="E34" s="216">
        <v>5</v>
      </c>
      <c r="F34" s="216">
        <f>ROUND(D34/5/12,2)</f>
        <v>1.17</v>
      </c>
      <c r="G34" s="217">
        <v>1.17</v>
      </c>
      <c r="H34" s="216">
        <v>1.17</v>
      </c>
      <c r="I34" s="216">
        <v>1.17</v>
      </c>
      <c r="J34" s="218">
        <v>1.17</v>
      </c>
      <c r="K34" s="219"/>
      <c r="L34" s="216">
        <v>1.17</v>
      </c>
      <c r="M34" s="393">
        <v>1.17</v>
      </c>
      <c r="N34" s="501">
        <v>1.17</v>
      </c>
      <c r="O34" s="502">
        <v>1.17</v>
      </c>
      <c r="P34" s="503">
        <f t="shared" si="1"/>
        <v>1.17</v>
      </c>
      <c r="Q34" s="500"/>
      <c r="R34" s="500"/>
      <c r="S34" s="500"/>
      <c r="X34" s="4"/>
    </row>
    <row r="35" spans="1:36" s="11" customFormat="1">
      <c r="A35" s="80"/>
      <c r="B35" s="213">
        <v>30</v>
      </c>
      <c r="C35" s="224" t="s">
        <v>472</v>
      </c>
      <c r="D35" s="215">
        <v>25</v>
      </c>
      <c r="E35" s="216">
        <v>5</v>
      </c>
      <c r="F35" s="216">
        <f>ROUND(D35/5/12,2)</f>
        <v>0.42</v>
      </c>
      <c r="G35" s="217">
        <v>0.42</v>
      </c>
      <c r="H35" s="216">
        <v>0.42</v>
      </c>
      <c r="I35" s="216">
        <v>0.42</v>
      </c>
      <c r="J35" s="218">
        <v>0.42</v>
      </c>
      <c r="K35" s="219"/>
      <c r="L35" s="216">
        <v>0.42</v>
      </c>
      <c r="M35" s="393">
        <v>0.42</v>
      </c>
      <c r="N35" s="501">
        <v>0.42</v>
      </c>
      <c r="O35" s="502">
        <v>0.42</v>
      </c>
      <c r="P35" s="503">
        <f t="shared" si="1"/>
        <v>0.42</v>
      </c>
      <c r="Q35" s="500"/>
      <c r="R35" s="500"/>
      <c r="S35" s="500"/>
      <c r="T35" s="485"/>
      <c r="U35" s="485"/>
      <c r="V35" s="512"/>
      <c r="W35" s="512"/>
      <c r="X35" s="570"/>
      <c r="Y35" s="512"/>
      <c r="Z35" s="512"/>
      <c r="AA35" s="80"/>
      <c r="AB35" s="80"/>
      <c r="AC35" s="80"/>
      <c r="AD35" s="80"/>
      <c r="AE35" s="80"/>
      <c r="AF35" s="80"/>
      <c r="AG35" s="80"/>
      <c r="AH35" s="80"/>
      <c r="AI35" s="80"/>
      <c r="AJ35" s="335"/>
    </row>
    <row r="36" spans="1:36" s="11" customFormat="1">
      <c r="A36" s="80"/>
      <c r="B36" s="213">
        <v>31</v>
      </c>
      <c r="C36" s="224" t="s">
        <v>473</v>
      </c>
      <c r="D36" s="215">
        <v>10.84</v>
      </c>
      <c r="E36" s="216">
        <v>3</v>
      </c>
      <c r="F36" s="216">
        <f>ROUND(D36/3/12,2)</f>
        <v>0.3</v>
      </c>
      <c r="G36" s="217">
        <v>0.3</v>
      </c>
      <c r="H36" s="216">
        <v>0.3</v>
      </c>
      <c r="I36" s="216">
        <v>0.3</v>
      </c>
      <c r="J36" s="218">
        <v>0.3</v>
      </c>
      <c r="K36" s="219"/>
      <c r="L36" s="216">
        <v>0.3</v>
      </c>
      <c r="M36" s="393">
        <v>0.3</v>
      </c>
      <c r="N36" s="501">
        <v>0.3</v>
      </c>
      <c r="O36" s="502">
        <v>0.3</v>
      </c>
      <c r="P36" s="503">
        <f t="shared" si="1"/>
        <v>0.3</v>
      </c>
      <c r="Q36" s="500"/>
      <c r="R36" s="500"/>
      <c r="S36" s="500"/>
      <c r="T36" s="485"/>
      <c r="U36" s="485"/>
      <c r="V36" s="512"/>
      <c r="W36" s="512"/>
      <c r="X36" s="512"/>
      <c r="Y36" s="512"/>
      <c r="Z36" s="512"/>
      <c r="AA36" s="80"/>
      <c r="AB36" s="80"/>
      <c r="AC36" s="80"/>
      <c r="AD36" s="80"/>
      <c r="AE36" s="80"/>
      <c r="AF36" s="80"/>
      <c r="AG36" s="80"/>
      <c r="AH36" s="80"/>
      <c r="AI36" s="80"/>
      <c r="AJ36" s="335"/>
    </row>
    <row r="37" spans="1:36" s="11" customFormat="1">
      <c r="A37" s="80"/>
      <c r="B37" s="213">
        <v>32</v>
      </c>
      <c r="C37" s="224" t="s">
        <v>474</v>
      </c>
      <c r="D37" s="215">
        <v>30</v>
      </c>
      <c r="E37" s="216">
        <v>5</v>
      </c>
      <c r="F37" s="216">
        <f>ROUND(D37/5/12,2)</f>
        <v>0.5</v>
      </c>
      <c r="G37" s="217">
        <v>0.5</v>
      </c>
      <c r="H37" s="216">
        <v>0.5</v>
      </c>
      <c r="I37" s="216">
        <v>0.5</v>
      </c>
      <c r="J37" s="218">
        <v>0.5</v>
      </c>
      <c r="K37" s="219"/>
      <c r="L37" s="216">
        <v>0.5</v>
      </c>
      <c r="M37" s="393">
        <v>0.5</v>
      </c>
      <c r="N37" s="501">
        <v>0.5</v>
      </c>
      <c r="O37" s="502">
        <v>0.5</v>
      </c>
      <c r="P37" s="503">
        <f t="shared" si="1"/>
        <v>0.5</v>
      </c>
      <c r="Q37" s="500"/>
      <c r="R37" s="500"/>
      <c r="S37" s="500"/>
      <c r="T37" s="485"/>
      <c r="U37" s="559"/>
      <c r="V37" s="512"/>
      <c r="W37" s="512"/>
      <c r="X37" s="512"/>
      <c r="Y37" s="512"/>
      <c r="Z37" s="512"/>
      <c r="AA37" s="80"/>
      <c r="AB37" s="80"/>
      <c r="AC37" s="80"/>
      <c r="AD37" s="80"/>
      <c r="AE37" s="80"/>
      <c r="AF37" s="80"/>
      <c r="AG37" s="80"/>
      <c r="AH37" s="80"/>
      <c r="AI37" s="80"/>
      <c r="AJ37" s="335"/>
    </row>
    <row r="38" spans="1:36" s="11" customFormat="1" ht="13.5" thickBot="1">
      <c r="A38" s="80"/>
      <c r="B38" s="256">
        <v>33</v>
      </c>
      <c r="C38" s="343" t="s">
        <v>475</v>
      </c>
      <c r="D38" s="258">
        <v>0.55000000000000004</v>
      </c>
      <c r="E38" s="259">
        <v>5</v>
      </c>
      <c r="F38" s="259">
        <f>ROUND(D38/12/5,2)</f>
        <v>0.01</v>
      </c>
      <c r="G38" s="344">
        <v>0.01</v>
      </c>
      <c r="H38" s="259">
        <v>0.01</v>
      </c>
      <c r="I38" s="259">
        <v>0.01</v>
      </c>
      <c r="J38" s="345">
        <v>0.01</v>
      </c>
      <c r="K38" s="346"/>
      <c r="L38" s="259">
        <v>0.01</v>
      </c>
      <c r="M38" s="394">
        <v>0.01</v>
      </c>
      <c r="N38" s="516">
        <v>0.01</v>
      </c>
      <c r="O38" s="517">
        <v>0.01</v>
      </c>
      <c r="P38" s="518">
        <f t="shared" si="1"/>
        <v>0.01</v>
      </c>
      <c r="Q38" s="500"/>
      <c r="R38" s="500"/>
      <c r="S38" s="500"/>
      <c r="T38" s="485"/>
      <c r="U38" s="485"/>
      <c r="V38" s="512"/>
      <c r="W38" s="512"/>
      <c r="X38" s="512"/>
      <c r="Y38" s="512"/>
      <c r="Z38" s="512"/>
      <c r="AA38" s="80"/>
      <c r="AB38" s="80"/>
      <c r="AC38" s="80"/>
      <c r="AD38" s="80"/>
      <c r="AE38" s="80"/>
      <c r="AF38" s="80"/>
      <c r="AG38" s="80"/>
      <c r="AH38" s="80"/>
      <c r="AI38" s="80"/>
      <c r="AJ38" s="335"/>
    </row>
    <row r="39" spans="1:36" s="11" customFormat="1" ht="13.5" thickBot="1">
      <c r="A39" s="80"/>
      <c r="B39" s="368"/>
      <c r="C39" s="369" t="s">
        <v>476</v>
      </c>
      <c r="D39" s="370">
        <f>SUM(D6:D38)</f>
        <v>4588.6600000000008</v>
      </c>
      <c r="E39" s="371"/>
      <c r="F39" s="371">
        <f>SUM(F6:F38)</f>
        <v>40.590000000000003</v>
      </c>
      <c r="G39" s="371">
        <f>SUM(G6:G38)</f>
        <v>40.590000000000003</v>
      </c>
      <c r="H39" s="371">
        <f>SUM(H6:H38)</f>
        <v>40.590000000000003</v>
      </c>
      <c r="I39" s="371">
        <f>SUM(I6:I38)</f>
        <v>40.590000000000003</v>
      </c>
      <c r="J39" s="372">
        <f>SUM(J6:J38)</f>
        <v>40.590000000000003</v>
      </c>
      <c r="K39" s="373"/>
      <c r="L39" s="374">
        <f>SUM(L6:L38)</f>
        <v>40.590000000000003</v>
      </c>
      <c r="M39" s="519">
        <f>SUM(M6:M38)</f>
        <v>40.590000000000003</v>
      </c>
      <c r="N39" s="520">
        <f>SUM(N6:N38)</f>
        <v>40.590000000000003</v>
      </c>
      <c r="O39" s="521">
        <f>SUM(O6:O38)</f>
        <v>40.590000000000003</v>
      </c>
      <c r="P39" s="522">
        <f>SUM(P6:P38)</f>
        <v>40.590000000000003</v>
      </c>
      <c r="Q39" s="500"/>
      <c r="R39" s="500"/>
      <c r="S39" s="500"/>
      <c r="T39" s="485"/>
      <c r="U39" s="485"/>
      <c r="V39" s="512"/>
      <c r="W39" s="512"/>
      <c r="X39" s="512"/>
      <c r="Y39" s="512"/>
      <c r="Z39" s="512"/>
      <c r="AA39" s="80"/>
      <c r="AB39" s="80"/>
      <c r="AC39" s="80"/>
      <c r="AD39" s="80"/>
      <c r="AE39" s="80"/>
      <c r="AF39" s="80"/>
      <c r="AG39" s="80"/>
      <c r="AH39" s="80"/>
      <c r="AI39" s="80"/>
      <c r="AJ39" s="335"/>
    </row>
    <row r="40" spans="1:36" s="11" customFormat="1" ht="13.5" thickBot="1">
      <c r="A40" s="80"/>
      <c r="B40" s="274"/>
      <c r="C40" s="275" t="s">
        <v>477</v>
      </c>
      <c r="D40" s="276"/>
      <c r="E40" s="273"/>
      <c r="F40" s="273"/>
      <c r="G40" s="273"/>
      <c r="H40" s="273"/>
      <c r="I40" s="273"/>
      <c r="J40" s="277"/>
      <c r="K40" s="235"/>
      <c r="L40" s="236"/>
      <c r="M40" s="523"/>
      <c r="N40" s="524"/>
      <c r="O40" s="525"/>
      <c r="P40" s="526">
        <f t="shared" si="1"/>
        <v>0</v>
      </c>
      <c r="Q40" s="500"/>
      <c r="R40" s="500"/>
      <c r="S40" s="500"/>
      <c r="T40" s="485"/>
      <c r="U40" s="485"/>
      <c r="V40" s="512"/>
      <c r="W40" s="512"/>
      <c r="X40" s="512"/>
      <c r="Y40" s="512"/>
      <c r="Z40" s="512"/>
      <c r="AA40" s="80"/>
      <c r="AB40" s="80"/>
      <c r="AC40" s="80"/>
      <c r="AD40" s="80"/>
      <c r="AE40" s="80"/>
      <c r="AF40" s="80"/>
      <c r="AG40" s="80"/>
      <c r="AH40" s="80"/>
      <c r="AI40" s="80"/>
      <c r="AJ40" s="335"/>
    </row>
    <row r="41" spans="1:36" s="11" customFormat="1" ht="25.5">
      <c r="A41" s="80"/>
      <c r="B41" s="206">
        <v>34</v>
      </c>
      <c r="C41" s="237" t="s">
        <v>478</v>
      </c>
      <c r="D41" s="238">
        <v>5.99</v>
      </c>
      <c r="E41" s="239">
        <v>1</v>
      </c>
      <c r="F41" s="239">
        <f>ROUND(D41/12,2)</f>
        <v>0.5</v>
      </c>
      <c r="G41" s="210">
        <v>0.5</v>
      </c>
      <c r="H41" s="209">
        <v>0.5</v>
      </c>
      <c r="I41" s="209">
        <v>0.5</v>
      </c>
      <c r="J41" s="211">
        <v>0.5</v>
      </c>
      <c r="K41" s="212"/>
      <c r="L41" s="209">
        <v>0.5</v>
      </c>
      <c r="M41" s="392">
        <v>0.5</v>
      </c>
      <c r="N41" s="497">
        <v>0.5</v>
      </c>
      <c r="O41" s="498">
        <v>0.5</v>
      </c>
      <c r="P41" s="499">
        <f t="shared" si="1"/>
        <v>0.5</v>
      </c>
      <c r="Q41" s="500"/>
      <c r="R41" s="500"/>
      <c r="S41" s="500"/>
      <c r="T41" s="485"/>
      <c r="U41" s="485"/>
      <c r="V41" s="512"/>
      <c r="W41" s="512"/>
      <c r="X41" s="512"/>
      <c r="Y41" s="512"/>
      <c r="Z41" s="512"/>
      <c r="AA41" s="80"/>
      <c r="AB41" s="80"/>
      <c r="AC41" s="80"/>
      <c r="AD41" s="80"/>
      <c r="AE41" s="80"/>
      <c r="AF41" s="80"/>
      <c r="AG41" s="80"/>
      <c r="AH41" s="80"/>
      <c r="AI41" s="80"/>
      <c r="AJ41" s="335"/>
    </row>
    <row r="42" spans="1:36" s="11" customFormat="1" ht="38.25">
      <c r="A42" s="80"/>
      <c r="B42" s="213">
        <v>35</v>
      </c>
      <c r="C42" s="240" t="s">
        <v>479</v>
      </c>
      <c r="D42" s="241">
        <v>0.84</v>
      </c>
      <c r="E42" s="242">
        <v>1</v>
      </c>
      <c r="F42" s="242">
        <f t="shared" ref="F42:F61" si="10">ROUND(D42/12,2)</f>
        <v>7.0000000000000007E-2</v>
      </c>
      <c r="G42" s="210">
        <v>7.0000000000000007E-2</v>
      </c>
      <c r="H42" s="209">
        <v>7.0000000000000007E-2</v>
      </c>
      <c r="I42" s="209">
        <v>7.0000000000000007E-2</v>
      </c>
      <c r="J42" s="211">
        <v>7.0000000000000007E-2</v>
      </c>
      <c r="K42" s="212"/>
      <c r="L42" s="209">
        <v>7.0000000000000007E-2</v>
      </c>
      <c r="M42" s="392">
        <v>7.0000000000000007E-2</v>
      </c>
      <c r="N42" s="497">
        <v>7.0000000000000007E-2</v>
      </c>
      <c r="O42" s="502">
        <v>7.0000000000000007E-2</v>
      </c>
      <c r="P42" s="503">
        <f t="shared" si="1"/>
        <v>7.0000000000000007E-2</v>
      </c>
      <c r="Q42" s="500"/>
      <c r="R42" s="500"/>
      <c r="S42" s="500"/>
      <c r="T42" s="485"/>
      <c r="U42" s="485"/>
      <c r="V42" s="512"/>
      <c r="W42" s="512"/>
      <c r="X42" s="512"/>
      <c r="Y42" s="512"/>
      <c r="Z42" s="512"/>
      <c r="AA42" s="80"/>
      <c r="AB42" s="80"/>
      <c r="AC42" s="80"/>
      <c r="AD42" s="80"/>
      <c r="AE42" s="80"/>
      <c r="AF42" s="80"/>
      <c r="AG42" s="80"/>
      <c r="AH42" s="80"/>
      <c r="AI42" s="80"/>
      <c r="AJ42" s="335"/>
    </row>
    <row r="43" spans="1:36" s="11" customFormat="1" ht="25.5">
      <c r="A43" s="80"/>
      <c r="B43" s="213">
        <f t="shared" ref="B43:B64" si="11">B42+1</f>
        <v>36</v>
      </c>
      <c r="C43" s="240" t="s">
        <v>480</v>
      </c>
      <c r="D43" s="241">
        <v>3.96</v>
      </c>
      <c r="E43" s="242">
        <v>1</v>
      </c>
      <c r="F43" s="242">
        <f t="shared" si="10"/>
        <v>0.33</v>
      </c>
      <c r="G43" s="210">
        <v>0.33</v>
      </c>
      <c r="H43" s="209">
        <v>0.33</v>
      </c>
      <c r="I43" s="209">
        <v>0.33</v>
      </c>
      <c r="J43" s="211">
        <v>0.33</v>
      </c>
      <c r="K43" s="212"/>
      <c r="L43" s="209">
        <v>0.33</v>
      </c>
      <c r="M43" s="392">
        <v>0.33</v>
      </c>
      <c r="N43" s="497">
        <v>0.33</v>
      </c>
      <c r="O43" s="502">
        <v>0.33</v>
      </c>
      <c r="P43" s="503">
        <f t="shared" si="1"/>
        <v>0.33</v>
      </c>
      <c r="Q43" s="500"/>
      <c r="R43" s="500"/>
      <c r="S43" s="500"/>
      <c r="T43" s="485"/>
      <c r="U43" s="485"/>
      <c r="V43" s="512"/>
      <c r="W43" s="512"/>
      <c r="X43" s="512"/>
      <c r="Y43" s="512"/>
      <c r="Z43" s="512"/>
      <c r="AA43" s="80"/>
      <c r="AB43" s="80"/>
      <c r="AC43" s="80"/>
      <c r="AD43" s="80"/>
      <c r="AE43" s="80"/>
      <c r="AF43" s="80"/>
      <c r="AG43" s="80"/>
      <c r="AH43" s="80"/>
      <c r="AI43" s="80"/>
      <c r="AJ43" s="335"/>
    </row>
    <row r="44" spans="1:36" s="11" customFormat="1" ht="25.5">
      <c r="A44" s="80"/>
      <c r="B44" s="206">
        <v>37</v>
      </c>
      <c r="C44" s="240" t="s">
        <v>481</v>
      </c>
      <c r="D44" s="241">
        <v>4.24</v>
      </c>
      <c r="E44" s="242">
        <v>1</v>
      </c>
      <c r="F44" s="242">
        <f t="shared" si="10"/>
        <v>0.35</v>
      </c>
      <c r="G44" s="210">
        <v>0.35</v>
      </c>
      <c r="H44" s="209">
        <v>0.35</v>
      </c>
      <c r="I44" s="209">
        <v>0.35</v>
      </c>
      <c r="J44" s="211">
        <v>0.35</v>
      </c>
      <c r="K44" s="212"/>
      <c r="L44" s="209">
        <v>0.35</v>
      </c>
      <c r="M44" s="392">
        <v>0.35</v>
      </c>
      <c r="N44" s="497">
        <v>0.35</v>
      </c>
      <c r="O44" s="502">
        <v>0.35</v>
      </c>
      <c r="P44" s="503">
        <f t="shared" si="1"/>
        <v>0.35</v>
      </c>
      <c r="Q44" s="500"/>
      <c r="R44" s="500"/>
      <c r="S44" s="500"/>
      <c r="T44" s="485"/>
      <c r="U44" s="485"/>
      <c r="V44" s="512"/>
      <c r="W44" s="512"/>
      <c r="X44" s="512"/>
      <c r="Y44" s="512"/>
      <c r="Z44" s="512"/>
      <c r="AA44" s="80"/>
      <c r="AB44" s="80"/>
      <c r="AC44" s="80"/>
      <c r="AD44" s="80"/>
      <c r="AE44" s="80"/>
      <c r="AF44" s="80"/>
      <c r="AG44" s="80"/>
      <c r="AH44" s="80"/>
      <c r="AI44" s="80"/>
      <c r="AJ44" s="335"/>
    </row>
    <row r="45" spans="1:36" s="11" customFormat="1" ht="25.5">
      <c r="A45" s="80"/>
      <c r="B45" s="213">
        <v>38</v>
      </c>
      <c r="C45" s="240" t="s">
        <v>482</v>
      </c>
      <c r="D45" s="241">
        <v>4.3</v>
      </c>
      <c r="E45" s="242">
        <v>1</v>
      </c>
      <c r="F45" s="242">
        <f t="shared" si="10"/>
        <v>0.36</v>
      </c>
      <c r="G45" s="210">
        <v>0.36</v>
      </c>
      <c r="H45" s="209">
        <v>0.36</v>
      </c>
      <c r="I45" s="209">
        <v>0.36</v>
      </c>
      <c r="J45" s="211">
        <v>0.36</v>
      </c>
      <c r="K45" s="212"/>
      <c r="L45" s="209">
        <v>0.36</v>
      </c>
      <c r="M45" s="392">
        <v>0.36</v>
      </c>
      <c r="N45" s="497">
        <v>0.36</v>
      </c>
      <c r="O45" s="502">
        <v>0.36</v>
      </c>
      <c r="P45" s="503">
        <f t="shared" si="1"/>
        <v>0.36</v>
      </c>
      <c r="Q45" s="500"/>
      <c r="R45" s="500"/>
      <c r="S45" s="500"/>
      <c r="T45" s="485"/>
      <c r="U45" s="485"/>
      <c r="V45" s="512"/>
      <c r="W45" s="512"/>
      <c r="X45" s="512"/>
      <c r="Y45" s="512"/>
      <c r="Z45" s="512"/>
      <c r="AA45" s="80"/>
      <c r="AB45" s="80"/>
      <c r="AC45" s="80"/>
      <c r="AD45" s="80"/>
      <c r="AE45" s="80"/>
      <c r="AF45" s="80"/>
      <c r="AG45" s="80"/>
      <c r="AH45" s="80"/>
      <c r="AI45" s="80"/>
      <c r="AJ45" s="335"/>
    </row>
    <row r="46" spans="1:36" s="11" customFormat="1" ht="38.25">
      <c r="A46" s="80"/>
      <c r="B46" s="213">
        <v>39</v>
      </c>
      <c r="C46" s="240" t="s">
        <v>483</v>
      </c>
      <c r="D46" s="241">
        <v>41.57</v>
      </c>
      <c r="E46" s="242">
        <v>1</v>
      </c>
      <c r="F46" s="242">
        <f t="shared" si="10"/>
        <v>3.46</v>
      </c>
      <c r="G46" s="210">
        <v>3.46</v>
      </c>
      <c r="H46" s="209">
        <v>3.46</v>
      </c>
      <c r="I46" s="209">
        <v>3.46</v>
      </c>
      <c r="J46" s="211">
        <v>3.46</v>
      </c>
      <c r="K46" s="212"/>
      <c r="L46" s="209">
        <v>3.46</v>
      </c>
      <c r="M46" s="392">
        <v>3.46</v>
      </c>
      <c r="N46" s="497">
        <v>3.46</v>
      </c>
      <c r="O46" s="502">
        <v>3.46</v>
      </c>
      <c r="P46" s="503">
        <f t="shared" si="1"/>
        <v>3.46</v>
      </c>
      <c r="Q46" s="500"/>
      <c r="R46" s="500"/>
      <c r="S46" s="500"/>
      <c r="T46" s="485"/>
      <c r="U46" s="485"/>
      <c r="V46" s="512"/>
      <c r="W46" s="512"/>
      <c r="X46" s="512"/>
      <c r="Y46" s="512"/>
      <c r="Z46" s="512"/>
      <c r="AA46" s="80"/>
      <c r="AB46" s="80"/>
      <c r="AC46" s="80"/>
      <c r="AD46" s="80"/>
      <c r="AE46" s="80"/>
      <c r="AF46" s="80"/>
      <c r="AG46" s="80"/>
      <c r="AH46" s="80"/>
      <c r="AI46" s="80"/>
      <c r="AJ46" s="335"/>
    </row>
    <row r="47" spans="1:36" s="11" customFormat="1" ht="51">
      <c r="A47" s="80"/>
      <c r="B47" s="206">
        <v>40</v>
      </c>
      <c r="C47" s="240" t="s">
        <v>484</v>
      </c>
      <c r="D47" s="241">
        <v>4.3</v>
      </c>
      <c r="E47" s="242">
        <v>1</v>
      </c>
      <c r="F47" s="242">
        <f t="shared" si="10"/>
        <v>0.36</v>
      </c>
      <c r="G47" s="210">
        <v>0.36</v>
      </c>
      <c r="H47" s="209">
        <v>0.36</v>
      </c>
      <c r="I47" s="209">
        <v>0.36</v>
      </c>
      <c r="J47" s="211">
        <v>0.36</v>
      </c>
      <c r="K47" s="212"/>
      <c r="L47" s="209">
        <v>0.36</v>
      </c>
      <c r="M47" s="392">
        <v>0.36</v>
      </c>
      <c r="N47" s="497">
        <v>0.36</v>
      </c>
      <c r="O47" s="502">
        <v>0.36</v>
      </c>
      <c r="P47" s="503">
        <f t="shared" si="1"/>
        <v>0.36</v>
      </c>
      <c r="Q47" s="500"/>
      <c r="R47" s="500"/>
      <c r="S47" s="500"/>
      <c r="T47" s="485"/>
      <c r="U47" s="485"/>
      <c r="V47" s="512"/>
      <c r="W47" s="512"/>
      <c r="X47" s="512"/>
      <c r="Y47" s="512"/>
      <c r="Z47" s="512"/>
      <c r="AA47" s="80"/>
      <c r="AB47" s="80"/>
      <c r="AC47" s="80"/>
      <c r="AD47" s="80"/>
      <c r="AE47" s="80"/>
      <c r="AF47" s="80"/>
      <c r="AG47" s="80"/>
      <c r="AH47" s="80"/>
      <c r="AI47" s="80"/>
      <c r="AJ47" s="335"/>
    </row>
    <row r="48" spans="1:36" s="11" customFormat="1" ht="51">
      <c r="A48" s="80"/>
      <c r="B48" s="206">
        <v>41</v>
      </c>
      <c r="C48" s="240" t="s">
        <v>485</v>
      </c>
      <c r="D48" s="241">
        <v>0.76</v>
      </c>
      <c r="E48" s="242">
        <v>1</v>
      </c>
      <c r="F48" s="242">
        <f t="shared" si="10"/>
        <v>0.06</v>
      </c>
      <c r="G48" s="210">
        <v>0.06</v>
      </c>
      <c r="H48" s="209">
        <v>0.06</v>
      </c>
      <c r="I48" s="209">
        <v>0.06</v>
      </c>
      <c r="J48" s="211">
        <v>0.06</v>
      </c>
      <c r="K48" s="212"/>
      <c r="L48" s="209">
        <v>0.06</v>
      </c>
      <c r="M48" s="392">
        <v>0.06</v>
      </c>
      <c r="N48" s="497">
        <v>0.06</v>
      </c>
      <c r="O48" s="502">
        <v>0.06</v>
      </c>
      <c r="P48" s="503">
        <f t="shared" si="1"/>
        <v>0.06</v>
      </c>
      <c r="Q48" s="500"/>
      <c r="R48" s="500"/>
      <c r="S48" s="500"/>
      <c r="T48" s="485"/>
      <c r="U48" s="485"/>
      <c r="V48" s="512"/>
      <c r="W48" s="512"/>
      <c r="X48" s="512"/>
      <c r="Y48" s="512"/>
      <c r="Z48" s="512"/>
      <c r="AA48" s="80"/>
      <c r="AB48" s="80"/>
      <c r="AC48" s="80"/>
      <c r="AD48" s="80"/>
      <c r="AE48" s="80"/>
      <c r="AF48" s="80"/>
      <c r="AG48" s="80"/>
      <c r="AH48" s="80"/>
      <c r="AI48" s="80"/>
      <c r="AJ48" s="335"/>
    </row>
    <row r="49" spans="1:36" s="11" customFormat="1" ht="44.25" customHeight="1">
      <c r="A49" s="80"/>
      <c r="B49" s="213">
        <v>42</v>
      </c>
      <c r="C49" s="240" t="s">
        <v>486</v>
      </c>
      <c r="D49" s="241">
        <v>1.1000000000000001</v>
      </c>
      <c r="E49" s="242">
        <v>1</v>
      </c>
      <c r="F49" s="242">
        <f t="shared" si="10"/>
        <v>0.09</v>
      </c>
      <c r="G49" s="210">
        <v>0.09</v>
      </c>
      <c r="H49" s="209">
        <v>0.09</v>
      </c>
      <c r="I49" s="209">
        <v>0.09</v>
      </c>
      <c r="J49" s="211">
        <v>0.09</v>
      </c>
      <c r="K49" s="212"/>
      <c r="L49" s="209">
        <v>0.09</v>
      </c>
      <c r="M49" s="392">
        <v>0.09</v>
      </c>
      <c r="N49" s="497">
        <v>0.09</v>
      </c>
      <c r="O49" s="502">
        <v>0.09</v>
      </c>
      <c r="P49" s="503">
        <f t="shared" si="1"/>
        <v>0.09</v>
      </c>
      <c r="Q49" s="500"/>
      <c r="R49" s="500"/>
      <c r="S49" s="500"/>
      <c r="T49" s="485"/>
      <c r="U49" s="485"/>
      <c r="V49" s="512"/>
      <c r="W49" s="512"/>
      <c r="X49" s="512"/>
      <c r="Y49" s="512"/>
      <c r="Z49" s="512"/>
      <c r="AA49" s="80"/>
      <c r="AB49" s="80"/>
      <c r="AC49" s="80"/>
      <c r="AD49" s="80"/>
      <c r="AE49" s="80"/>
      <c r="AF49" s="80"/>
      <c r="AG49" s="80"/>
      <c r="AH49" s="80"/>
      <c r="AI49" s="80"/>
      <c r="AJ49" s="335"/>
    </row>
    <row r="50" spans="1:36" s="11" customFormat="1" ht="25.5">
      <c r="A50" s="80"/>
      <c r="B50" s="213">
        <f t="shared" si="11"/>
        <v>43</v>
      </c>
      <c r="C50" s="240" t="s">
        <v>487</v>
      </c>
      <c r="D50" s="241">
        <v>4</v>
      </c>
      <c r="E50" s="242">
        <v>1</v>
      </c>
      <c r="F50" s="242">
        <f t="shared" si="10"/>
        <v>0.33</v>
      </c>
      <c r="G50" s="210">
        <v>0.33</v>
      </c>
      <c r="H50" s="209">
        <v>0.33</v>
      </c>
      <c r="I50" s="209">
        <v>0.33</v>
      </c>
      <c r="J50" s="211">
        <v>0.33</v>
      </c>
      <c r="K50" s="212"/>
      <c r="L50" s="209">
        <v>0.33</v>
      </c>
      <c r="M50" s="392">
        <v>0.33</v>
      </c>
      <c r="N50" s="497">
        <v>0.33</v>
      </c>
      <c r="O50" s="502">
        <v>0.33</v>
      </c>
      <c r="P50" s="503">
        <f t="shared" si="1"/>
        <v>0.33</v>
      </c>
      <c r="Q50" s="500"/>
      <c r="R50" s="500"/>
      <c r="S50" s="500"/>
      <c r="T50" s="485"/>
      <c r="U50" s="485"/>
      <c r="V50" s="512"/>
      <c r="W50" s="512"/>
      <c r="X50" s="512"/>
      <c r="Y50" s="512"/>
      <c r="Z50" s="512"/>
      <c r="AA50" s="80"/>
      <c r="AB50" s="80"/>
      <c r="AC50" s="80"/>
      <c r="AD50" s="80"/>
      <c r="AE50" s="80"/>
      <c r="AF50" s="80"/>
      <c r="AG50" s="80"/>
      <c r="AH50" s="80"/>
      <c r="AI50" s="80"/>
      <c r="AJ50" s="335"/>
    </row>
    <row r="51" spans="1:36" s="11" customFormat="1" ht="29.25" customHeight="1">
      <c r="A51" s="80"/>
      <c r="B51" s="206">
        <v>44</v>
      </c>
      <c r="C51" s="240" t="s">
        <v>488</v>
      </c>
      <c r="D51" s="241">
        <v>2.36</v>
      </c>
      <c r="E51" s="242">
        <v>1</v>
      </c>
      <c r="F51" s="242">
        <f t="shared" si="10"/>
        <v>0.2</v>
      </c>
      <c r="G51" s="210">
        <v>0.2</v>
      </c>
      <c r="H51" s="209">
        <v>0.2</v>
      </c>
      <c r="I51" s="209">
        <v>0.2</v>
      </c>
      <c r="J51" s="211">
        <v>0.2</v>
      </c>
      <c r="K51" s="212"/>
      <c r="L51" s="209">
        <v>0.2</v>
      </c>
      <c r="M51" s="392">
        <v>0.2</v>
      </c>
      <c r="N51" s="497">
        <v>0.2</v>
      </c>
      <c r="O51" s="502">
        <v>0.2</v>
      </c>
      <c r="P51" s="503">
        <f t="shared" si="1"/>
        <v>0.2</v>
      </c>
      <c r="Q51" s="500"/>
      <c r="R51" s="500"/>
      <c r="S51" s="500"/>
      <c r="T51" s="485"/>
      <c r="U51" s="485"/>
      <c r="V51" s="512"/>
      <c r="W51" s="512"/>
      <c r="X51" s="512"/>
      <c r="Y51" s="512"/>
      <c r="Z51" s="512"/>
      <c r="AA51" s="80"/>
      <c r="AB51" s="80"/>
      <c r="AC51" s="80"/>
      <c r="AD51" s="80"/>
      <c r="AE51" s="80"/>
      <c r="AF51" s="80"/>
      <c r="AG51" s="80"/>
      <c r="AH51" s="80"/>
      <c r="AI51" s="80"/>
      <c r="AJ51" s="335"/>
    </row>
    <row r="52" spans="1:36" s="11" customFormat="1" ht="48" customHeight="1">
      <c r="A52" s="80"/>
      <c r="B52" s="213">
        <v>45</v>
      </c>
      <c r="C52" s="240" t="s">
        <v>489</v>
      </c>
      <c r="D52" s="241">
        <v>0.41</v>
      </c>
      <c r="E52" s="242">
        <v>1</v>
      </c>
      <c r="F52" s="242">
        <f t="shared" si="10"/>
        <v>0.03</v>
      </c>
      <c r="G52" s="210">
        <v>0.03</v>
      </c>
      <c r="H52" s="209">
        <v>0.03</v>
      </c>
      <c r="I52" s="209">
        <v>0.03</v>
      </c>
      <c r="J52" s="211">
        <v>0.03</v>
      </c>
      <c r="K52" s="212"/>
      <c r="L52" s="209">
        <v>0.03</v>
      </c>
      <c r="M52" s="392">
        <v>0.03</v>
      </c>
      <c r="N52" s="497">
        <v>0.03</v>
      </c>
      <c r="O52" s="502">
        <v>0.03</v>
      </c>
      <c r="P52" s="503">
        <f t="shared" si="1"/>
        <v>0.03</v>
      </c>
      <c r="Q52" s="500"/>
      <c r="R52" s="500"/>
      <c r="S52" s="500"/>
      <c r="T52" s="485"/>
      <c r="U52" s="485"/>
      <c r="V52" s="512"/>
      <c r="W52" s="512"/>
      <c r="X52" s="512"/>
      <c r="Y52" s="512"/>
      <c r="Z52" s="512"/>
      <c r="AA52" s="80"/>
      <c r="AB52" s="80"/>
      <c r="AC52" s="80"/>
      <c r="AD52" s="80"/>
      <c r="AE52" s="80"/>
      <c r="AF52" s="80"/>
      <c r="AG52" s="80"/>
      <c r="AH52" s="80"/>
      <c r="AI52" s="80"/>
      <c r="AJ52" s="335"/>
    </row>
    <row r="53" spans="1:36" s="11" customFormat="1" ht="25.5">
      <c r="A53" s="80"/>
      <c r="B53" s="213">
        <v>46</v>
      </c>
      <c r="C53" s="240" t="s">
        <v>490</v>
      </c>
      <c r="D53" s="241">
        <v>6.38</v>
      </c>
      <c r="E53" s="242">
        <v>1</v>
      </c>
      <c r="F53" s="242">
        <f t="shared" si="10"/>
        <v>0.53</v>
      </c>
      <c r="G53" s="210">
        <v>0.53</v>
      </c>
      <c r="H53" s="209">
        <v>0.53</v>
      </c>
      <c r="I53" s="209">
        <v>0.53</v>
      </c>
      <c r="J53" s="211">
        <v>0.53</v>
      </c>
      <c r="K53" s="212"/>
      <c r="L53" s="209">
        <v>0.53</v>
      </c>
      <c r="M53" s="392">
        <v>0.53</v>
      </c>
      <c r="N53" s="497">
        <v>0.53</v>
      </c>
      <c r="O53" s="502">
        <v>0.53</v>
      </c>
      <c r="P53" s="503">
        <f t="shared" si="1"/>
        <v>0.53</v>
      </c>
      <c r="Q53" s="500"/>
      <c r="R53" s="500"/>
      <c r="S53" s="500"/>
      <c r="T53" s="485"/>
      <c r="U53" s="485"/>
      <c r="V53" s="512"/>
      <c r="W53" s="512"/>
      <c r="X53" s="512"/>
      <c r="Y53" s="512"/>
      <c r="Z53" s="512"/>
      <c r="AA53" s="80"/>
      <c r="AB53" s="80"/>
      <c r="AC53" s="80"/>
      <c r="AD53" s="80"/>
      <c r="AE53" s="80"/>
      <c r="AF53" s="80"/>
      <c r="AG53" s="80"/>
      <c r="AH53" s="80"/>
      <c r="AI53" s="80"/>
      <c r="AJ53" s="335"/>
    </row>
    <row r="54" spans="1:36" s="11" customFormat="1" ht="40.5" customHeight="1">
      <c r="A54" s="80"/>
      <c r="B54" s="206">
        <v>47</v>
      </c>
      <c r="C54" s="240" t="s">
        <v>491</v>
      </c>
      <c r="D54" s="241">
        <v>0.73</v>
      </c>
      <c r="E54" s="242">
        <v>1</v>
      </c>
      <c r="F54" s="242">
        <f t="shared" si="10"/>
        <v>0.06</v>
      </c>
      <c r="G54" s="210">
        <v>0.06</v>
      </c>
      <c r="H54" s="209">
        <v>0.06</v>
      </c>
      <c r="I54" s="209">
        <v>0.06</v>
      </c>
      <c r="J54" s="211">
        <v>0.06</v>
      </c>
      <c r="K54" s="212"/>
      <c r="L54" s="209">
        <v>0.06</v>
      </c>
      <c r="M54" s="392">
        <v>0.06</v>
      </c>
      <c r="N54" s="497">
        <v>0.06</v>
      </c>
      <c r="O54" s="502">
        <v>0.06</v>
      </c>
      <c r="P54" s="503">
        <f t="shared" si="1"/>
        <v>0.06</v>
      </c>
      <c r="Q54" s="500"/>
      <c r="R54" s="500"/>
      <c r="S54" s="500"/>
      <c r="T54" s="485"/>
      <c r="U54" s="485"/>
      <c r="V54" s="512"/>
      <c r="W54" s="512"/>
      <c r="X54" s="512"/>
      <c r="Y54" s="512"/>
      <c r="Z54" s="512"/>
      <c r="AA54" s="80"/>
      <c r="AB54" s="80"/>
      <c r="AC54" s="80"/>
      <c r="AD54" s="80"/>
      <c r="AE54" s="80"/>
      <c r="AF54" s="80"/>
      <c r="AG54" s="80"/>
      <c r="AH54" s="80"/>
      <c r="AI54" s="80"/>
      <c r="AJ54" s="335"/>
    </row>
    <row r="55" spans="1:36" s="11" customFormat="1" ht="25.5">
      <c r="A55" s="80"/>
      <c r="B55" s="206">
        <v>48</v>
      </c>
      <c r="C55" s="240" t="s">
        <v>492</v>
      </c>
      <c r="D55" s="241">
        <v>3.57</v>
      </c>
      <c r="E55" s="242">
        <v>1</v>
      </c>
      <c r="F55" s="242">
        <f t="shared" si="10"/>
        <v>0.3</v>
      </c>
      <c r="G55" s="210">
        <v>0.3</v>
      </c>
      <c r="H55" s="209">
        <v>0.3</v>
      </c>
      <c r="I55" s="209">
        <v>0.3</v>
      </c>
      <c r="J55" s="211">
        <v>0.3</v>
      </c>
      <c r="K55" s="212"/>
      <c r="L55" s="209">
        <v>0.3</v>
      </c>
      <c r="M55" s="392">
        <v>0.3</v>
      </c>
      <c r="N55" s="497">
        <v>0.3</v>
      </c>
      <c r="O55" s="502">
        <v>0.3</v>
      </c>
      <c r="P55" s="503">
        <f t="shared" si="1"/>
        <v>0.3</v>
      </c>
      <c r="Q55" s="500"/>
      <c r="R55" s="500"/>
      <c r="S55" s="500"/>
      <c r="T55" s="485"/>
      <c r="U55" s="485"/>
      <c r="V55" s="512"/>
      <c r="W55" s="512"/>
      <c r="X55" s="512"/>
      <c r="Y55" s="512"/>
      <c r="Z55" s="512"/>
      <c r="AA55" s="80"/>
      <c r="AB55" s="80"/>
      <c r="AC55" s="80"/>
      <c r="AD55" s="80"/>
      <c r="AE55" s="80"/>
      <c r="AF55" s="80"/>
      <c r="AG55" s="80"/>
      <c r="AH55" s="80"/>
      <c r="AI55" s="80"/>
      <c r="AJ55" s="335"/>
    </row>
    <row r="56" spans="1:36" s="11" customFormat="1" ht="27.75" customHeight="1">
      <c r="A56" s="80"/>
      <c r="B56" s="213">
        <v>49</v>
      </c>
      <c r="C56" s="240" t="s">
        <v>493</v>
      </c>
      <c r="D56" s="241">
        <v>9.5299999999999994</v>
      </c>
      <c r="E56" s="242">
        <v>1</v>
      </c>
      <c r="F56" s="242">
        <f t="shared" si="10"/>
        <v>0.79</v>
      </c>
      <c r="G56" s="210">
        <v>0.79</v>
      </c>
      <c r="H56" s="209">
        <v>0.79</v>
      </c>
      <c r="I56" s="209">
        <v>0.79</v>
      </c>
      <c r="J56" s="211">
        <v>0.79</v>
      </c>
      <c r="K56" s="212"/>
      <c r="L56" s="209">
        <v>0.79</v>
      </c>
      <c r="M56" s="392">
        <v>0.79</v>
      </c>
      <c r="N56" s="497">
        <v>0.79</v>
      </c>
      <c r="O56" s="502">
        <v>0.79</v>
      </c>
      <c r="P56" s="503">
        <f t="shared" si="1"/>
        <v>0.79</v>
      </c>
      <c r="Q56" s="500"/>
      <c r="R56" s="500"/>
      <c r="S56" s="500"/>
      <c r="T56" s="485"/>
      <c r="U56" s="485"/>
      <c r="V56" s="512"/>
      <c r="W56" s="512"/>
      <c r="X56" s="512"/>
      <c r="Y56" s="512"/>
      <c r="Z56" s="512"/>
      <c r="AA56" s="80"/>
      <c r="AB56" s="80"/>
      <c r="AC56" s="80"/>
      <c r="AD56" s="80"/>
      <c r="AE56" s="80"/>
      <c r="AF56" s="80"/>
      <c r="AG56" s="80"/>
      <c r="AH56" s="80"/>
      <c r="AI56" s="80"/>
      <c r="AJ56" s="335"/>
    </row>
    <row r="57" spans="1:36" s="11" customFormat="1" ht="18" customHeight="1">
      <c r="A57" s="80"/>
      <c r="B57" s="213">
        <f t="shared" si="11"/>
        <v>50</v>
      </c>
      <c r="C57" s="240" t="s">
        <v>494</v>
      </c>
      <c r="D57" s="241">
        <v>3.66</v>
      </c>
      <c r="E57" s="242">
        <v>1</v>
      </c>
      <c r="F57" s="242">
        <f t="shared" si="10"/>
        <v>0.31</v>
      </c>
      <c r="G57" s="210">
        <v>0.31</v>
      </c>
      <c r="H57" s="209">
        <v>0.31</v>
      </c>
      <c r="I57" s="209">
        <v>0.31</v>
      </c>
      <c r="J57" s="211">
        <v>0.31</v>
      </c>
      <c r="K57" s="212"/>
      <c r="L57" s="209">
        <v>0.31</v>
      </c>
      <c r="M57" s="392">
        <v>0.31</v>
      </c>
      <c r="N57" s="497">
        <v>0.31</v>
      </c>
      <c r="O57" s="502">
        <v>0.31</v>
      </c>
      <c r="P57" s="503">
        <f t="shared" si="1"/>
        <v>0.31</v>
      </c>
      <c r="Q57" s="500"/>
      <c r="R57" s="500"/>
      <c r="S57" s="500"/>
      <c r="T57" s="485"/>
      <c r="U57" s="485"/>
      <c r="V57" s="512"/>
      <c r="W57" s="512"/>
      <c r="X57" s="512"/>
      <c r="Y57" s="512"/>
      <c r="Z57" s="512"/>
      <c r="AA57" s="80"/>
      <c r="AB57" s="80"/>
      <c r="AC57" s="80"/>
      <c r="AD57" s="80"/>
      <c r="AE57" s="80"/>
      <c r="AF57" s="80"/>
      <c r="AG57" s="80"/>
      <c r="AH57" s="80"/>
      <c r="AI57" s="80"/>
      <c r="AJ57" s="335"/>
    </row>
    <row r="58" spans="1:36" s="11" customFormat="1" ht="25.5">
      <c r="A58" s="80"/>
      <c r="B58" s="206">
        <v>51</v>
      </c>
      <c r="C58" s="240" t="s">
        <v>495</v>
      </c>
      <c r="D58" s="241">
        <v>5.3</v>
      </c>
      <c r="E58" s="242">
        <v>1</v>
      </c>
      <c r="F58" s="242">
        <f t="shared" si="10"/>
        <v>0.44</v>
      </c>
      <c r="G58" s="210">
        <v>0.44</v>
      </c>
      <c r="H58" s="209">
        <v>0.44</v>
      </c>
      <c r="I58" s="209">
        <v>0.44</v>
      </c>
      <c r="J58" s="211">
        <v>0.44</v>
      </c>
      <c r="K58" s="212"/>
      <c r="L58" s="209">
        <v>0.44</v>
      </c>
      <c r="M58" s="392">
        <v>0.44</v>
      </c>
      <c r="N58" s="497">
        <v>0.44</v>
      </c>
      <c r="O58" s="502">
        <v>0.44</v>
      </c>
      <c r="P58" s="503">
        <f t="shared" si="1"/>
        <v>0.44</v>
      </c>
      <c r="Q58" s="500"/>
      <c r="R58" s="500"/>
      <c r="S58" s="500"/>
      <c r="T58" s="485"/>
      <c r="U58" s="485"/>
      <c r="V58" s="512"/>
      <c r="W58" s="512"/>
      <c r="X58" s="512"/>
      <c r="Y58" s="512"/>
      <c r="Z58" s="512"/>
      <c r="AA58" s="80"/>
      <c r="AB58" s="80"/>
      <c r="AC58" s="80"/>
      <c r="AD58" s="80"/>
      <c r="AE58" s="80"/>
      <c r="AF58" s="80"/>
      <c r="AG58" s="80"/>
      <c r="AH58" s="80"/>
      <c r="AI58" s="80"/>
      <c r="AJ58" s="335"/>
    </row>
    <row r="59" spans="1:36" s="11" customFormat="1" ht="25.5">
      <c r="A59" s="80"/>
      <c r="B59" s="213">
        <v>52</v>
      </c>
      <c r="C59" s="240" t="s">
        <v>496</v>
      </c>
      <c r="D59" s="241">
        <v>1.4319999999999999</v>
      </c>
      <c r="E59" s="242">
        <v>1</v>
      </c>
      <c r="F59" s="242">
        <f>ROUND(D59/12,2)</f>
        <v>0.12</v>
      </c>
      <c r="G59" s="210">
        <v>0.12</v>
      </c>
      <c r="H59" s="209">
        <v>0.12</v>
      </c>
      <c r="I59" s="209">
        <v>0.12</v>
      </c>
      <c r="J59" s="211">
        <v>0.12</v>
      </c>
      <c r="K59" s="212"/>
      <c r="L59" s="209">
        <v>0.12</v>
      </c>
      <c r="M59" s="392">
        <v>0.12</v>
      </c>
      <c r="N59" s="497">
        <v>0.12</v>
      </c>
      <c r="O59" s="502">
        <v>0.12</v>
      </c>
      <c r="P59" s="503">
        <f t="shared" si="1"/>
        <v>0.12</v>
      </c>
      <c r="Q59" s="500"/>
      <c r="R59" s="500"/>
      <c r="S59" s="500"/>
      <c r="T59" s="485"/>
      <c r="U59" s="485"/>
      <c r="V59" s="512"/>
      <c r="W59" s="512"/>
      <c r="X59" s="512"/>
      <c r="Y59" s="512"/>
      <c r="Z59" s="512"/>
      <c r="AA59" s="80"/>
      <c r="AB59" s="80"/>
      <c r="AC59" s="80"/>
      <c r="AD59" s="80"/>
      <c r="AE59" s="80"/>
      <c r="AF59" s="80"/>
      <c r="AG59" s="80"/>
      <c r="AH59" s="80"/>
      <c r="AI59" s="80"/>
      <c r="AJ59" s="335"/>
    </row>
    <row r="60" spans="1:36" s="11" customFormat="1" ht="28.5" customHeight="1">
      <c r="A60" s="80"/>
      <c r="B60" s="213">
        <v>53</v>
      </c>
      <c r="C60" s="240" t="s">
        <v>497</v>
      </c>
      <c r="D60" s="241">
        <v>0.23</v>
      </c>
      <c r="E60" s="242">
        <v>1</v>
      </c>
      <c r="F60" s="242">
        <f t="shared" si="10"/>
        <v>0.02</v>
      </c>
      <c r="G60" s="210">
        <v>0.02</v>
      </c>
      <c r="H60" s="209">
        <v>0.02</v>
      </c>
      <c r="I60" s="209">
        <v>0.02</v>
      </c>
      <c r="J60" s="211">
        <v>0.02</v>
      </c>
      <c r="K60" s="212"/>
      <c r="L60" s="209">
        <v>0.02</v>
      </c>
      <c r="M60" s="392">
        <v>0.02</v>
      </c>
      <c r="N60" s="497">
        <v>0.02</v>
      </c>
      <c r="O60" s="502">
        <v>0.02</v>
      </c>
      <c r="P60" s="503">
        <f t="shared" si="1"/>
        <v>0.02</v>
      </c>
      <c r="Q60" s="500"/>
      <c r="R60" s="500"/>
      <c r="S60" s="500"/>
      <c r="T60" s="485"/>
      <c r="U60" s="485"/>
      <c r="V60" s="512"/>
      <c r="W60" s="512"/>
      <c r="X60" s="512"/>
      <c r="Y60" s="512"/>
      <c r="Z60" s="512"/>
      <c r="AA60" s="80"/>
      <c r="AB60" s="80"/>
      <c r="AC60" s="80"/>
      <c r="AD60" s="80"/>
      <c r="AE60" s="80"/>
      <c r="AF60" s="80"/>
      <c r="AG60" s="80"/>
      <c r="AH60" s="80"/>
      <c r="AI60" s="80"/>
      <c r="AJ60" s="335"/>
    </row>
    <row r="61" spans="1:36" s="11" customFormat="1" ht="27.75" customHeight="1">
      <c r="A61" s="80"/>
      <c r="B61" s="206">
        <v>54</v>
      </c>
      <c r="C61" s="240" t="s">
        <v>498</v>
      </c>
      <c r="D61" s="241">
        <v>3.74</v>
      </c>
      <c r="E61" s="242">
        <v>1</v>
      </c>
      <c r="F61" s="242">
        <f t="shared" si="10"/>
        <v>0.31</v>
      </c>
      <c r="G61" s="210">
        <v>0.31</v>
      </c>
      <c r="H61" s="209">
        <v>0.31</v>
      </c>
      <c r="I61" s="209">
        <v>0.31</v>
      </c>
      <c r="J61" s="211">
        <v>0.31</v>
      </c>
      <c r="K61" s="212"/>
      <c r="L61" s="209">
        <v>0.31</v>
      </c>
      <c r="M61" s="392">
        <v>0.31</v>
      </c>
      <c r="N61" s="497">
        <v>0.31</v>
      </c>
      <c r="O61" s="502">
        <v>0.31</v>
      </c>
      <c r="P61" s="503">
        <f t="shared" si="1"/>
        <v>0.31</v>
      </c>
      <c r="Q61" s="500"/>
      <c r="R61" s="500"/>
      <c r="S61" s="500"/>
      <c r="T61" s="485"/>
      <c r="U61" s="485"/>
      <c r="V61" s="512"/>
      <c r="W61" s="512"/>
      <c r="X61" s="512"/>
      <c r="Y61" s="512"/>
      <c r="Z61" s="512"/>
      <c r="AA61" s="80"/>
      <c r="AB61" s="80"/>
      <c r="AC61" s="80"/>
      <c r="AD61" s="80"/>
      <c r="AE61" s="80"/>
      <c r="AF61" s="80"/>
      <c r="AG61" s="80"/>
      <c r="AH61" s="80"/>
      <c r="AI61" s="80"/>
      <c r="AJ61" s="335"/>
    </row>
    <row r="62" spans="1:36" s="11" customFormat="1" ht="25.5">
      <c r="A62" s="80"/>
      <c r="B62" s="206">
        <v>55</v>
      </c>
      <c r="C62" s="240" t="s">
        <v>499</v>
      </c>
      <c r="D62" s="241">
        <f>(66.08/25*308.2001*12)*0.001</f>
        <v>9.7756140518400017</v>
      </c>
      <c r="E62" s="242">
        <v>1</v>
      </c>
      <c r="F62" s="242">
        <f>ROUND(D62/12,2)</f>
        <v>0.81</v>
      </c>
      <c r="G62" s="210">
        <v>0.81</v>
      </c>
      <c r="H62" s="209">
        <v>0.81</v>
      </c>
      <c r="I62" s="209">
        <v>0.81</v>
      </c>
      <c r="J62" s="211">
        <v>0.81</v>
      </c>
      <c r="K62" s="212"/>
      <c r="L62" s="209">
        <v>0.81</v>
      </c>
      <c r="M62" s="392">
        <v>0.81</v>
      </c>
      <c r="N62" s="497">
        <v>0.81</v>
      </c>
      <c r="O62" s="502">
        <v>0.81</v>
      </c>
      <c r="P62" s="503">
        <f t="shared" si="1"/>
        <v>0.81</v>
      </c>
      <c r="Q62" s="500"/>
      <c r="R62" s="500"/>
      <c r="S62" s="500"/>
      <c r="T62" s="485"/>
      <c r="U62" s="485"/>
      <c r="V62" s="512"/>
      <c r="W62" s="512"/>
      <c r="X62" s="512"/>
      <c r="Y62" s="512"/>
      <c r="Z62" s="512"/>
      <c r="AA62" s="80"/>
      <c r="AB62" s="80"/>
      <c r="AC62" s="80"/>
      <c r="AD62" s="80"/>
      <c r="AE62" s="80"/>
      <c r="AF62" s="80"/>
      <c r="AG62" s="80"/>
      <c r="AH62" s="80"/>
      <c r="AI62" s="80"/>
      <c r="AJ62" s="335"/>
    </row>
    <row r="63" spans="1:36" s="11" customFormat="1" ht="25.5">
      <c r="A63" s="80"/>
      <c r="B63" s="213">
        <v>56</v>
      </c>
      <c r="C63" s="240" t="s">
        <v>500</v>
      </c>
      <c r="D63" s="241">
        <v>1</v>
      </c>
      <c r="E63" s="242">
        <v>1</v>
      </c>
      <c r="F63" s="242">
        <f t="shared" ref="F63:F64" si="12">ROUND(D63/12,2)</f>
        <v>0.08</v>
      </c>
      <c r="G63" s="210">
        <v>0.08</v>
      </c>
      <c r="H63" s="209">
        <v>0.08</v>
      </c>
      <c r="I63" s="209">
        <v>0.08</v>
      </c>
      <c r="J63" s="211">
        <v>0.08</v>
      </c>
      <c r="K63" s="212"/>
      <c r="L63" s="209">
        <v>0.08</v>
      </c>
      <c r="M63" s="392">
        <v>0.08</v>
      </c>
      <c r="N63" s="497">
        <v>0.08</v>
      </c>
      <c r="O63" s="502">
        <v>0.08</v>
      </c>
      <c r="P63" s="503">
        <f t="shared" si="1"/>
        <v>0.08</v>
      </c>
      <c r="Q63" s="500"/>
      <c r="R63" s="500"/>
      <c r="S63" s="500"/>
      <c r="T63" s="485"/>
      <c r="U63" s="485"/>
      <c r="V63" s="512"/>
      <c r="W63" s="512"/>
      <c r="X63" s="512"/>
      <c r="Y63" s="512"/>
      <c r="Z63" s="512"/>
      <c r="AA63" s="80"/>
      <c r="AB63" s="80"/>
      <c r="AC63" s="80"/>
      <c r="AD63" s="80"/>
      <c r="AE63" s="80"/>
      <c r="AF63" s="80"/>
      <c r="AG63" s="80"/>
      <c r="AH63" s="80"/>
      <c r="AI63" s="80"/>
      <c r="AJ63" s="335"/>
    </row>
    <row r="64" spans="1:36" s="11" customFormat="1">
      <c r="A64" s="80"/>
      <c r="B64" s="213">
        <f t="shared" si="11"/>
        <v>57</v>
      </c>
      <c r="C64" s="240" t="s">
        <v>501</v>
      </c>
      <c r="D64" s="242">
        <f>0.0655*2*308*12*0.2</f>
        <v>96.8352</v>
      </c>
      <c r="E64" s="242">
        <v>1</v>
      </c>
      <c r="F64" s="242">
        <f t="shared" si="12"/>
        <v>8.07</v>
      </c>
      <c r="G64" s="210">
        <v>8.07</v>
      </c>
      <c r="H64" s="209">
        <v>8.07</v>
      </c>
      <c r="I64" s="209">
        <v>8.07</v>
      </c>
      <c r="J64" s="211">
        <v>8.07</v>
      </c>
      <c r="K64" s="212">
        <f>ROUND(J64*8/100,2)</f>
        <v>0.65</v>
      </c>
      <c r="L64" s="209">
        <f>J64+K64</f>
        <v>8.7200000000000006</v>
      </c>
      <c r="M64" s="392">
        <f t="shared" ref="M64:O65" si="13">L64</f>
        <v>8.7200000000000006</v>
      </c>
      <c r="N64" s="497">
        <f t="shared" si="13"/>
        <v>8.7200000000000006</v>
      </c>
      <c r="O64" s="502">
        <f t="shared" si="13"/>
        <v>8.7200000000000006</v>
      </c>
      <c r="P64" s="503">
        <f t="shared" si="1"/>
        <v>8.7200000000000006</v>
      </c>
      <c r="Q64" s="500"/>
      <c r="R64" s="500"/>
      <c r="S64" s="500"/>
      <c r="T64" s="485"/>
      <c r="U64" s="485"/>
      <c r="V64" s="512"/>
      <c r="W64" s="512"/>
      <c r="X64" s="512"/>
      <c r="Y64" s="512"/>
      <c r="Z64" s="512"/>
      <c r="AA64" s="80"/>
      <c r="AB64" s="80"/>
      <c r="AC64" s="80"/>
      <c r="AD64" s="80"/>
      <c r="AE64" s="80"/>
      <c r="AF64" s="80"/>
      <c r="AG64" s="80"/>
      <c r="AH64" s="80"/>
      <c r="AI64" s="80"/>
      <c r="AJ64" s="335"/>
    </row>
    <row r="65" spans="1:36" s="11" customFormat="1">
      <c r="A65" s="80"/>
      <c r="B65" s="206">
        <v>58</v>
      </c>
      <c r="C65" s="240" t="s">
        <v>502</v>
      </c>
      <c r="D65" s="241">
        <f>F65*12</f>
        <v>140.04</v>
      </c>
      <c r="E65" s="242">
        <v>1</v>
      </c>
      <c r="F65" s="242">
        <f>ROUND((37.89/5000)*(5*308),2)</f>
        <v>11.67</v>
      </c>
      <c r="G65" s="210">
        <v>11.67</v>
      </c>
      <c r="H65" s="209">
        <v>11.67</v>
      </c>
      <c r="I65" s="209">
        <v>11.67</v>
      </c>
      <c r="J65" s="211">
        <v>11.67</v>
      </c>
      <c r="K65" s="212">
        <f>ROUND(J65*8/100,2)</f>
        <v>0.93</v>
      </c>
      <c r="L65" s="209">
        <f>J65+K65</f>
        <v>12.6</v>
      </c>
      <c r="M65" s="392">
        <f t="shared" si="13"/>
        <v>12.6</v>
      </c>
      <c r="N65" s="497">
        <f t="shared" si="13"/>
        <v>12.6</v>
      </c>
      <c r="O65" s="502">
        <f t="shared" si="13"/>
        <v>12.6</v>
      </c>
      <c r="P65" s="503">
        <f t="shared" si="1"/>
        <v>12.6</v>
      </c>
      <c r="Q65" s="500"/>
      <c r="R65" s="500"/>
      <c r="S65" s="500"/>
      <c r="T65" s="485"/>
      <c r="U65" s="485"/>
      <c r="V65" s="512"/>
      <c r="W65" s="512"/>
      <c r="X65" s="512"/>
      <c r="Y65" s="512"/>
      <c r="Z65" s="512"/>
      <c r="AA65" s="80"/>
      <c r="AB65" s="80"/>
      <c r="AC65" s="80"/>
      <c r="AD65" s="80"/>
      <c r="AE65" s="80"/>
      <c r="AF65" s="80"/>
      <c r="AG65" s="80"/>
      <c r="AH65" s="80"/>
      <c r="AI65" s="80"/>
      <c r="AJ65" s="335"/>
    </row>
    <row r="66" spans="1:36" s="11" customFormat="1">
      <c r="A66" s="80"/>
      <c r="B66" s="213">
        <v>59</v>
      </c>
      <c r="C66" s="224" t="s">
        <v>503</v>
      </c>
      <c r="D66" s="215">
        <v>5.04</v>
      </c>
      <c r="E66" s="216">
        <v>1</v>
      </c>
      <c r="F66" s="216">
        <f>ROUND(D66/12,2)</f>
        <v>0.42</v>
      </c>
      <c r="G66" s="210">
        <v>0.42</v>
      </c>
      <c r="H66" s="209">
        <v>0.42</v>
      </c>
      <c r="I66" s="209">
        <v>0.42</v>
      </c>
      <c r="J66" s="211">
        <v>0.42</v>
      </c>
      <c r="K66" s="212"/>
      <c r="L66" s="209">
        <v>0.42</v>
      </c>
      <c r="M66" s="392">
        <v>0.42</v>
      </c>
      <c r="N66" s="497">
        <v>0.42</v>
      </c>
      <c r="O66" s="502">
        <v>0.42</v>
      </c>
      <c r="P66" s="503">
        <f t="shared" si="1"/>
        <v>0.42</v>
      </c>
      <c r="Q66" s="500"/>
      <c r="R66" s="500"/>
      <c r="S66" s="500"/>
      <c r="T66" s="485"/>
      <c r="U66" s="485"/>
      <c r="V66" s="512"/>
      <c r="W66" s="512"/>
      <c r="X66" s="512"/>
      <c r="Y66" s="512"/>
      <c r="Z66" s="512"/>
      <c r="AA66" s="80"/>
      <c r="AB66" s="80"/>
      <c r="AC66" s="80"/>
      <c r="AD66" s="80"/>
      <c r="AE66" s="80"/>
      <c r="AF66" s="80"/>
      <c r="AG66" s="80"/>
      <c r="AH66" s="80"/>
      <c r="AI66" s="80"/>
      <c r="AJ66" s="335"/>
    </row>
    <row r="67" spans="1:36">
      <c r="B67" s="213">
        <v>60</v>
      </c>
      <c r="C67" s="224" t="s">
        <v>504</v>
      </c>
      <c r="D67" s="215">
        <f>F67*12</f>
        <v>335.28000000000003</v>
      </c>
      <c r="E67" s="216">
        <v>1</v>
      </c>
      <c r="F67" s="216">
        <f>ROUND(9.07/50*308/2,2)</f>
        <v>27.94</v>
      </c>
      <c r="G67" s="210">
        <v>27.94</v>
      </c>
      <c r="H67" s="209">
        <v>27.94</v>
      </c>
      <c r="I67" s="209">
        <v>27.94</v>
      </c>
      <c r="J67" s="211">
        <v>27.94</v>
      </c>
      <c r="K67" s="212"/>
      <c r="L67" s="209">
        <v>27.94</v>
      </c>
      <c r="M67" s="392">
        <v>27.94</v>
      </c>
      <c r="N67" s="497">
        <v>27.94</v>
      </c>
      <c r="O67" s="502">
        <v>27.94</v>
      </c>
      <c r="P67" s="503">
        <f t="shared" si="1"/>
        <v>27.94</v>
      </c>
      <c r="Q67" s="500"/>
      <c r="R67" s="500"/>
      <c r="S67" s="500"/>
    </row>
    <row r="68" spans="1:36" ht="13.5" thickBot="1">
      <c r="B68" s="347">
        <v>61</v>
      </c>
      <c r="C68" s="343" t="s">
        <v>505</v>
      </c>
      <c r="D68" s="258">
        <f>F68*12</f>
        <v>280.20000000000005</v>
      </c>
      <c r="E68" s="259">
        <v>1</v>
      </c>
      <c r="F68" s="259">
        <f>ROUND(11.6/800*308*2+3.9/250*308*3,2)</f>
        <v>23.35</v>
      </c>
      <c r="G68" s="348">
        <v>23.35</v>
      </c>
      <c r="H68" s="349">
        <v>23.35</v>
      </c>
      <c r="I68" s="349">
        <v>23.35</v>
      </c>
      <c r="J68" s="350">
        <v>23.35</v>
      </c>
      <c r="K68" s="351"/>
      <c r="L68" s="349">
        <v>23.35</v>
      </c>
      <c r="M68" s="395">
        <v>23.35</v>
      </c>
      <c r="N68" s="527">
        <v>23.35</v>
      </c>
      <c r="O68" s="517">
        <v>23.35</v>
      </c>
      <c r="P68" s="518">
        <f t="shared" si="1"/>
        <v>23.35</v>
      </c>
      <c r="Q68" s="500"/>
      <c r="R68" s="500"/>
      <c r="S68" s="500"/>
    </row>
    <row r="69" spans="1:36" ht="13.5" thickBot="1">
      <c r="B69" s="368"/>
      <c r="C69" s="369" t="s">
        <v>506</v>
      </c>
      <c r="D69" s="370">
        <f>SUM(D41:D68)+0.01</f>
        <v>976.58281405184005</v>
      </c>
      <c r="E69" s="371"/>
      <c r="F69" s="371">
        <f t="shared" ref="F69:L69" si="14">SUM(F41:F68)</f>
        <v>81.360000000000014</v>
      </c>
      <c r="G69" s="371">
        <f t="shared" si="14"/>
        <v>81.360000000000014</v>
      </c>
      <c r="H69" s="371">
        <f t="shared" si="14"/>
        <v>81.360000000000014</v>
      </c>
      <c r="I69" s="371">
        <f t="shared" si="14"/>
        <v>81.360000000000014</v>
      </c>
      <c r="J69" s="372">
        <f t="shared" si="14"/>
        <v>81.360000000000014</v>
      </c>
      <c r="K69" s="373">
        <f t="shared" si="14"/>
        <v>1.58</v>
      </c>
      <c r="L69" s="374">
        <f t="shared" si="14"/>
        <v>82.94</v>
      </c>
      <c r="M69" s="519">
        <f t="shared" ref="M69:P69" si="15">SUM(M41:M68)</f>
        <v>82.94</v>
      </c>
      <c r="N69" s="520">
        <f t="shared" si="15"/>
        <v>82.94</v>
      </c>
      <c r="O69" s="521">
        <f t="shared" si="15"/>
        <v>82.94</v>
      </c>
      <c r="P69" s="522">
        <f t="shared" si="15"/>
        <v>82.94</v>
      </c>
      <c r="Q69" s="500"/>
      <c r="R69" s="500"/>
      <c r="S69" s="500"/>
    </row>
    <row r="70" spans="1:36" ht="13.5" thickBot="1">
      <c r="B70" s="278"/>
      <c r="C70" s="275" t="s">
        <v>507</v>
      </c>
      <c r="D70" s="279"/>
      <c r="E70" s="272"/>
      <c r="F70" s="272"/>
      <c r="G70" s="272"/>
      <c r="H70" s="272"/>
      <c r="I70" s="272"/>
      <c r="J70" s="280"/>
      <c r="K70" s="233"/>
      <c r="L70" s="234"/>
      <c r="M70" s="528"/>
      <c r="N70" s="529"/>
      <c r="O70" s="530"/>
      <c r="P70" s="526">
        <f t="shared" si="1"/>
        <v>0</v>
      </c>
      <c r="Q70" s="500"/>
      <c r="R70" s="500"/>
      <c r="S70" s="500"/>
    </row>
    <row r="71" spans="1:36" ht="26.25" thickBot="1">
      <c r="B71" s="243">
        <v>62</v>
      </c>
      <c r="C71" s="244" t="s">
        <v>508</v>
      </c>
      <c r="D71" s="245">
        <f>F71*12</f>
        <v>514.79999999999995</v>
      </c>
      <c r="E71" s="246">
        <v>1</v>
      </c>
      <c r="F71" s="246">
        <v>42.9</v>
      </c>
      <c r="G71" s="348">
        <v>42.9</v>
      </c>
      <c r="H71" s="349">
        <v>42.9</v>
      </c>
      <c r="I71" s="349">
        <v>42.9</v>
      </c>
      <c r="J71" s="350">
        <v>42.9</v>
      </c>
      <c r="K71" s="351"/>
      <c r="L71" s="349">
        <v>42.9</v>
      </c>
      <c r="M71" s="395">
        <v>42.9</v>
      </c>
      <c r="N71" s="527">
        <v>42.9</v>
      </c>
      <c r="O71" s="531">
        <v>42.9</v>
      </c>
      <c r="P71" s="532">
        <f t="shared" ref="P71:P74" si="16">O71</f>
        <v>42.9</v>
      </c>
      <c r="Q71" s="500"/>
      <c r="R71" s="500"/>
      <c r="S71" s="500"/>
    </row>
    <row r="72" spans="1:36" ht="13.5" thickBot="1">
      <c r="B72" s="368"/>
      <c r="C72" s="369" t="s">
        <v>509</v>
      </c>
      <c r="D72" s="370">
        <f>D71</f>
        <v>514.79999999999995</v>
      </c>
      <c r="E72" s="371"/>
      <c r="F72" s="371">
        <f>F71</f>
        <v>42.9</v>
      </c>
      <c r="G72" s="371">
        <f>G71</f>
        <v>42.9</v>
      </c>
      <c r="H72" s="371">
        <f>H71</f>
        <v>42.9</v>
      </c>
      <c r="I72" s="371">
        <f>I71</f>
        <v>42.9</v>
      </c>
      <c r="J72" s="372">
        <f>J71</f>
        <v>42.9</v>
      </c>
      <c r="K72" s="373"/>
      <c r="L72" s="374">
        <f>L71</f>
        <v>42.9</v>
      </c>
      <c r="M72" s="519">
        <f>M71</f>
        <v>42.9</v>
      </c>
      <c r="N72" s="520">
        <f>N71</f>
        <v>42.9</v>
      </c>
      <c r="O72" s="521">
        <f>O71</f>
        <v>42.9</v>
      </c>
      <c r="P72" s="522">
        <f>P71</f>
        <v>42.9</v>
      </c>
      <c r="Q72" s="500"/>
      <c r="R72" s="500"/>
      <c r="S72" s="500"/>
    </row>
    <row r="73" spans="1:36" ht="13.5" thickBot="1">
      <c r="B73" s="274"/>
      <c r="C73" s="275" t="s">
        <v>510</v>
      </c>
      <c r="D73" s="276"/>
      <c r="E73" s="273"/>
      <c r="F73" s="273"/>
      <c r="G73" s="273"/>
      <c r="H73" s="277"/>
      <c r="I73" s="277"/>
      <c r="J73" s="277"/>
      <c r="K73" s="235"/>
      <c r="L73" s="236"/>
      <c r="M73" s="523"/>
      <c r="N73" s="524"/>
      <c r="O73" s="525"/>
      <c r="P73" s="526">
        <f t="shared" si="16"/>
        <v>0</v>
      </c>
      <c r="Q73" s="533" t="s">
        <v>511</v>
      </c>
      <c r="R73" s="508" t="s">
        <v>512</v>
      </c>
    </row>
    <row r="74" spans="1:36">
      <c r="B74" s="206">
        <v>63</v>
      </c>
      <c r="C74" s="382" t="s">
        <v>212</v>
      </c>
      <c r="D74" s="254">
        <f>F74*12</f>
        <v>16752.12</v>
      </c>
      <c r="E74" s="383"/>
      <c r="F74" s="384">
        <f>ROUND(1125*1.2409,2)</f>
        <v>1396.01</v>
      </c>
      <c r="G74" s="385">
        <f>ROUND(1350*1.2409,2)</f>
        <v>1675.22</v>
      </c>
      <c r="H74" s="386">
        <f>ROUND(1485*1.2409,2)</f>
        <v>1842.74</v>
      </c>
      <c r="I74" s="386">
        <f>ROUND(1862*1.2359,2)</f>
        <v>2301.25</v>
      </c>
      <c r="J74" s="386">
        <f>ROUND(1963*1.2359,2)</f>
        <v>2426.0700000000002</v>
      </c>
      <c r="K74" s="212"/>
      <c r="L74" s="209">
        <f>ROUND(1963*1.2359,2)</f>
        <v>2426.0700000000002</v>
      </c>
      <c r="M74" s="392">
        <f>ROUND(2083*1.2359,2)</f>
        <v>2574.38</v>
      </c>
      <c r="N74" s="497">
        <f>ROUND(2083*1.2359,2)</f>
        <v>2574.38</v>
      </c>
      <c r="O74" s="498">
        <f>ROUND(2083*1.2359,2)</f>
        <v>2574.38</v>
      </c>
      <c r="P74" s="499">
        <f t="shared" si="16"/>
        <v>2574.38</v>
      </c>
      <c r="Q74" s="533">
        <v>1303</v>
      </c>
      <c r="R74" s="508">
        <v>160</v>
      </c>
    </row>
    <row r="75" spans="1:36" ht="13.5" thickBot="1">
      <c r="B75" s="247">
        <v>64</v>
      </c>
      <c r="C75" s="248" t="s">
        <v>513</v>
      </c>
      <c r="D75" s="225">
        <f>F75*12</f>
        <v>6403.08</v>
      </c>
      <c r="E75" s="226"/>
      <c r="F75" s="249">
        <f>ROUND(430*1.2409,2)</f>
        <v>533.59</v>
      </c>
      <c r="G75" s="250">
        <f>ROUND((430+76)*1.2409,2)</f>
        <v>627.9</v>
      </c>
      <c r="H75" s="251">
        <f>ROUND((506+46)*1.2409,2)</f>
        <v>684.98</v>
      </c>
      <c r="I75" s="251">
        <f>ROUND((552+147)*1.2359,2)</f>
        <v>863.89</v>
      </c>
      <c r="J75" s="251">
        <f>ROUND((552+147)*1.2359,2)</f>
        <v>863.89</v>
      </c>
      <c r="K75" s="227"/>
      <c r="L75" s="226">
        <f>ROUND((552+147)*1.2359,2)</f>
        <v>863.89</v>
      </c>
      <c r="M75" s="396">
        <f>ROUND((552+147.45)*1.2359,2)</f>
        <v>864.45</v>
      </c>
      <c r="N75" s="534">
        <f>ROUND((552+147.45)*1.2359,2)</f>
        <v>864.45</v>
      </c>
      <c r="O75" s="502">
        <f>ROUND((552+147.45+22.76)*1.2359,2)</f>
        <v>892.58</v>
      </c>
      <c r="P75" s="503">
        <f>ROUND((552+147.45+22.76)*1.2359,2)</f>
        <v>892.58</v>
      </c>
    </row>
    <row r="76" spans="1:36" ht="26.25" thickBot="1">
      <c r="B76" s="256">
        <v>64</v>
      </c>
      <c r="C76" s="352" t="s">
        <v>514</v>
      </c>
      <c r="D76" s="258"/>
      <c r="E76" s="259"/>
      <c r="F76" s="353"/>
      <c r="G76" s="353"/>
      <c r="H76" s="354"/>
      <c r="I76" s="354"/>
      <c r="J76" s="354"/>
      <c r="K76" s="346"/>
      <c r="L76" s="259"/>
      <c r="M76" s="394"/>
      <c r="N76" s="516">
        <f>ROUND((Q77)*1.2359,2)</f>
        <v>1095.6300000000001</v>
      </c>
      <c r="O76" s="517">
        <f>ROUND((886.5)*1.2359,2)</f>
        <v>1095.6300000000001</v>
      </c>
      <c r="P76" s="518">
        <v>0</v>
      </c>
      <c r="Q76" s="535" t="s">
        <v>515</v>
      </c>
      <c r="R76" s="508" t="s">
        <v>512</v>
      </c>
    </row>
    <row r="77" spans="1:36" ht="13.5" thickBot="1">
      <c r="B77" s="228"/>
      <c r="C77" s="229" t="s">
        <v>516</v>
      </c>
      <c r="D77" s="230">
        <f>SUM(D74:D75)</f>
        <v>23155.199999999997</v>
      </c>
      <c r="E77" s="231"/>
      <c r="F77" s="231">
        <f>SUM(F74:F75)</f>
        <v>1929.6</v>
      </c>
      <c r="G77" s="231">
        <f>SUM(G74:G75)</f>
        <v>2303.12</v>
      </c>
      <c r="H77" s="231">
        <f>SUM(H74:H75)</f>
        <v>2527.7200000000003</v>
      </c>
      <c r="I77" s="231">
        <f>SUM(I74:I75)</f>
        <v>3165.14</v>
      </c>
      <c r="J77" s="232">
        <f>SUM(J74:J75)</f>
        <v>3289.96</v>
      </c>
      <c r="K77" s="233"/>
      <c r="L77" s="234">
        <f>SUM(L74:L75)</f>
        <v>3289.96</v>
      </c>
      <c r="M77" s="528">
        <f>SUM(M74:M75)</f>
        <v>3438.83</v>
      </c>
      <c r="N77" s="529">
        <f>SUM(N74:N76)</f>
        <v>4534.46</v>
      </c>
      <c r="O77" s="530">
        <f>SUM(O74:O76)</f>
        <v>4562.59</v>
      </c>
      <c r="P77" s="536">
        <f>SUM(P74:P76)</f>
        <v>3466.96</v>
      </c>
      <c r="Q77" s="533">
        <v>886.5</v>
      </c>
      <c r="R77" s="508">
        <f>ROUND(R74*Q77/Q74,2)</f>
        <v>108.86</v>
      </c>
      <c r="AD77" s="252"/>
      <c r="AE77" s="252"/>
      <c r="AF77" s="252"/>
      <c r="AG77" s="252"/>
      <c r="AH77" s="252"/>
      <c r="AI77" s="252"/>
    </row>
    <row r="78" spans="1:36" ht="13.5" thickBot="1">
      <c r="B78" s="357"/>
      <c r="C78" s="358" t="s">
        <v>517</v>
      </c>
      <c r="D78" s="359"/>
      <c r="E78" s="360"/>
      <c r="F78" s="360"/>
      <c r="G78" s="360"/>
      <c r="H78" s="360"/>
      <c r="I78" s="360"/>
      <c r="J78" s="361"/>
      <c r="K78" s="355"/>
      <c r="L78" s="356"/>
      <c r="M78" s="537"/>
      <c r="N78" s="538"/>
      <c r="O78" s="539"/>
      <c r="P78" s="540">
        <f>O78</f>
        <v>0</v>
      </c>
    </row>
    <row r="79" spans="1:36" ht="25.5">
      <c r="B79" s="206">
        <v>65</v>
      </c>
      <c r="C79" s="253" t="s">
        <v>518</v>
      </c>
      <c r="D79" s="254">
        <v>569.14872425313456</v>
      </c>
      <c r="E79" s="209">
        <v>5</v>
      </c>
      <c r="F79" s="209">
        <f>ROUND(D79/5/12,2)</f>
        <v>9.49</v>
      </c>
      <c r="G79" s="210">
        <v>9.49</v>
      </c>
      <c r="H79" s="209">
        <v>9.49</v>
      </c>
      <c r="I79" s="209">
        <v>9.49</v>
      </c>
      <c r="J79" s="211">
        <v>9.49</v>
      </c>
      <c r="K79" s="212"/>
      <c r="L79" s="209">
        <v>9.49</v>
      </c>
      <c r="M79" s="392">
        <v>9.49</v>
      </c>
      <c r="N79" s="497">
        <v>9.49</v>
      </c>
      <c r="O79" s="502">
        <v>9.49</v>
      </c>
      <c r="P79" s="540">
        <f t="shared" ref="P79:P89" si="17">O79</f>
        <v>9.49</v>
      </c>
      <c r="AA79" s="264"/>
      <c r="AB79" s="264"/>
      <c r="AC79" s="264"/>
      <c r="AD79" s="264"/>
      <c r="AE79" s="264"/>
      <c r="AF79" s="264"/>
      <c r="AG79" s="264"/>
      <c r="AH79" s="264"/>
      <c r="AI79" s="264"/>
    </row>
    <row r="80" spans="1:36" s="264" customFormat="1">
      <c r="B80" s="213">
        <v>66</v>
      </c>
      <c r="C80" s="221" t="s">
        <v>519</v>
      </c>
      <c r="D80" s="255">
        <f>228</f>
        <v>228</v>
      </c>
      <c r="E80" s="216">
        <v>5</v>
      </c>
      <c r="F80" s="216">
        <f t="shared" ref="F80:F81" si="18">ROUND(D80/5/12,2)</f>
        <v>3.8</v>
      </c>
      <c r="G80" s="210">
        <v>3.8</v>
      </c>
      <c r="H80" s="209">
        <v>3.8</v>
      </c>
      <c r="I80" s="209">
        <v>3.8</v>
      </c>
      <c r="J80" s="211">
        <v>3.8</v>
      </c>
      <c r="K80" s="212"/>
      <c r="L80" s="209">
        <v>3.8</v>
      </c>
      <c r="M80" s="392">
        <v>3.8</v>
      </c>
      <c r="N80" s="497">
        <v>3.8</v>
      </c>
      <c r="O80" s="502">
        <v>3.8</v>
      </c>
      <c r="P80" s="540">
        <f t="shared" si="17"/>
        <v>3.8</v>
      </c>
      <c r="Q80" s="485"/>
      <c r="R80" s="485"/>
      <c r="S80" s="485"/>
      <c r="U80" s="485"/>
      <c r="V80" s="512"/>
      <c r="W80" s="512"/>
      <c r="X80" s="512"/>
      <c r="Y80" s="512"/>
      <c r="Z80" s="512"/>
      <c r="AJ80" s="334"/>
    </row>
    <row r="81" spans="2:36" s="264" customFormat="1" ht="45" customHeight="1">
      <c r="B81" s="213">
        <f t="shared" ref="B81:B89" si="19">B80+1</f>
        <v>67</v>
      </c>
      <c r="C81" s="221" t="s">
        <v>520</v>
      </c>
      <c r="D81" s="215">
        <v>160</v>
      </c>
      <c r="E81" s="216">
        <v>5</v>
      </c>
      <c r="F81" s="216">
        <f t="shared" si="18"/>
        <v>2.67</v>
      </c>
      <c r="G81" s="210">
        <v>2.67</v>
      </c>
      <c r="H81" s="209">
        <v>2.67</v>
      </c>
      <c r="I81" s="209">
        <v>2.67</v>
      </c>
      <c r="J81" s="211">
        <v>2.67</v>
      </c>
      <c r="K81" s="212"/>
      <c r="L81" s="209">
        <v>2.67</v>
      </c>
      <c r="M81" s="392">
        <v>2.67</v>
      </c>
      <c r="N81" s="497">
        <v>2.67</v>
      </c>
      <c r="O81" s="502">
        <v>2.67</v>
      </c>
      <c r="P81" s="540">
        <f t="shared" si="17"/>
        <v>2.67</v>
      </c>
      <c r="Q81" s="485"/>
      <c r="R81" s="485"/>
      <c r="S81" s="485"/>
      <c r="U81" s="485"/>
      <c r="V81" s="512"/>
      <c r="W81" s="512"/>
      <c r="X81" s="512"/>
      <c r="Y81" s="512"/>
      <c r="Z81" s="512"/>
      <c r="AJ81" s="334"/>
    </row>
    <row r="82" spans="2:36" s="264" customFormat="1">
      <c r="B82" s="213">
        <f t="shared" si="19"/>
        <v>68</v>
      </c>
      <c r="C82" s="221" t="s">
        <v>521</v>
      </c>
      <c r="D82" s="215">
        <v>180</v>
      </c>
      <c r="E82" s="216">
        <v>1</v>
      </c>
      <c r="F82" s="216">
        <f>ROUND(D82/12,2)</f>
        <v>15</v>
      </c>
      <c r="G82" s="210">
        <v>15</v>
      </c>
      <c r="H82" s="209">
        <v>15</v>
      </c>
      <c r="I82" s="209">
        <v>15</v>
      </c>
      <c r="J82" s="211">
        <v>15</v>
      </c>
      <c r="K82" s="212"/>
      <c r="L82" s="209">
        <v>15</v>
      </c>
      <c r="M82" s="392">
        <v>15</v>
      </c>
      <c r="N82" s="497">
        <v>15</v>
      </c>
      <c r="O82" s="502">
        <v>15</v>
      </c>
      <c r="P82" s="540">
        <f t="shared" si="17"/>
        <v>15</v>
      </c>
      <c r="Q82" s="485"/>
      <c r="R82" s="485"/>
      <c r="S82" s="485"/>
      <c r="U82" s="485"/>
      <c r="V82" s="512"/>
      <c r="W82" s="512"/>
      <c r="X82" s="512"/>
      <c r="Y82" s="512"/>
      <c r="Z82" s="512"/>
      <c r="AJ82" s="334"/>
    </row>
    <row r="83" spans="2:36" s="264" customFormat="1">
      <c r="B83" s="213">
        <f t="shared" si="19"/>
        <v>69</v>
      </c>
      <c r="C83" s="221" t="s">
        <v>522</v>
      </c>
      <c r="D83" s="215">
        <f>F83*12</f>
        <v>420</v>
      </c>
      <c r="E83" s="216">
        <v>1</v>
      </c>
      <c r="F83" s="216">
        <v>35</v>
      </c>
      <c r="G83" s="210">
        <v>35</v>
      </c>
      <c r="H83" s="209">
        <v>35</v>
      </c>
      <c r="I83" s="209">
        <v>35</v>
      </c>
      <c r="J83" s="211">
        <v>35</v>
      </c>
      <c r="K83" s="212"/>
      <c r="L83" s="209">
        <v>35</v>
      </c>
      <c r="M83" s="392">
        <v>35</v>
      </c>
      <c r="N83" s="497">
        <v>35</v>
      </c>
      <c r="O83" s="502">
        <v>35</v>
      </c>
      <c r="P83" s="540">
        <f t="shared" si="17"/>
        <v>35</v>
      </c>
      <c r="Q83" s="485"/>
      <c r="R83" s="485"/>
      <c r="S83" s="485"/>
      <c r="U83" s="485"/>
      <c r="V83" s="512"/>
      <c r="W83" s="512"/>
      <c r="X83" s="512"/>
      <c r="Y83" s="512"/>
      <c r="Z83" s="512"/>
      <c r="AJ83" s="334"/>
    </row>
    <row r="84" spans="2:36" s="264" customFormat="1">
      <c r="B84" s="213">
        <f t="shared" si="19"/>
        <v>70</v>
      </c>
      <c r="C84" s="221" t="s">
        <v>523</v>
      </c>
      <c r="D84" s="215">
        <f>119*2</f>
        <v>238</v>
      </c>
      <c r="E84" s="216">
        <v>3</v>
      </c>
      <c r="F84" s="216">
        <f>ROUND(D84/3/12,2)</f>
        <v>6.61</v>
      </c>
      <c r="G84" s="210">
        <v>6.61</v>
      </c>
      <c r="H84" s="209">
        <v>6.61</v>
      </c>
      <c r="I84" s="209">
        <v>6.61</v>
      </c>
      <c r="J84" s="211">
        <v>6.61</v>
      </c>
      <c r="K84" s="212"/>
      <c r="L84" s="209">
        <v>6.61</v>
      </c>
      <c r="M84" s="392">
        <v>6.61</v>
      </c>
      <c r="N84" s="497">
        <v>6.61</v>
      </c>
      <c r="O84" s="502">
        <v>6.61</v>
      </c>
      <c r="P84" s="540">
        <f t="shared" si="17"/>
        <v>6.61</v>
      </c>
      <c r="Q84" s="485"/>
      <c r="R84" s="485"/>
      <c r="S84" s="485"/>
      <c r="U84" s="485"/>
      <c r="V84" s="512"/>
      <c r="W84" s="512"/>
      <c r="X84" s="512"/>
      <c r="Y84" s="512"/>
      <c r="Z84" s="512"/>
      <c r="AJ84" s="334"/>
    </row>
    <row r="85" spans="2:36" s="264" customFormat="1">
      <c r="B85" s="213">
        <f t="shared" si="19"/>
        <v>71</v>
      </c>
      <c r="C85" s="221" t="s">
        <v>524</v>
      </c>
      <c r="D85" s="215">
        <f>98.64*2</f>
        <v>197.28</v>
      </c>
      <c r="E85" s="216">
        <v>1</v>
      </c>
      <c r="F85" s="216">
        <f>ROUND(D85/12,2)</f>
        <v>16.440000000000001</v>
      </c>
      <c r="G85" s="210">
        <v>16.440000000000001</v>
      </c>
      <c r="H85" s="209">
        <v>16.440000000000001</v>
      </c>
      <c r="I85" s="209">
        <v>16.440000000000001</v>
      </c>
      <c r="J85" s="211">
        <v>16.440000000000001</v>
      </c>
      <c r="K85" s="212"/>
      <c r="L85" s="209">
        <v>16.440000000000001</v>
      </c>
      <c r="M85" s="392">
        <v>16.440000000000001</v>
      </c>
      <c r="N85" s="497">
        <v>16.440000000000001</v>
      </c>
      <c r="O85" s="502">
        <v>16.440000000000001</v>
      </c>
      <c r="P85" s="540">
        <f t="shared" si="17"/>
        <v>16.440000000000001</v>
      </c>
      <c r="Q85" s="485"/>
      <c r="R85" s="485"/>
      <c r="S85" s="485"/>
      <c r="U85" s="485"/>
      <c r="V85" s="512"/>
      <c r="W85" s="512"/>
      <c r="X85" s="512"/>
      <c r="Y85" s="512"/>
      <c r="Z85" s="512"/>
      <c r="AA85" s="80"/>
      <c r="AB85" s="80"/>
      <c r="AC85" s="80"/>
      <c r="AD85" s="80"/>
      <c r="AE85" s="80"/>
      <c r="AF85" s="80"/>
      <c r="AG85" s="80"/>
      <c r="AH85" s="80"/>
      <c r="AI85" s="80"/>
      <c r="AJ85" s="334"/>
    </row>
    <row r="86" spans="2:36" ht="25.5">
      <c r="B86" s="213">
        <f t="shared" si="19"/>
        <v>72</v>
      </c>
      <c r="C86" s="221" t="s">
        <v>525</v>
      </c>
      <c r="D86" s="215">
        <f>F86*12</f>
        <v>707.16</v>
      </c>
      <c r="E86" s="216">
        <v>1</v>
      </c>
      <c r="F86" s="216">
        <f>ROUND(27.95+(15.49*2),2)</f>
        <v>58.93</v>
      </c>
      <c r="G86" s="210">
        <v>58.93</v>
      </c>
      <c r="H86" s="209">
        <v>58.93</v>
      </c>
      <c r="I86" s="209">
        <v>58.93</v>
      </c>
      <c r="J86" s="211">
        <v>58.93</v>
      </c>
      <c r="K86" s="212"/>
      <c r="L86" s="209">
        <v>58.93</v>
      </c>
      <c r="M86" s="392">
        <v>58.93</v>
      </c>
      <c r="N86" s="497">
        <v>58.93</v>
      </c>
      <c r="O86" s="502">
        <v>58.93</v>
      </c>
      <c r="P86" s="540">
        <f t="shared" si="17"/>
        <v>58.93</v>
      </c>
    </row>
    <row r="87" spans="2:36">
      <c r="B87" s="213">
        <f t="shared" si="19"/>
        <v>73</v>
      </c>
      <c r="C87" s="221" t="s">
        <v>526</v>
      </c>
      <c r="D87" s="215">
        <f>31.3*2</f>
        <v>62.6</v>
      </c>
      <c r="E87" s="216">
        <v>5</v>
      </c>
      <c r="F87" s="216">
        <f>ROUND(D87/5/12,2)</f>
        <v>1.04</v>
      </c>
      <c r="G87" s="210">
        <v>1.04</v>
      </c>
      <c r="H87" s="209">
        <v>1.04</v>
      </c>
      <c r="I87" s="209">
        <v>1.04</v>
      </c>
      <c r="J87" s="211">
        <v>1.04</v>
      </c>
      <c r="K87" s="212"/>
      <c r="L87" s="209">
        <v>1.04</v>
      </c>
      <c r="M87" s="392">
        <v>1.04</v>
      </c>
      <c r="N87" s="497">
        <v>1.04</v>
      </c>
      <c r="O87" s="502">
        <v>1.04</v>
      </c>
      <c r="P87" s="540">
        <f t="shared" si="17"/>
        <v>1.04</v>
      </c>
      <c r="AA87" s="264"/>
      <c r="AB87" s="264"/>
      <c r="AC87" s="264"/>
      <c r="AD87" s="264"/>
      <c r="AE87" s="264"/>
      <c r="AF87" s="264"/>
      <c r="AG87" s="264"/>
      <c r="AH87" s="264"/>
      <c r="AI87" s="264"/>
    </row>
    <row r="88" spans="2:36" s="264" customFormat="1" ht="51">
      <c r="B88" s="213">
        <f t="shared" si="19"/>
        <v>74</v>
      </c>
      <c r="C88" s="221" t="s">
        <v>527</v>
      </c>
      <c r="D88" s="215">
        <v>475</v>
      </c>
      <c r="E88" s="216">
        <v>5</v>
      </c>
      <c r="F88" s="216">
        <f>ROUND(D88/5/12,2)</f>
        <v>7.92</v>
      </c>
      <c r="G88" s="210">
        <v>7.92</v>
      </c>
      <c r="H88" s="209">
        <v>7.92</v>
      </c>
      <c r="I88" s="209">
        <v>7.92</v>
      </c>
      <c r="J88" s="211">
        <v>7.92</v>
      </c>
      <c r="K88" s="212"/>
      <c r="L88" s="209">
        <v>7.92</v>
      </c>
      <c r="M88" s="392">
        <v>7.92</v>
      </c>
      <c r="N88" s="497">
        <v>7.92</v>
      </c>
      <c r="O88" s="502">
        <v>7.92</v>
      </c>
      <c r="P88" s="540">
        <f t="shared" si="17"/>
        <v>7.92</v>
      </c>
      <c r="Q88" s="485"/>
      <c r="R88" s="485"/>
      <c r="S88" s="485"/>
      <c r="U88" s="485"/>
      <c r="V88" s="512"/>
      <c r="W88" s="512"/>
      <c r="X88" s="512"/>
      <c r="Y88" s="512"/>
      <c r="Z88" s="512"/>
      <c r="AA88" s="80"/>
      <c r="AB88" s="80"/>
      <c r="AC88" s="80"/>
      <c r="AD88" s="80"/>
      <c r="AE88" s="80"/>
      <c r="AF88" s="80"/>
      <c r="AG88" s="80"/>
      <c r="AH88" s="80"/>
      <c r="AI88" s="80"/>
      <c r="AJ88" s="334"/>
    </row>
    <row r="89" spans="2:36" ht="26.25" thickBot="1">
      <c r="B89" s="256">
        <f t="shared" si="19"/>
        <v>75</v>
      </c>
      <c r="C89" s="257" t="s">
        <v>528</v>
      </c>
      <c r="D89" s="258">
        <f>359.4*1.21*2</f>
        <v>869.74799999999993</v>
      </c>
      <c r="E89" s="259">
        <v>1</v>
      </c>
      <c r="F89" s="259">
        <f>ROUND(D89/12,2)</f>
        <v>72.48</v>
      </c>
      <c r="G89" s="348">
        <v>72.48</v>
      </c>
      <c r="H89" s="349">
        <v>72.48</v>
      </c>
      <c r="I89" s="349">
        <v>72.48</v>
      </c>
      <c r="J89" s="350">
        <v>72.48</v>
      </c>
      <c r="K89" s="351"/>
      <c r="L89" s="349">
        <v>72.48</v>
      </c>
      <c r="M89" s="395">
        <v>72.48</v>
      </c>
      <c r="N89" s="527">
        <v>72.48</v>
      </c>
      <c r="O89" s="517">
        <v>72.48</v>
      </c>
      <c r="P89" s="540">
        <f t="shared" si="17"/>
        <v>72.48</v>
      </c>
    </row>
    <row r="90" spans="2:36" ht="13.5" thickBot="1">
      <c r="B90" s="228"/>
      <c r="C90" s="229" t="s">
        <v>529</v>
      </c>
      <c r="D90" s="230">
        <f>SUM(D79:D89)</f>
        <v>4106.9367242531343</v>
      </c>
      <c r="E90" s="231"/>
      <c r="F90" s="231">
        <f>SUM(F79:F89)</f>
        <v>229.38</v>
      </c>
      <c r="G90" s="260">
        <f>SUM(G79:G89)</f>
        <v>229.38</v>
      </c>
      <c r="H90" s="231">
        <f>SUM(H79:H89)</f>
        <v>229.38</v>
      </c>
      <c r="I90" s="231">
        <f>SUM(I79:I89)</f>
        <v>229.38</v>
      </c>
      <c r="J90" s="232">
        <f>SUM(J79:J89)</f>
        <v>229.38</v>
      </c>
      <c r="K90" s="233"/>
      <c r="L90" s="234">
        <f>SUM(L79:L89)</f>
        <v>229.38</v>
      </c>
      <c r="M90" s="528">
        <f>SUM(M79:M89)</f>
        <v>229.38</v>
      </c>
      <c r="N90" s="529">
        <f>SUM(N79:N89)</f>
        <v>229.38</v>
      </c>
      <c r="O90" s="530">
        <f>SUM(O79:O89)</f>
        <v>229.38</v>
      </c>
      <c r="P90" s="530">
        <f>SUM(P79:P89)</f>
        <v>229.38</v>
      </c>
    </row>
    <row r="91" spans="2:36" ht="13.5" thickBot="1">
      <c r="B91" s="357"/>
      <c r="C91" s="362" t="s">
        <v>530</v>
      </c>
      <c r="D91" s="363">
        <f>F91*12</f>
        <v>2461.1999999999998</v>
      </c>
      <c r="E91" s="364"/>
      <c r="F91" s="364">
        <v>205.1</v>
      </c>
      <c r="G91" s="364">
        <v>205.1</v>
      </c>
      <c r="H91" s="364">
        <v>205.1</v>
      </c>
      <c r="I91" s="364">
        <v>205.1</v>
      </c>
      <c r="J91" s="365">
        <v>205.1</v>
      </c>
      <c r="K91" s="366"/>
      <c r="L91" s="367">
        <v>205.1</v>
      </c>
      <c r="M91" s="541">
        <v>205.1</v>
      </c>
      <c r="N91" s="542">
        <v>205.1</v>
      </c>
      <c r="O91" s="543">
        <v>205.1</v>
      </c>
      <c r="P91" s="543">
        <v>205.1</v>
      </c>
      <c r="AD91" s="266"/>
      <c r="AE91" s="266"/>
      <c r="AF91" s="266"/>
      <c r="AG91" s="266"/>
      <c r="AH91" s="266"/>
      <c r="AI91" s="266"/>
    </row>
    <row r="92" spans="2:36" ht="13.5" thickBot="1">
      <c r="B92" s="375"/>
      <c r="C92" s="376" t="s">
        <v>531</v>
      </c>
      <c r="D92" s="377">
        <f>G92*12</f>
        <v>1587.096</v>
      </c>
      <c r="E92" s="378"/>
      <c r="F92" s="378"/>
      <c r="G92" s="378">
        <v>132.25800000000001</v>
      </c>
      <c r="H92" s="378">
        <v>132.25800000000001</v>
      </c>
      <c r="I92" s="378">
        <v>132.25800000000001</v>
      </c>
      <c r="J92" s="379">
        <v>132.25800000000001</v>
      </c>
      <c r="K92" s="380"/>
      <c r="L92" s="381">
        <v>132.25800000000001</v>
      </c>
      <c r="M92" s="544">
        <v>132.25800000000001</v>
      </c>
      <c r="N92" s="545">
        <v>132.25800000000001</v>
      </c>
      <c r="O92" s="546">
        <v>132.25800000000001</v>
      </c>
      <c r="P92" s="546">
        <v>132.25800000000001</v>
      </c>
      <c r="AD92" s="267"/>
      <c r="AE92" s="267"/>
      <c r="AF92" s="267"/>
      <c r="AG92" s="267"/>
      <c r="AH92" s="267"/>
      <c r="AI92" s="267"/>
    </row>
    <row r="93" spans="2:36" ht="13.5" thickBot="1">
      <c r="B93" s="278"/>
      <c r="C93" s="389" t="s">
        <v>532</v>
      </c>
      <c r="D93" s="279">
        <f>D39+D69+D72+D77+D90+D91+D92</f>
        <v>37390.475538304971</v>
      </c>
      <c r="E93" s="280"/>
      <c r="F93" s="390">
        <f t="shared" ref="F93:O93" si="20">(F39+F69+F72+F77+F90+F91+F92)</f>
        <v>2528.9299999999998</v>
      </c>
      <c r="G93" s="390">
        <f t="shared" si="20"/>
        <v>3034.7079999999996</v>
      </c>
      <c r="H93" s="390">
        <f t="shared" si="20"/>
        <v>3259.308</v>
      </c>
      <c r="I93" s="390">
        <f t="shared" si="20"/>
        <v>3896.7279999999996</v>
      </c>
      <c r="J93" s="390">
        <f t="shared" si="20"/>
        <v>4021.5479999999998</v>
      </c>
      <c r="K93" s="233">
        <f t="shared" si="20"/>
        <v>1.58</v>
      </c>
      <c r="L93" s="234">
        <f t="shared" si="20"/>
        <v>4023.1279999999997</v>
      </c>
      <c r="M93" s="528">
        <f t="shared" si="20"/>
        <v>4171.9979999999996</v>
      </c>
      <c r="N93" s="529">
        <f t="shared" si="20"/>
        <v>5267.6280000000006</v>
      </c>
      <c r="O93" s="530">
        <f t="shared" si="20"/>
        <v>5295.7580000000007</v>
      </c>
      <c r="P93" s="530">
        <f t="shared" ref="P93" si="21">(P39+P69+P72+P77+P90+P91+P92)</f>
        <v>4200.1279999999997</v>
      </c>
      <c r="Y93" s="547"/>
      <c r="AD93" s="267"/>
      <c r="AE93" s="267"/>
      <c r="AF93" s="267"/>
      <c r="AG93" s="267"/>
      <c r="AH93" s="267"/>
      <c r="AI93" s="267"/>
    </row>
    <row r="94" spans="2:36" ht="30" customHeight="1" thickBot="1">
      <c r="B94" s="621" t="s">
        <v>533</v>
      </c>
      <c r="C94" s="622"/>
      <c r="D94" s="622"/>
      <c r="E94" s="623"/>
      <c r="F94" s="387">
        <f t="shared" ref="F94:M94" si="22">ROUND(F93/1579,6)</f>
        <v>1.601602</v>
      </c>
      <c r="G94" s="387">
        <f t="shared" si="22"/>
        <v>1.921918</v>
      </c>
      <c r="H94" s="387">
        <f t="shared" si="22"/>
        <v>2.0641600000000002</v>
      </c>
      <c r="I94" s="387">
        <f t="shared" si="22"/>
        <v>2.4678450000000001</v>
      </c>
      <c r="J94" s="387">
        <f t="shared" si="22"/>
        <v>2.5468959999999998</v>
      </c>
      <c r="K94" s="388">
        <f t="shared" si="22"/>
        <v>1.0009999999999999E-3</v>
      </c>
      <c r="L94" s="388">
        <f t="shared" si="22"/>
        <v>2.5478960000000002</v>
      </c>
      <c r="M94" s="548">
        <f t="shared" si="22"/>
        <v>2.6421770000000002</v>
      </c>
      <c r="N94" s="549">
        <f>ROUND(N93/1579,6)</f>
        <v>3.3360530000000002</v>
      </c>
      <c r="O94" s="550">
        <f t="shared" ref="O94:P94" si="23">ROUND(O93/1579,6)</f>
        <v>3.3538679999999998</v>
      </c>
      <c r="P94" s="551">
        <f t="shared" si="23"/>
        <v>2.6599919999999999</v>
      </c>
      <c r="Q94" s="533" t="s">
        <v>534</v>
      </c>
      <c r="R94" s="552">
        <f>ROUND(R77/21,0)</f>
        <v>5</v>
      </c>
      <c r="S94" s="579"/>
      <c r="AD94" s="263"/>
      <c r="AE94" s="417"/>
      <c r="AF94" s="417"/>
      <c r="AG94" s="417"/>
      <c r="AH94" s="417"/>
      <c r="AI94" s="417"/>
    </row>
    <row r="95" spans="2:36" ht="13.5" thickBot="1">
      <c r="B95" s="268"/>
      <c r="C95" s="269" t="s">
        <v>535</v>
      </c>
      <c r="D95" s="269"/>
      <c r="E95" s="270"/>
      <c r="F95" s="261">
        <f>ROUND(F74/1579,6)</f>
        <v>0.88410999999999995</v>
      </c>
      <c r="G95" s="261">
        <f>ROUND(G74/1579,6)</f>
        <v>1.060937</v>
      </c>
      <c r="H95" s="261">
        <f>ROUND(H74/1579,6)</f>
        <v>1.16703</v>
      </c>
      <c r="I95" s="261">
        <f>ROUND(I74/1579,6)</f>
        <v>1.4574100000000001</v>
      </c>
      <c r="J95" s="261">
        <f>ROUND(J74/1579,6)</f>
        <v>1.5364599999999999</v>
      </c>
      <c r="K95" s="262"/>
      <c r="L95" s="262">
        <f>ROUND(L74/1579,6)</f>
        <v>1.5364599999999999</v>
      </c>
      <c r="M95" s="553">
        <f>ROUND(M74/1579,6)</f>
        <v>1.6303859999999999</v>
      </c>
      <c r="N95" s="554">
        <f>ROUND(N74/1579,6)</f>
        <v>1.6303859999999999</v>
      </c>
      <c r="O95" s="555">
        <f>ROUND(O74/1579,6)</f>
        <v>1.6303859999999999</v>
      </c>
      <c r="P95" s="556">
        <f>ROUND(P74/1579,6)</f>
        <v>1.6303859999999999</v>
      </c>
      <c r="V95" s="557"/>
    </row>
    <row r="97" spans="1:36">
      <c r="M97" s="558"/>
      <c r="N97" s="558"/>
    </row>
    <row r="98" spans="1:36">
      <c r="M98" s="558"/>
      <c r="N98" s="558"/>
    </row>
    <row r="99" spans="1:36" s="11" customFormat="1">
      <c r="A99" s="80"/>
      <c r="B99" s="80"/>
      <c r="C99" s="80"/>
      <c r="D99" s="80"/>
      <c r="E99" s="80"/>
      <c r="F99" s="80"/>
      <c r="G99" s="80"/>
      <c r="H99" s="80"/>
      <c r="I99" s="80"/>
      <c r="J99" s="80"/>
      <c r="K99" s="80"/>
      <c r="L99" s="80"/>
      <c r="M99" s="558"/>
      <c r="N99" s="558"/>
      <c r="O99" s="558"/>
      <c r="P99" s="558"/>
      <c r="Q99" s="485"/>
      <c r="R99" s="485"/>
      <c r="S99" s="485"/>
      <c r="T99" s="485"/>
      <c r="U99" s="485"/>
      <c r="V99" s="512"/>
      <c r="W99" s="512"/>
      <c r="X99" s="512"/>
      <c r="Y99" s="512"/>
      <c r="Z99" s="512"/>
      <c r="AA99" s="80"/>
      <c r="AB99" s="80"/>
      <c r="AC99" s="80"/>
      <c r="AD99" s="80"/>
      <c r="AE99" s="80"/>
      <c r="AF99" s="80"/>
      <c r="AG99" s="80"/>
      <c r="AH99" s="80"/>
      <c r="AI99" s="80"/>
      <c r="AJ99" s="335"/>
    </row>
    <row r="100" spans="1:36" s="11" customFormat="1">
      <c r="A100" s="80"/>
      <c r="B100" s="80"/>
      <c r="C100" s="80"/>
      <c r="D100" s="80"/>
      <c r="E100" s="80"/>
      <c r="F100" s="80"/>
      <c r="G100" s="80"/>
      <c r="H100" s="80"/>
      <c r="I100" s="80"/>
      <c r="J100" s="80"/>
      <c r="K100" s="80"/>
      <c r="L100" s="80"/>
      <c r="M100" s="558"/>
      <c r="N100" s="558"/>
      <c r="O100" s="485"/>
      <c r="P100" s="485"/>
      <c r="Q100" s="485"/>
      <c r="R100" s="485"/>
      <c r="S100" s="485"/>
      <c r="T100" s="485"/>
      <c r="U100" s="485"/>
      <c r="V100" s="512"/>
      <c r="W100" s="512"/>
      <c r="X100" s="512"/>
      <c r="Y100" s="512"/>
      <c r="Z100" s="512"/>
      <c r="AA100" s="80"/>
      <c r="AB100" s="80"/>
      <c r="AC100" s="80"/>
      <c r="AD100" s="80"/>
      <c r="AE100" s="80"/>
      <c r="AF100" s="80"/>
      <c r="AG100" s="80"/>
      <c r="AH100" s="80"/>
      <c r="AI100" s="80"/>
      <c r="AJ100" s="335"/>
    </row>
  </sheetData>
  <autoFilter ref="B4:P95" xr:uid="{C9BA4B63-49D3-40E5-A8C1-D379BA8C8E9B}"/>
  <mergeCells count="6">
    <mergeCell ref="B94:E94"/>
    <mergeCell ref="T21:AJ21"/>
    <mergeCell ref="M1:O1"/>
    <mergeCell ref="B2:N2"/>
    <mergeCell ref="B3:F3"/>
    <mergeCell ref="K3:L3"/>
  </mergeCells>
  <pageMargins left="0.7" right="0.7" top="0.75" bottom="0.75" header="0.3" footer="0.3"/>
  <pageSetup paperSize="9" scale="25" orientation="portrait" verticalDpi="0" r:id="rId1"/>
  <colBreaks count="2" manualBreakCount="2">
    <brk id="16" max="1048575" man="1"/>
    <brk id="3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96C9B-E02D-4DAA-A0BA-79AAF40B178B}">
  <sheetPr>
    <tabColor theme="9" tint="0.79998168889431442"/>
  </sheetPr>
  <dimension ref="A1:AH100"/>
  <sheetViews>
    <sheetView view="pageBreakPreview" topLeftCell="F1" zoomScale="60" zoomScaleNormal="70" workbookViewId="0">
      <selection activeCell="M1" sqref="M1:O1"/>
    </sheetView>
  </sheetViews>
  <sheetFormatPr defaultColWidth="9.140625" defaultRowHeight="12.75"/>
  <cols>
    <col min="1" max="1" width="4.5703125" style="80" customWidth="1"/>
    <col min="2" max="2" width="7.28515625" style="80" customWidth="1"/>
    <col min="3" max="3" width="46" style="80" customWidth="1"/>
    <col min="4" max="12" width="15.7109375" style="80" customWidth="1"/>
    <col min="13" max="13" width="15.7109375" style="485" customWidth="1"/>
    <col min="14" max="15" width="20.7109375" style="485" customWidth="1"/>
    <col min="16" max="16" width="20.7109375" style="485" hidden="1" customWidth="1"/>
    <col min="17" max="17" width="15.28515625" style="485" customWidth="1"/>
    <col min="18" max="18" width="27.140625" style="485" hidden="1" customWidth="1"/>
    <col min="19" max="19" width="15.28515625" style="485" hidden="1" customWidth="1"/>
    <col min="20" max="20" width="16.28515625" style="512" hidden="1" customWidth="1"/>
    <col min="21" max="22" width="17.7109375" style="512" hidden="1" customWidth="1"/>
    <col min="23" max="23" width="16.42578125" style="512" hidden="1" customWidth="1"/>
    <col min="24" max="24" width="20.28515625" style="512" hidden="1" customWidth="1"/>
    <col min="25" max="25" width="23.42578125" style="80" hidden="1" customWidth="1"/>
    <col min="26" max="26" width="1.7109375" style="80" customWidth="1"/>
    <col min="27" max="27" width="26.85546875" style="80" customWidth="1"/>
    <col min="28" max="33" width="25" style="80" customWidth="1"/>
    <col min="34" max="34" width="21.42578125" style="334" customWidth="1"/>
    <col min="35" max="16384" width="9.140625" style="80"/>
  </cols>
  <sheetData>
    <row r="1" spans="2:34" ht="57" customHeight="1">
      <c r="M1" s="625" t="s">
        <v>630</v>
      </c>
      <c r="N1" s="625"/>
      <c r="O1" s="625"/>
      <c r="P1" s="484"/>
      <c r="R1" s="486"/>
      <c r="T1" s="485"/>
      <c r="U1" s="485"/>
      <c r="V1" s="485"/>
      <c r="W1" s="485"/>
      <c r="X1" s="485"/>
      <c r="Y1" s="11"/>
      <c r="Z1" s="11"/>
      <c r="AA1" s="11"/>
      <c r="AB1" s="11"/>
      <c r="AC1" s="11"/>
      <c r="AD1" s="11"/>
      <c r="AE1" s="11"/>
      <c r="AF1" s="11"/>
      <c r="AG1" s="11"/>
    </row>
    <row r="2" spans="2:34" ht="15" customHeight="1">
      <c r="B2" s="599" t="s">
        <v>426</v>
      </c>
      <c r="C2" s="599"/>
      <c r="D2" s="599"/>
      <c r="E2" s="599"/>
      <c r="F2" s="599"/>
      <c r="G2" s="599"/>
      <c r="H2" s="599"/>
      <c r="I2" s="599"/>
      <c r="J2" s="599"/>
      <c r="K2" s="599"/>
      <c r="L2" s="599"/>
      <c r="M2" s="599"/>
      <c r="N2" s="599"/>
      <c r="O2" s="178"/>
      <c r="P2" s="178"/>
      <c r="Q2" s="178"/>
      <c r="R2" s="487"/>
      <c r="S2" s="488"/>
      <c r="T2" s="485"/>
      <c r="U2" s="485"/>
      <c r="V2" s="485"/>
      <c r="W2" s="485"/>
      <c r="X2" s="485"/>
      <c r="Y2" s="11"/>
      <c r="Z2" s="11"/>
      <c r="AA2" s="11"/>
      <c r="AB2" s="11"/>
      <c r="AC2" s="11"/>
      <c r="AD2" s="11"/>
      <c r="AE2" s="11"/>
      <c r="AF2" s="11"/>
      <c r="AG2" s="11"/>
    </row>
    <row r="3" spans="2:34" ht="19.5" customHeight="1" thickBot="1">
      <c r="B3" s="626" t="s">
        <v>427</v>
      </c>
      <c r="C3" s="626"/>
      <c r="D3" s="626"/>
      <c r="E3" s="626"/>
      <c r="F3" s="626"/>
      <c r="G3" s="180"/>
      <c r="H3" s="180"/>
      <c r="I3" s="180"/>
      <c r="J3" s="180"/>
      <c r="K3" s="627" t="s">
        <v>428</v>
      </c>
      <c r="L3" s="628"/>
      <c r="R3" s="489"/>
      <c r="T3" s="485"/>
      <c r="U3" s="485"/>
      <c r="V3" s="485"/>
      <c r="W3" s="485"/>
      <c r="X3" s="485"/>
      <c r="Y3" s="11"/>
      <c r="Z3" s="11"/>
      <c r="AA3" s="11"/>
      <c r="AB3" s="11"/>
      <c r="AC3" s="11"/>
      <c r="AD3" s="11"/>
      <c r="AE3" s="11"/>
      <c r="AF3" s="11"/>
      <c r="AG3" s="11"/>
    </row>
    <row r="4" spans="2:34" ht="77.25" customHeight="1" thickBot="1">
      <c r="B4" s="271" t="s">
        <v>6</v>
      </c>
      <c r="C4" s="391" t="s">
        <v>429</v>
      </c>
      <c r="D4" s="274" t="s">
        <v>536</v>
      </c>
      <c r="E4" s="275" t="s">
        <v>430</v>
      </c>
      <c r="F4" s="275" t="s">
        <v>431</v>
      </c>
      <c r="G4" s="275" t="s">
        <v>432</v>
      </c>
      <c r="H4" s="275" t="s">
        <v>433</v>
      </c>
      <c r="I4" s="275" t="s">
        <v>434</v>
      </c>
      <c r="J4" s="275" t="s">
        <v>435</v>
      </c>
      <c r="K4" s="275" t="s">
        <v>436</v>
      </c>
      <c r="L4" s="275" t="s">
        <v>437</v>
      </c>
      <c r="M4" s="490" t="s">
        <v>438</v>
      </c>
      <c r="N4" s="491" t="s">
        <v>624</v>
      </c>
      <c r="O4" s="492" t="s">
        <v>623</v>
      </c>
      <c r="P4" s="493" t="s">
        <v>622</v>
      </c>
      <c r="R4" s="338"/>
      <c r="S4" s="338"/>
      <c r="T4" s="338"/>
      <c r="U4" s="338"/>
      <c r="V4" s="338"/>
      <c r="W4" s="338"/>
      <c r="X4" s="338"/>
      <c r="Y4" s="337"/>
      <c r="Z4" s="337"/>
      <c r="AA4" s="337"/>
      <c r="AB4" s="338"/>
      <c r="AC4" s="338"/>
      <c r="AD4" s="338"/>
      <c r="AE4" s="338"/>
      <c r="AF4" s="338"/>
      <c r="AG4" s="338"/>
      <c r="AH4" s="80"/>
    </row>
    <row r="5" spans="2:34" ht="13.5" thickBot="1">
      <c r="B5" s="203">
        <v>1</v>
      </c>
      <c r="C5" s="203">
        <v>2</v>
      </c>
      <c r="D5" s="204">
        <v>3</v>
      </c>
      <c r="E5" s="204">
        <v>4</v>
      </c>
      <c r="F5" s="204">
        <v>5</v>
      </c>
      <c r="G5" s="204">
        <v>6</v>
      </c>
      <c r="H5" s="204">
        <v>7</v>
      </c>
      <c r="I5" s="204">
        <v>8</v>
      </c>
      <c r="J5" s="205">
        <v>9</v>
      </c>
      <c r="K5" s="397">
        <v>10</v>
      </c>
      <c r="L5" s="398">
        <v>11</v>
      </c>
      <c r="M5" s="494">
        <v>12</v>
      </c>
      <c r="N5" s="495">
        <v>13</v>
      </c>
      <c r="O5" s="494">
        <v>14</v>
      </c>
      <c r="P5" s="495">
        <v>15</v>
      </c>
      <c r="S5" s="496"/>
      <c r="T5" s="496"/>
      <c r="U5" s="496"/>
      <c r="V5" s="496"/>
      <c r="W5" s="496"/>
      <c r="X5" s="496"/>
      <c r="Y5" s="339"/>
      <c r="Z5" s="339"/>
      <c r="AA5" s="339"/>
      <c r="AB5" s="340"/>
      <c r="AC5" s="340"/>
      <c r="AD5" s="340"/>
      <c r="AE5" s="340"/>
      <c r="AF5" s="340"/>
      <c r="AG5" s="340"/>
      <c r="AH5" s="80"/>
    </row>
    <row r="6" spans="2:34">
      <c r="B6" s="206">
        <v>1</v>
      </c>
      <c r="C6" s="207" t="s">
        <v>439</v>
      </c>
      <c r="D6" s="208">
        <v>205.7</v>
      </c>
      <c r="E6" s="209">
        <v>10</v>
      </c>
      <c r="F6" s="209">
        <f>ROUND(D6/10/12,2)</f>
        <v>1.71</v>
      </c>
      <c r="G6" s="210">
        <v>1.71</v>
      </c>
      <c r="H6" s="209">
        <v>1.71</v>
      </c>
      <c r="I6" s="209">
        <v>1.71</v>
      </c>
      <c r="J6" s="211">
        <v>1.71</v>
      </c>
      <c r="K6" s="212"/>
      <c r="L6" s="209">
        <v>1.71</v>
      </c>
      <c r="M6" s="392">
        <v>1.71</v>
      </c>
      <c r="N6" s="497">
        <v>1.71</v>
      </c>
      <c r="O6" s="498">
        <v>1.71</v>
      </c>
      <c r="P6" s="499">
        <f>O6</f>
        <v>1.71</v>
      </c>
      <c r="Q6" s="500"/>
      <c r="S6" s="496"/>
      <c r="T6" s="496"/>
      <c r="U6" s="496"/>
      <c r="V6" s="496"/>
      <c r="W6" s="496"/>
      <c r="X6" s="496"/>
      <c r="Y6" s="339"/>
      <c r="Z6" s="339"/>
      <c r="AA6" s="339"/>
      <c r="AB6" s="340"/>
      <c r="AC6" s="340"/>
      <c r="AD6" s="340"/>
      <c r="AE6" s="340"/>
      <c r="AF6" s="340"/>
      <c r="AG6" s="340"/>
      <c r="AH6" s="80"/>
    </row>
    <row r="7" spans="2:34" s="264" customFormat="1">
      <c r="B7" s="213">
        <v>2</v>
      </c>
      <c r="C7" s="214" t="s">
        <v>440</v>
      </c>
      <c r="D7" s="215">
        <v>165.05</v>
      </c>
      <c r="E7" s="216">
        <v>10</v>
      </c>
      <c r="F7" s="216">
        <f t="shared" ref="F7:F19" si="0">ROUND(D7/10/12,2)</f>
        <v>1.38</v>
      </c>
      <c r="G7" s="217">
        <v>1.38</v>
      </c>
      <c r="H7" s="216">
        <v>1.38</v>
      </c>
      <c r="I7" s="216">
        <v>1.38</v>
      </c>
      <c r="J7" s="218">
        <v>1.38</v>
      </c>
      <c r="K7" s="219"/>
      <c r="L7" s="216">
        <v>1.38</v>
      </c>
      <c r="M7" s="393">
        <v>1.38</v>
      </c>
      <c r="N7" s="501">
        <v>1.38</v>
      </c>
      <c r="O7" s="502">
        <v>1.38</v>
      </c>
      <c r="P7" s="503">
        <f t="shared" ref="P7:P70" si="1">O7</f>
        <v>1.38</v>
      </c>
      <c r="Q7" s="500"/>
      <c r="R7" s="485"/>
      <c r="S7" s="496"/>
      <c r="T7" s="496"/>
      <c r="U7" s="496"/>
      <c r="V7" s="496"/>
      <c r="W7" s="496"/>
      <c r="X7" s="496"/>
      <c r="Y7" s="339"/>
      <c r="Z7" s="339"/>
      <c r="AA7" s="339"/>
      <c r="AB7" s="340"/>
      <c r="AC7" s="340"/>
      <c r="AD7" s="340"/>
      <c r="AE7" s="340"/>
      <c r="AF7" s="340"/>
      <c r="AG7" s="340"/>
    </row>
    <row r="8" spans="2:34" s="264" customFormat="1">
      <c r="B8" s="213">
        <v>3</v>
      </c>
      <c r="C8" s="214" t="s">
        <v>441</v>
      </c>
      <c r="D8" s="215">
        <v>119.79</v>
      </c>
      <c r="E8" s="216">
        <v>10</v>
      </c>
      <c r="F8" s="216">
        <f>ROUND(D8/10/12,2)</f>
        <v>1</v>
      </c>
      <c r="G8" s="217">
        <v>1</v>
      </c>
      <c r="H8" s="216">
        <v>1</v>
      </c>
      <c r="I8" s="216">
        <v>1</v>
      </c>
      <c r="J8" s="218">
        <v>1</v>
      </c>
      <c r="K8" s="219"/>
      <c r="L8" s="216">
        <v>1</v>
      </c>
      <c r="M8" s="393">
        <v>1</v>
      </c>
      <c r="N8" s="501">
        <v>1</v>
      </c>
      <c r="O8" s="502">
        <v>1</v>
      </c>
      <c r="P8" s="503">
        <f t="shared" si="1"/>
        <v>1</v>
      </c>
      <c r="Q8" s="500"/>
      <c r="R8" s="485"/>
      <c r="S8" s="496"/>
      <c r="T8" s="496"/>
      <c r="U8" s="496"/>
      <c r="V8" s="496"/>
      <c r="W8" s="496"/>
      <c r="X8" s="496"/>
      <c r="Y8" s="339"/>
      <c r="Z8" s="339"/>
      <c r="AA8" s="339"/>
      <c r="AB8" s="340"/>
      <c r="AC8" s="340"/>
      <c r="AD8" s="340"/>
      <c r="AE8" s="340"/>
      <c r="AF8" s="340"/>
      <c r="AG8" s="340"/>
    </row>
    <row r="9" spans="2:34" s="264" customFormat="1">
      <c r="B9" s="213">
        <v>4</v>
      </c>
      <c r="C9" s="214" t="s">
        <v>442</v>
      </c>
      <c r="D9" s="215">
        <v>67.760000000000005</v>
      </c>
      <c r="E9" s="216">
        <v>10</v>
      </c>
      <c r="F9" s="216">
        <f t="shared" si="0"/>
        <v>0.56000000000000005</v>
      </c>
      <c r="G9" s="217">
        <v>0.56000000000000005</v>
      </c>
      <c r="H9" s="216">
        <v>0.56000000000000005</v>
      </c>
      <c r="I9" s="216">
        <v>0.56000000000000005</v>
      </c>
      <c r="J9" s="218">
        <v>0.56000000000000005</v>
      </c>
      <c r="K9" s="219"/>
      <c r="L9" s="216">
        <v>0.56000000000000005</v>
      </c>
      <c r="M9" s="393">
        <v>0.56000000000000005</v>
      </c>
      <c r="N9" s="501">
        <v>0.56000000000000005</v>
      </c>
      <c r="O9" s="502">
        <v>0.56000000000000005</v>
      </c>
      <c r="P9" s="503">
        <f t="shared" si="1"/>
        <v>0.56000000000000005</v>
      </c>
      <c r="Q9" s="500"/>
      <c r="R9" s="485"/>
      <c r="S9" s="496"/>
      <c r="T9" s="496"/>
      <c r="U9" s="496"/>
      <c r="V9" s="496"/>
      <c r="W9" s="496"/>
      <c r="X9" s="496"/>
      <c r="Y9" s="339"/>
      <c r="Z9" s="339"/>
      <c r="AA9" s="339"/>
      <c r="AB9" s="340"/>
      <c r="AC9" s="340"/>
      <c r="AD9" s="340"/>
      <c r="AE9" s="340"/>
      <c r="AF9" s="340"/>
      <c r="AG9" s="340"/>
    </row>
    <row r="10" spans="2:34">
      <c r="B10" s="213">
        <v>5</v>
      </c>
      <c r="C10" s="214" t="s">
        <v>443</v>
      </c>
      <c r="D10" s="220">
        <v>88.33</v>
      </c>
      <c r="E10" s="216">
        <v>10</v>
      </c>
      <c r="F10" s="216">
        <f t="shared" si="0"/>
        <v>0.74</v>
      </c>
      <c r="G10" s="217">
        <v>0.74</v>
      </c>
      <c r="H10" s="216">
        <v>0.74</v>
      </c>
      <c r="I10" s="216">
        <v>0.74</v>
      </c>
      <c r="J10" s="218">
        <v>0.74</v>
      </c>
      <c r="K10" s="219"/>
      <c r="L10" s="216">
        <v>0.74</v>
      </c>
      <c r="M10" s="393">
        <v>0.74</v>
      </c>
      <c r="N10" s="501">
        <v>0.74</v>
      </c>
      <c r="O10" s="502">
        <v>0.74</v>
      </c>
      <c r="P10" s="503">
        <f t="shared" si="1"/>
        <v>0.74</v>
      </c>
      <c r="Q10" s="500"/>
      <c r="R10" s="504"/>
      <c r="S10" s="505"/>
      <c r="T10" s="505"/>
      <c r="U10" s="505"/>
      <c r="V10" s="505"/>
      <c r="W10" s="505"/>
      <c r="X10" s="505"/>
      <c r="Y10" s="341"/>
      <c r="Z10" s="341"/>
      <c r="AA10" s="341"/>
      <c r="AB10" s="342"/>
      <c r="AC10" s="342"/>
      <c r="AD10" s="342"/>
      <c r="AE10" s="342"/>
      <c r="AF10" s="342"/>
      <c r="AG10" s="342"/>
      <c r="AH10" s="80"/>
    </row>
    <row r="11" spans="2:34">
      <c r="B11" s="213">
        <v>6</v>
      </c>
      <c r="C11" s="214" t="s">
        <v>444</v>
      </c>
      <c r="D11" s="220">
        <v>33.879999999999995</v>
      </c>
      <c r="E11" s="216">
        <v>10</v>
      </c>
      <c r="F11" s="216">
        <f t="shared" si="0"/>
        <v>0.28000000000000003</v>
      </c>
      <c r="G11" s="217">
        <v>0.28000000000000003</v>
      </c>
      <c r="H11" s="216">
        <v>0.28000000000000003</v>
      </c>
      <c r="I11" s="216">
        <v>0.28000000000000003</v>
      </c>
      <c r="J11" s="218">
        <v>0.28000000000000003</v>
      </c>
      <c r="K11" s="219"/>
      <c r="L11" s="216">
        <v>0.28000000000000003</v>
      </c>
      <c r="M11" s="393">
        <v>0.28000000000000003</v>
      </c>
      <c r="N11" s="501">
        <v>0.28000000000000003</v>
      </c>
      <c r="O11" s="502">
        <v>0.28000000000000003</v>
      </c>
      <c r="P11" s="503">
        <f t="shared" si="1"/>
        <v>0.28000000000000003</v>
      </c>
      <c r="Q11" s="500"/>
      <c r="R11" s="506">
        <v>0.99938720796037139</v>
      </c>
      <c r="S11" s="488"/>
      <c r="T11" s="485"/>
      <c r="U11" s="485"/>
      <c r="V11" s="485"/>
      <c r="W11" s="485"/>
      <c r="X11" s="485"/>
      <c r="Y11" s="11"/>
      <c r="Z11" s="11"/>
      <c r="AA11" s="11"/>
      <c r="AH11" s="80"/>
    </row>
    <row r="12" spans="2:34">
      <c r="B12" s="213">
        <v>7</v>
      </c>
      <c r="C12" s="214" t="s">
        <v>445</v>
      </c>
      <c r="D12" s="215">
        <v>227.06</v>
      </c>
      <c r="E12" s="216">
        <v>10</v>
      </c>
      <c r="F12" s="216">
        <f>ROUND(D12/10/12,2)</f>
        <v>1.89</v>
      </c>
      <c r="G12" s="217">
        <v>1.89</v>
      </c>
      <c r="H12" s="216">
        <v>1.89</v>
      </c>
      <c r="I12" s="216">
        <v>1.89</v>
      </c>
      <c r="J12" s="218">
        <v>1.89</v>
      </c>
      <c r="K12" s="219"/>
      <c r="L12" s="216">
        <v>1.89</v>
      </c>
      <c r="M12" s="393">
        <v>1.89</v>
      </c>
      <c r="N12" s="501">
        <v>1.89</v>
      </c>
      <c r="O12" s="502">
        <v>1.89</v>
      </c>
      <c r="P12" s="503">
        <f t="shared" si="1"/>
        <v>1.89</v>
      </c>
      <c r="Q12" s="500"/>
      <c r="R12" s="507">
        <v>3.3360530000000002</v>
      </c>
      <c r="T12" s="485"/>
      <c r="U12" s="485"/>
      <c r="V12" s="485"/>
      <c r="W12" s="485"/>
      <c r="X12" s="485"/>
      <c r="Y12" s="11"/>
      <c r="Z12" s="11"/>
      <c r="AA12" s="11"/>
      <c r="AB12" s="419">
        <f>N94</f>
        <v>3.3360530000000002</v>
      </c>
      <c r="AE12" s="419">
        <f>O94</f>
        <v>3.3538679999999998</v>
      </c>
      <c r="AH12" s="80"/>
    </row>
    <row r="13" spans="2:34" ht="75.75" customHeight="1">
      <c r="B13" s="213">
        <v>8</v>
      </c>
      <c r="C13" s="214" t="s">
        <v>446</v>
      </c>
      <c r="D13" s="215">
        <v>94.74</v>
      </c>
      <c r="E13" s="216">
        <v>10</v>
      </c>
      <c r="F13" s="216">
        <f>ROUND(D13/10/12,2)</f>
        <v>0.79</v>
      </c>
      <c r="G13" s="217">
        <v>0.79</v>
      </c>
      <c r="H13" s="216">
        <v>0.79</v>
      </c>
      <c r="I13" s="216">
        <v>0.79</v>
      </c>
      <c r="J13" s="218">
        <v>0.79</v>
      </c>
      <c r="K13" s="219"/>
      <c r="L13" s="216">
        <v>0.79</v>
      </c>
      <c r="M13" s="393">
        <v>0.79</v>
      </c>
      <c r="N13" s="501">
        <v>0.79</v>
      </c>
      <c r="O13" s="502">
        <v>0.79</v>
      </c>
      <c r="P13" s="503">
        <f t="shared" si="1"/>
        <v>0.79</v>
      </c>
      <c r="Q13" s="500"/>
      <c r="R13" s="336" t="s">
        <v>298</v>
      </c>
      <c r="S13" s="336" t="s">
        <v>447</v>
      </c>
      <c r="T13" s="336" t="s">
        <v>299</v>
      </c>
      <c r="U13" s="336" t="s">
        <v>448</v>
      </c>
      <c r="V13" s="336" t="s">
        <v>449</v>
      </c>
      <c r="W13" s="336" t="s">
        <v>609</v>
      </c>
      <c r="X13" s="336" t="s">
        <v>614</v>
      </c>
      <c r="Y13" s="410" t="s">
        <v>615</v>
      </c>
      <c r="Z13" s="338"/>
      <c r="AA13" s="413" t="s">
        <v>612</v>
      </c>
      <c r="AB13" s="413" t="s">
        <v>616</v>
      </c>
      <c r="AC13" s="413" t="s">
        <v>617</v>
      </c>
      <c r="AD13" s="410" t="s">
        <v>618</v>
      </c>
      <c r="AE13" s="336" t="s">
        <v>613</v>
      </c>
      <c r="AF13" s="336" t="s">
        <v>629</v>
      </c>
      <c r="AG13" s="336" t="s">
        <v>628</v>
      </c>
      <c r="AH13" s="336" t="s">
        <v>627</v>
      </c>
    </row>
    <row r="14" spans="2:34" s="264" customFormat="1">
      <c r="B14" s="213">
        <v>9</v>
      </c>
      <c r="C14" s="214" t="s">
        <v>450</v>
      </c>
      <c r="D14" s="215">
        <v>101.34</v>
      </c>
      <c r="E14" s="216">
        <v>10</v>
      </c>
      <c r="F14" s="216">
        <f>ROUND(D14/10/12,2)</f>
        <v>0.84</v>
      </c>
      <c r="G14" s="217">
        <v>0.84</v>
      </c>
      <c r="H14" s="216">
        <v>0.84</v>
      </c>
      <c r="I14" s="216">
        <v>0.84</v>
      </c>
      <c r="J14" s="218">
        <v>0.84</v>
      </c>
      <c r="K14" s="219"/>
      <c r="L14" s="216">
        <v>0.84</v>
      </c>
      <c r="M14" s="393">
        <v>0.84</v>
      </c>
      <c r="N14" s="501">
        <v>0.84</v>
      </c>
      <c r="O14" s="502">
        <v>0.84</v>
      </c>
      <c r="P14" s="503">
        <f t="shared" si="1"/>
        <v>0.84</v>
      </c>
      <c r="Q14" s="500"/>
      <c r="R14" s="508" t="s">
        <v>300</v>
      </c>
      <c r="S14" s="509">
        <v>181</v>
      </c>
      <c r="T14" s="509">
        <v>286689</v>
      </c>
      <c r="U14" s="509">
        <v>753087.97250000027</v>
      </c>
      <c r="V14" s="509">
        <f>U14*4</f>
        <v>3012351.8900000011</v>
      </c>
      <c r="W14" s="509">
        <v>959793.22</v>
      </c>
      <c r="X14" s="509">
        <v>3839172.88</v>
      </c>
      <c r="Y14" s="411">
        <f>X14-V14</f>
        <v>826820.98999999883</v>
      </c>
      <c r="Z14" s="339"/>
      <c r="AA14" s="409">
        <v>753088</v>
      </c>
      <c r="AB14" s="414">
        <v>959793</v>
      </c>
      <c r="AC14" s="414">
        <f>AB14-AA14</f>
        <v>206705</v>
      </c>
      <c r="AD14" s="414">
        <f>AC14*4</f>
        <v>826820</v>
      </c>
      <c r="AE14" s="414">
        <v>964918</v>
      </c>
      <c r="AF14" s="414">
        <f>AE14-AB14</f>
        <v>5125</v>
      </c>
      <c r="AG14" s="414">
        <f>AF14*4</f>
        <v>20500</v>
      </c>
      <c r="AH14" s="578">
        <f>AG14/4*12</f>
        <v>61500</v>
      </c>
    </row>
    <row r="15" spans="2:34" s="264" customFormat="1">
      <c r="B15" s="213">
        <v>10</v>
      </c>
      <c r="C15" s="214" t="s">
        <v>451</v>
      </c>
      <c r="D15" s="215">
        <f>444+22.26</f>
        <v>466.26</v>
      </c>
      <c r="E15" s="216">
        <v>10</v>
      </c>
      <c r="F15" s="216">
        <f t="shared" si="0"/>
        <v>3.89</v>
      </c>
      <c r="G15" s="217">
        <v>3.89</v>
      </c>
      <c r="H15" s="216">
        <v>3.89</v>
      </c>
      <c r="I15" s="216">
        <v>3.89</v>
      </c>
      <c r="J15" s="218">
        <v>3.89</v>
      </c>
      <c r="K15" s="219"/>
      <c r="L15" s="216">
        <v>3.89</v>
      </c>
      <c r="M15" s="393">
        <v>3.89</v>
      </c>
      <c r="N15" s="501">
        <v>3.89</v>
      </c>
      <c r="O15" s="502">
        <v>3.89</v>
      </c>
      <c r="P15" s="503">
        <f t="shared" si="1"/>
        <v>3.89</v>
      </c>
      <c r="Q15" s="500"/>
      <c r="R15" s="508" t="s">
        <v>301</v>
      </c>
      <c r="S15" s="509">
        <v>143</v>
      </c>
      <c r="T15" s="509">
        <v>240349</v>
      </c>
      <c r="U15" s="509">
        <v>619289.35</v>
      </c>
      <c r="V15" s="509">
        <f>U15*4</f>
        <v>2477157.4</v>
      </c>
      <c r="W15" s="509">
        <v>788948.59000000032</v>
      </c>
      <c r="X15" s="509">
        <v>3155794.3600000013</v>
      </c>
      <c r="Y15" s="411">
        <f>X15-V15</f>
        <v>678636.96000000136</v>
      </c>
      <c r="Z15" s="339"/>
      <c r="AA15" s="409">
        <v>619290</v>
      </c>
      <c r="AB15" s="414">
        <v>788948</v>
      </c>
      <c r="AC15" s="414">
        <f t="shared" ref="AC15:AC18" si="2">AB15-AA15</f>
        <v>169658</v>
      </c>
      <c r="AD15" s="414">
        <f t="shared" ref="AD15:AD18" si="3">AC15*4</f>
        <v>678632</v>
      </c>
      <c r="AE15" s="414">
        <v>793162</v>
      </c>
      <c r="AF15" s="414">
        <f t="shared" ref="AF15:AF18" si="4">AE15-AB15</f>
        <v>4214</v>
      </c>
      <c r="AG15" s="414">
        <f t="shared" ref="AG15:AG18" si="5">AF15*4</f>
        <v>16856</v>
      </c>
      <c r="AH15" s="578">
        <f t="shared" ref="AH15:AH18" si="6">AG15/4*12</f>
        <v>50568</v>
      </c>
    </row>
    <row r="16" spans="2:34" ht="25.5">
      <c r="B16" s="213">
        <v>11</v>
      </c>
      <c r="C16" s="214" t="s">
        <v>452</v>
      </c>
      <c r="D16" s="215">
        <v>339.8</v>
      </c>
      <c r="E16" s="216">
        <v>10</v>
      </c>
      <c r="F16" s="216">
        <f t="shared" si="0"/>
        <v>2.83</v>
      </c>
      <c r="G16" s="217">
        <v>2.83</v>
      </c>
      <c r="H16" s="216">
        <v>2.83</v>
      </c>
      <c r="I16" s="216">
        <v>2.83</v>
      </c>
      <c r="J16" s="218">
        <v>2.83</v>
      </c>
      <c r="K16" s="219"/>
      <c r="L16" s="216">
        <v>2.83</v>
      </c>
      <c r="M16" s="393">
        <v>2.83</v>
      </c>
      <c r="N16" s="501">
        <v>2.83</v>
      </c>
      <c r="O16" s="502">
        <v>2.83</v>
      </c>
      <c r="P16" s="503">
        <f t="shared" si="1"/>
        <v>2.83</v>
      </c>
      <c r="Q16" s="500"/>
      <c r="R16" s="508" t="s">
        <v>302</v>
      </c>
      <c r="S16" s="509">
        <v>558</v>
      </c>
      <c r="T16" s="509">
        <v>885163</v>
      </c>
      <c r="U16" s="509">
        <v>2317296.2199999993</v>
      </c>
      <c r="V16" s="509">
        <f>U16*4</f>
        <v>9269184.8799999971</v>
      </c>
      <c r="W16" s="509">
        <v>2951990.4100000025</v>
      </c>
      <c r="X16" s="509">
        <v>11807961.64000001</v>
      </c>
      <c r="Y16" s="411">
        <f>X16-V16</f>
        <v>2538776.7600000128</v>
      </c>
      <c r="Z16" s="339"/>
      <c r="AA16" s="409">
        <v>2317296</v>
      </c>
      <c r="AB16" s="414">
        <v>2951991</v>
      </c>
      <c r="AC16" s="414">
        <f t="shared" si="2"/>
        <v>634695</v>
      </c>
      <c r="AD16" s="414">
        <f t="shared" si="3"/>
        <v>2538780</v>
      </c>
      <c r="AE16" s="414">
        <v>2967754</v>
      </c>
      <c r="AF16" s="414">
        <f t="shared" si="4"/>
        <v>15763</v>
      </c>
      <c r="AG16" s="414">
        <f t="shared" si="5"/>
        <v>63052</v>
      </c>
      <c r="AH16" s="578">
        <f t="shared" si="6"/>
        <v>189156</v>
      </c>
    </row>
    <row r="17" spans="2:34" s="264" customFormat="1">
      <c r="B17" s="213">
        <v>12</v>
      </c>
      <c r="C17" s="214" t="s">
        <v>453</v>
      </c>
      <c r="D17" s="215">
        <v>69.260000000000005</v>
      </c>
      <c r="E17" s="216">
        <v>10</v>
      </c>
      <c r="F17" s="216">
        <f t="shared" si="0"/>
        <v>0.57999999999999996</v>
      </c>
      <c r="G17" s="217">
        <v>0.57999999999999996</v>
      </c>
      <c r="H17" s="216">
        <v>0.57999999999999996</v>
      </c>
      <c r="I17" s="216">
        <v>0.57999999999999996</v>
      </c>
      <c r="J17" s="218">
        <v>0.57999999999999996</v>
      </c>
      <c r="K17" s="219"/>
      <c r="L17" s="216">
        <v>0.57999999999999996</v>
      </c>
      <c r="M17" s="393">
        <v>0.57999999999999996</v>
      </c>
      <c r="N17" s="501">
        <v>0.57999999999999996</v>
      </c>
      <c r="O17" s="502">
        <v>0.57999999999999996</v>
      </c>
      <c r="P17" s="503">
        <f t="shared" si="1"/>
        <v>0.57999999999999996</v>
      </c>
      <c r="Q17" s="500"/>
      <c r="R17" s="508" t="s">
        <v>303</v>
      </c>
      <c r="S17" s="509">
        <v>155</v>
      </c>
      <c r="T17" s="509">
        <v>235144</v>
      </c>
      <c r="U17" s="509">
        <v>614714.46833333361</v>
      </c>
      <c r="V17" s="509">
        <f>U17*4</f>
        <v>2458857.8733333345</v>
      </c>
      <c r="W17" s="509">
        <v>783250.15999999968</v>
      </c>
      <c r="X17" s="509">
        <v>3133000.6399999987</v>
      </c>
      <c r="Y17" s="411">
        <f>X17-V17</f>
        <v>674142.76666666428</v>
      </c>
      <c r="Z17" s="339"/>
      <c r="AA17" s="409">
        <v>614714</v>
      </c>
      <c r="AB17" s="414">
        <v>783250</v>
      </c>
      <c r="AC17" s="414">
        <f t="shared" si="2"/>
        <v>168536</v>
      </c>
      <c r="AD17" s="414">
        <f t="shared" si="3"/>
        <v>674144</v>
      </c>
      <c r="AE17" s="414">
        <v>787433</v>
      </c>
      <c r="AF17" s="414">
        <f t="shared" si="4"/>
        <v>4183</v>
      </c>
      <c r="AG17" s="414">
        <f t="shared" si="5"/>
        <v>16732</v>
      </c>
      <c r="AH17" s="578">
        <f t="shared" si="6"/>
        <v>50196</v>
      </c>
    </row>
    <row r="18" spans="2:34">
      <c r="B18" s="206">
        <v>13</v>
      </c>
      <c r="C18" s="221" t="s">
        <v>454</v>
      </c>
      <c r="D18" s="215">
        <v>500</v>
      </c>
      <c r="E18" s="216">
        <v>10</v>
      </c>
      <c r="F18" s="216">
        <f>ROUND(D18/10/12,2)</f>
        <v>4.17</v>
      </c>
      <c r="G18" s="217">
        <v>4.17</v>
      </c>
      <c r="H18" s="216">
        <v>4.17</v>
      </c>
      <c r="I18" s="216">
        <v>4.17</v>
      </c>
      <c r="J18" s="218">
        <v>4.17</v>
      </c>
      <c r="K18" s="219"/>
      <c r="L18" s="216">
        <v>4.17</v>
      </c>
      <c r="M18" s="393">
        <v>4.17</v>
      </c>
      <c r="N18" s="501">
        <v>4.17</v>
      </c>
      <c r="O18" s="502">
        <v>4.17</v>
      </c>
      <c r="P18" s="503">
        <f t="shared" si="1"/>
        <v>4.17</v>
      </c>
      <c r="Q18" s="500"/>
      <c r="R18" s="508" t="s">
        <v>304</v>
      </c>
      <c r="S18" s="509">
        <v>183</v>
      </c>
      <c r="T18" s="509">
        <v>285788</v>
      </c>
      <c r="U18" s="509">
        <v>755968.88083333336</v>
      </c>
      <c r="V18" s="509">
        <f>U18*4</f>
        <v>3023875.5233333334</v>
      </c>
      <c r="W18" s="509">
        <v>963070.7799999998</v>
      </c>
      <c r="X18" s="509">
        <v>3852283.1199999992</v>
      </c>
      <c r="Y18" s="411">
        <f>X18-V18</f>
        <v>828407.59666666575</v>
      </c>
      <c r="Z18" s="339"/>
      <c r="AA18" s="421">
        <v>755969</v>
      </c>
      <c r="AB18" s="422">
        <v>963071</v>
      </c>
      <c r="AC18" s="422">
        <f t="shared" si="2"/>
        <v>207102</v>
      </c>
      <c r="AD18" s="422">
        <f t="shared" si="3"/>
        <v>828408</v>
      </c>
      <c r="AE18" s="422">
        <v>968214</v>
      </c>
      <c r="AF18" s="414">
        <f t="shared" si="4"/>
        <v>5143</v>
      </c>
      <c r="AG18" s="414">
        <f t="shared" si="5"/>
        <v>20572</v>
      </c>
      <c r="AH18" s="578">
        <f t="shared" si="6"/>
        <v>61716</v>
      </c>
    </row>
    <row r="19" spans="2:34">
      <c r="B19" s="213">
        <v>14</v>
      </c>
      <c r="C19" s="221" t="s">
        <v>455</v>
      </c>
      <c r="D19" s="220">
        <v>156.09</v>
      </c>
      <c r="E19" s="216">
        <v>10</v>
      </c>
      <c r="F19" s="216">
        <f t="shared" si="0"/>
        <v>1.3</v>
      </c>
      <c r="G19" s="217">
        <v>1.3</v>
      </c>
      <c r="H19" s="216">
        <v>1.3</v>
      </c>
      <c r="I19" s="216">
        <v>1.3</v>
      </c>
      <c r="J19" s="218">
        <v>1.3</v>
      </c>
      <c r="K19" s="219"/>
      <c r="L19" s="216">
        <v>1.3</v>
      </c>
      <c r="M19" s="393">
        <v>1.3</v>
      </c>
      <c r="N19" s="501">
        <v>1.3</v>
      </c>
      <c r="O19" s="502">
        <v>1.3</v>
      </c>
      <c r="P19" s="503">
        <f t="shared" si="1"/>
        <v>1.3</v>
      </c>
      <c r="Q19" s="500"/>
      <c r="R19" s="510" t="s">
        <v>3</v>
      </c>
      <c r="S19" s="511">
        <f>SUM(S14:S18)</f>
        <v>1220</v>
      </c>
      <c r="T19" s="511">
        <f>SUM(T14:T18)</f>
        <v>1933133</v>
      </c>
      <c r="U19" s="511">
        <f>SUM(U14:U18)</f>
        <v>5060356.8916666666</v>
      </c>
      <c r="V19" s="511">
        <f>SUM(V14:V18)</f>
        <v>20241427.566666666</v>
      </c>
      <c r="W19" s="511">
        <v>6447053.160000002</v>
      </c>
      <c r="X19" s="511">
        <v>25788212.640000008</v>
      </c>
      <c r="Y19" s="412">
        <f>SUM(Y14:Y18)</f>
        <v>5546785.0733333435</v>
      </c>
      <c r="Z19" s="416"/>
      <c r="AA19" s="265">
        <f>SUM(AA14:AA18)</f>
        <v>5060357</v>
      </c>
      <c r="AB19" s="265">
        <f>SUM(AB14:AB18)</f>
        <v>6447053</v>
      </c>
      <c r="AC19" s="265">
        <f>SUM(AC14:AC18)</f>
        <v>1386696</v>
      </c>
      <c r="AD19" s="265">
        <f>SUM(AD14:AD18)</f>
        <v>5546784</v>
      </c>
      <c r="AE19" s="265">
        <f t="shared" ref="AE19:AF19" si="7">SUM(AE14:AE18)</f>
        <v>6481481</v>
      </c>
      <c r="AF19" s="415">
        <f t="shared" si="7"/>
        <v>34428</v>
      </c>
      <c r="AG19" s="412">
        <f>SUM(AG14:AG18)</f>
        <v>137712</v>
      </c>
      <c r="AH19" s="577">
        <f>SUM(AH14:AH18)</f>
        <v>413136</v>
      </c>
    </row>
    <row r="20" spans="2:34">
      <c r="B20" s="213">
        <v>15</v>
      </c>
      <c r="C20" s="221" t="s">
        <v>456</v>
      </c>
      <c r="D20" s="215">
        <v>290.39999999999998</v>
      </c>
      <c r="E20" s="216">
        <v>10</v>
      </c>
      <c r="F20" s="216">
        <f t="shared" ref="F20:F25" si="8">ROUND(D20/12/10,2)</f>
        <v>2.42</v>
      </c>
      <c r="G20" s="217">
        <v>2.42</v>
      </c>
      <c r="H20" s="216">
        <v>2.42</v>
      </c>
      <c r="I20" s="216">
        <v>2.42</v>
      </c>
      <c r="J20" s="218">
        <v>2.42</v>
      </c>
      <c r="K20" s="219"/>
      <c r="L20" s="216">
        <v>2.42</v>
      </c>
      <c r="M20" s="393">
        <v>2.42</v>
      </c>
      <c r="N20" s="501">
        <v>2.42</v>
      </c>
      <c r="O20" s="502">
        <v>2.42</v>
      </c>
      <c r="P20" s="503">
        <f t="shared" si="1"/>
        <v>2.42</v>
      </c>
      <c r="Q20" s="500"/>
      <c r="T20" s="485"/>
      <c r="U20" s="485"/>
      <c r="V20" s="485"/>
      <c r="W20" s="485"/>
      <c r="X20" s="485"/>
      <c r="Y20" s="11"/>
      <c r="Z20" s="11"/>
      <c r="AA20" s="423"/>
      <c r="AB20" s="423"/>
      <c r="AC20" s="424"/>
      <c r="AD20" s="423"/>
      <c r="AE20" s="423"/>
      <c r="AF20" s="420"/>
      <c r="AG20" s="11"/>
    </row>
    <row r="21" spans="2:34" ht="40.5" customHeight="1">
      <c r="B21" s="213">
        <v>16</v>
      </c>
      <c r="C21" s="221" t="s">
        <v>457</v>
      </c>
      <c r="D21" s="215">
        <v>272.25</v>
      </c>
      <c r="E21" s="216">
        <v>10</v>
      </c>
      <c r="F21" s="216">
        <f t="shared" si="8"/>
        <v>2.27</v>
      </c>
      <c r="G21" s="217">
        <v>2.27</v>
      </c>
      <c r="H21" s="216">
        <v>2.27</v>
      </c>
      <c r="I21" s="216">
        <v>2.27</v>
      </c>
      <c r="J21" s="218">
        <v>2.27</v>
      </c>
      <c r="K21" s="219"/>
      <c r="L21" s="216">
        <v>2.27</v>
      </c>
      <c r="M21" s="393">
        <v>2.27</v>
      </c>
      <c r="N21" s="501">
        <v>2.27</v>
      </c>
      <c r="O21" s="502">
        <v>2.27</v>
      </c>
      <c r="P21" s="503">
        <f t="shared" si="1"/>
        <v>2.27</v>
      </c>
      <c r="Q21" s="500"/>
      <c r="R21" s="624" t="s">
        <v>458</v>
      </c>
      <c r="S21" s="624"/>
      <c r="T21" s="624"/>
      <c r="U21" s="624"/>
      <c r="V21" s="624"/>
      <c r="W21" s="624"/>
      <c r="X21" s="624"/>
      <c r="Y21" s="624"/>
      <c r="Z21" s="624"/>
      <c r="AA21" s="624"/>
      <c r="AB21" s="624"/>
      <c r="AC21" s="624"/>
      <c r="AD21" s="624"/>
      <c r="AE21" s="624"/>
      <c r="AF21" s="624"/>
      <c r="AG21" s="624"/>
      <c r="AH21" s="624"/>
    </row>
    <row r="22" spans="2:34">
      <c r="B22" s="213">
        <v>17</v>
      </c>
      <c r="C22" s="221" t="s">
        <v>459</v>
      </c>
      <c r="D22" s="215">
        <v>365.78</v>
      </c>
      <c r="E22" s="216">
        <v>10</v>
      </c>
      <c r="F22" s="216">
        <f t="shared" si="8"/>
        <v>3.05</v>
      </c>
      <c r="G22" s="217">
        <v>3.05</v>
      </c>
      <c r="H22" s="216">
        <v>3.05</v>
      </c>
      <c r="I22" s="216">
        <v>3.05</v>
      </c>
      <c r="J22" s="218">
        <v>3.05</v>
      </c>
      <c r="K22" s="219"/>
      <c r="L22" s="216">
        <v>3.05</v>
      </c>
      <c r="M22" s="393">
        <v>3.05</v>
      </c>
      <c r="N22" s="501">
        <v>3.05</v>
      </c>
      <c r="O22" s="502">
        <v>3.05</v>
      </c>
      <c r="P22" s="503">
        <f t="shared" si="1"/>
        <v>3.05</v>
      </c>
      <c r="Q22" s="500"/>
    </row>
    <row r="23" spans="2:34">
      <c r="B23" s="213">
        <v>18</v>
      </c>
      <c r="C23" s="221" t="s">
        <v>460</v>
      </c>
      <c r="D23" s="222">
        <v>444.98</v>
      </c>
      <c r="E23" s="216">
        <v>10</v>
      </c>
      <c r="F23" s="216">
        <f t="shared" si="8"/>
        <v>3.71</v>
      </c>
      <c r="G23" s="217">
        <v>3.71</v>
      </c>
      <c r="H23" s="216">
        <v>3.71</v>
      </c>
      <c r="I23" s="216">
        <v>3.71</v>
      </c>
      <c r="J23" s="218">
        <v>3.71</v>
      </c>
      <c r="K23" s="219"/>
      <c r="L23" s="216">
        <v>3.71</v>
      </c>
      <c r="M23" s="393">
        <v>3.71</v>
      </c>
      <c r="N23" s="501">
        <v>3.71</v>
      </c>
      <c r="O23" s="502">
        <v>3.71</v>
      </c>
      <c r="P23" s="503">
        <f t="shared" si="1"/>
        <v>3.71</v>
      </c>
      <c r="Q23" s="500"/>
      <c r="AA23" s="418"/>
      <c r="AB23" s="418"/>
      <c r="AD23" s="418"/>
      <c r="AE23" s="418"/>
    </row>
    <row r="24" spans="2:34" ht="51">
      <c r="B24" s="213">
        <v>19</v>
      </c>
      <c r="C24" s="221" t="s">
        <v>461</v>
      </c>
      <c r="D24" s="215">
        <v>155</v>
      </c>
      <c r="E24" s="216">
        <v>10</v>
      </c>
      <c r="F24" s="216">
        <f t="shared" si="8"/>
        <v>1.29</v>
      </c>
      <c r="G24" s="217">
        <v>1.29</v>
      </c>
      <c r="H24" s="216">
        <v>1.29</v>
      </c>
      <c r="I24" s="216">
        <v>1.29</v>
      </c>
      <c r="J24" s="218">
        <v>1.29</v>
      </c>
      <c r="K24" s="219"/>
      <c r="L24" s="216">
        <v>1.29</v>
      </c>
      <c r="M24" s="393">
        <v>1.29</v>
      </c>
      <c r="N24" s="501">
        <v>1.29</v>
      </c>
      <c r="O24" s="502">
        <v>1.29</v>
      </c>
      <c r="P24" s="503">
        <f t="shared" si="1"/>
        <v>1.29</v>
      </c>
      <c r="Q24" s="500"/>
      <c r="R24" s="477" t="s">
        <v>307</v>
      </c>
      <c r="S24" s="477" t="s">
        <v>542</v>
      </c>
      <c r="T24" s="477" t="s">
        <v>547</v>
      </c>
      <c r="U24" s="477" t="s">
        <v>621</v>
      </c>
      <c r="V24" s="477" t="s">
        <v>550</v>
      </c>
      <c r="AH24" s="80"/>
    </row>
    <row r="25" spans="2:34" ht="38.25">
      <c r="B25" s="213">
        <v>20</v>
      </c>
      <c r="C25" s="221" t="s">
        <v>462</v>
      </c>
      <c r="D25" s="215">
        <v>232.43</v>
      </c>
      <c r="E25" s="216">
        <v>10</v>
      </c>
      <c r="F25" s="216">
        <f t="shared" si="8"/>
        <v>1.94</v>
      </c>
      <c r="G25" s="217">
        <v>1.94</v>
      </c>
      <c r="H25" s="216">
        <v>1.94</v>
      </c>
      <c r="I25" s="216">
        <v>1.94</v>
      </c>
      <c r="J25" s="218">
        <v>1.94</v>
      </c>
      <c r="K25" s="219"/>
      <c r="L25" s="216">
        <v>1.94</v>
      </c>
      <c r="M25" s="393">
        <v>1.94</v>
      </c>
      <c r="N25" s="501">
        <v>1.94</v>
      </c>
      <c r="O25" s="502">
        <v>1.94</v>
      </c>
      <c r="P25" s="503">
        <f t="shared" si="1"/>
        <v>1.94</v>
      </c>
      <c r="Q25" s="500"/>
      <c r="R25" s="478" t="s">
        <v>577</v>
      </c>
      <c r="S25" s="479">
        <v>4417695</v>
      </c>
      <c r="T25" s="479">
        <v>9765177</v>
      </c>
      <c r="U25" s="479">
        <f>T25/12*6</f>
        <v>4882588.5</v>
      </c>
      <c r="V25" s="480">
        <f>U25-S25</f>
        <v>464893.5</v>
      </c>
      <c r="AH25" s="80"/>
    </row>
    <row r="26" spans="2:34" ht="12.75" customHeight="1">
      <c r="B26" s="213">
        <v>21</v>
      </c>
      <c r="C26" s="223" t="s">
        <v>463</v>
      </c>
      <c r="D26" s="215">
        <v>3.38</v>
      </c>
      <c r="E26" s="216">
        <v>3</v>
      </c>
      <c r="F26" s="216">
        <f>ROUND(D26/3/12,2)</f>
        <v>0.09</v>
      </c>
      <c r="G26" s="217">
        <v>0.09</v>
      </c>
      <c r="H26" s="216">
        <v>0.09</v>
      </c>
      <c r="I26" s="216">
        <v>0.09</v>
      </c>
      <c r="J26" s="218">
        <v>0.09</v>
      </c>
      <c r="K26" s="219"/>
      <c r="L26" s="216">
        <v>0.09</v>
      </c>
      <c r="M26" s="393">
        <v>0.09</v>
      </c>
      <c r="N26" s="501">
        <v>0.09</v>
      </c>
      <c r="O26" s="502">
        <v>0.09</v>
      </c>
      <c r="P26" s="503">
        <f t="shared" si="1"/>
        <v>0.09</v>
      </c>
      <c r="Q26" s="500"/>
      <c r="R26" s="629"/>
      <c r="S26" s="629"/>
      <c r="T26" s="629"/>
      <c r="U26" s="629"/>
      <c r="V26" s="629"/>
      <c r="W26" s="629"/>
      <c r="X26" s="629"/>
      <c r="Y26" s="629"/>
      <c r="Z26" s="629"/>
      <c r="AA26" s="629"/>
      <c r="AB26" s="629"/>
      <c r="AC26" s="408"/>
      <c r="AD26" s="408"/>
      <c r="AE26" s="408"/>
      <c r="AF26" s="408"/>
      <c r="AG26" s="408"/>
    </row>
    <row r="27" spans="2:34" ht="12.75" customHeight="1">
      <c r="B27" s="213">
        <v>22</v>
      </c>
      <c r="C27" s="223" t="s">
        <v>464</v>
      </c>
      <c r="D27" s="215">
        <v>3.9</v>
      </c>
      <c r="E27" s="216">
        <v>3</v>
      </c>
      <c r="F27" s="216">
        <f t="shared" ref="F27:F28" si="9">ROUND(D27/3/12,2)</f>
        <v>0.11</v>
      </c>
      <c r="G27" s="217">
        <v>0.11</v>
      </c>
      <c r="H27" s="216">
        <v>0.11</v>
      </c>
      <c r="I27" s="216">
        <v>0.11</v>
      </c>
      <c r="J27" s="218">
        <v>0.11</v>
      </c>
      <c r="K27" s="219"/>
      <c r="L27" s="216">
        <v>0.11</v>
      </c>
      <c r="M27" s="393">
        <v>0.11</v>
      </c>
      <c r="N27" s="501">
        <v>0.11</v>
      </c>
      <c r="O27" s="502">
        <v>0.11</v>
      </c>
      <c r="P27" s="503">
        <f t="shared" si="1"/>
        <v>0.11</v>
      </c>
      <c r="Q27" s="500"/>
      <c r="R27" s="629"/>
      <c r="S27" s="629"/>
      <c r="T27" s="629"/>
      <c r="U27" s="629"/>
      <c r="V27" s="629"/>
      <c r="W27" s="629"/>
      <c r="X27" s="629"/>
      <c r="Y27" s="629"/>
      <c r="Z27" s="629"/>
      <c r="AA27" s="629"/>
      <c r="AB27" s="629"/>
      <c r="AC27" s="408"/>
      <c r="AD27" s="408"/>
      <c r="AE27" s="408"/>
      <c r="AF27" s="408"/>
      <c r="AG27" s="408"/>
    </row>
    <row r="28" spans="2:34">
      <c r="B28" s="213">
        <v>23</v>
      </c>
      <c r="C28" s="223" t="s">
        <v>465</v>
      </c>
      <c r="D28" s="215">
        <v>6.03</v>
      </c>
      <c r="E28" s="216">
        <v>3</v>
      </c>
      <c r="F28" s="216">
        <f t="shared" si="9"/>
        <v>0.17</v>
      </c>
      <c r="G28" s="217">
        <v>0.17</v>
      </c>
      <c r="H28" s="216">
        <v>0.17</v>
      </c>
      <c r="I28" s="216">
        <v>0.17</v>
      </c>
      <c r="J28" s="218">
        <v>0.17</v>
      </c>
      <c r="K28" s="219"/>
      <c r="L28" s="216">
        <v>0.17</v>
      </c>
      <c r="M28" s="393">
        <v>0.17</v>
      </c>
      <c r="N28" s="501">
        <v>0.17</v>
      </c>
      <c r="O28" s="502">
        <v>0.17</v>
      </c>
      <c r="P28" s="503">
        <f t="shared" si="1"/>
        <v>0.17</v>
      </c>
      <c r="Q28" s="500"/>
      <c r="R28" s="4"/>
      <c r="S28" s="4"/>
      <c r="T28" s="4"/>
      <c r="U28" s="4"/>
      <c r="V28" s="4"/>
      <c r="W28" s="4"/>
    </row>
    <row r="29" spans="2:34" ht="25.5">
      <c r="B29" s="213">
        <v>24</v>
      </c>
      <c r="C29" s="223" t="s">
        <v>466</v>
      </c>
      <c r="D29" s="215">
        <v>19.87</v>
      </c>
      <c r="E29" s="216">
        <v>3</v>
      </c>
      <c r="F29" s="216">
        <f>ROUND(D29/3/12,2)</f>
        <v>0.55000000000000004</v>
      </c>
      <c r="G29" s="217">
        <v>0.55000000000000004</v>
      </c>
      <c r="H29" s="216">
        <v>0.55000000000000004</v>
      </c>
      <c r="I29" s="216">
        <v>0.55000000000000004</v>
      </c>
      <c r="J29" s="218">
        <v>0.55000000000000004</v>
      </c>
      <c r="K29" s="219"/>
      <c r="L29" s="216">
        <v>0.55000000000000004</v>
      </c>
      <c r="M29" s="393">
        <v>0.55000000000000004</v>
      </c>
      <c r="N29" s="501">
        <v>0.55000000000000004</v>
      </c>
      <c r="O29" s="502">
        <v>0.55000000000000004</v>
      </c>
      <c r="P29" s="503">
        <f t="shared" si="1"/>
        <v>0.55000000000000004</v>
      </c>
      <c r="Q29" s="500"/>
      <c r="R29" s="325"/>
      <c r="S29" s="513" t="s">
        <v>15</v>
      </c>
      <c r="T29" s="323" t="s">
        <v>16</v>
      </c>
      <c r="U29" s="4"/>
      <c r="V29" s="4"/>
      <c r="W29" s="4"/>
    </row>
    <row r="30" spans="2:34" ht="51">
      <c r="B30" s="206">
        <v>25</v>
      </c>
      <c r="C30" s="223" t="s">
        <v>467</v>
      </c>
      <c r="D30" s="215">
        <v>14.25</v>
      </c>
      <c r="E30" s="216">
        <v>3</v>
      </c>
      <c r="F30" s="216">
        <f>ROUND(D30/3/12,2)</f>
        <v>0.4</v>
      </c>
      <c r="G30" s="217">
        <v>0.4</v>
      </c>
      <c r="H30" s="216">
        <v>0.4</v>
      </c>
      <c r="I30" s="216">
        <v>0.4</v>
      </c>
      <c r="J30" s="218">
        <v>0.4</v>
      </c>
      <c r="K30" s="219"/>
      <c r="L30" s="216">
        <v>0.4</v>
      </c>
      <c r="M30" s="393">
        <v>0.4</v>
      </c>
      <c r="N30" s="501">
        <v>0.4</v>
      </c>
      <c r="O30" s="502">
        <v>0.4</v>
      </c>
      <c r="P30" s="503">
        <f t="shared" si="1"/>
        <v>0.4</v>
      </c>
      <c r="Q30" s="500"/>
      <c r="R30" s="514" t="s">
        <v>611</v>
      </c>
      <c r="S30" s="515">
        <v>464894</v>
      </c>
      <c r="T30" s="515">
        <f>S30</f>
        <v>464894</v>
      </c>
      <c r="U30" s="4"/>
      <c r="V30" s="4"/>
      <c r="W30" s="4"/>
    </row>
    <row r="31" spans="2:34" ht="78.75">
      <c r="B31" s="213">
        <v>26</v>
      </c>
      <c r="C31" s="223" t="s">
        <v>468</v>
      </c>
      <c r="D31" s="215">
        <v>3.33</v>
      </c>
      <c r="E31" s="216">
        <v>3</v>
      </c>
      <c r="F31" s="216">
        <f t="shared" ref="F31:F32" si="10">ROUND(D31/3/12,2)</f>
        <v>0.09</v>
      </c>
      <c r="G31" s="217">
        <v>0.09</v>
      </c>
      <c r="H31" s="216">
        <v>0.09</v>
      </c>
      <c r="I31" s="216">
        <v>0.09</v>
      </c>
      <c r="J31" s="218">
        <v>0.09</v>
      </c>
      <c r="K31" s="219"/>
      <c r="L31" s="216">
        <v>0.09</v>
      </c>
      <c r="M31" s="393">
        <v>0.09</v>
      </c>
      <c r="N31" s="501">
        <v>0.09</v>
      </c>
      <c r="O31" s="502">
        <v>0.09</v>
      </c>
      <c r="P31" s="503">
        <f t="shared" si="1"/>
        <v>0.09</v>
      </c>
      <c r="Q31" s="500"/>
      <c r="R31" s="303" t="s">
        <v>553</v>
      </c>
      <c r="S31" s="483">
        <f>AG19</f>
        <v>137712</v>
      </c>
      <c r="T31" s="8"/>
      <c r="U31" s="4"/>
      <c r="V31" s="4"/>
      <c r="W31" s="4"/>
    </row>
    <row r="32" spans="2:34" ht="63">
      <c r="B32" s="213">
        <v>27</v>
      </c>
      <c r="C32" s="223" t="s">
        <v>469</v>
      </c>
      <c r="D32" s="215">
        <v>2.95</v>
      </c>
      <c r="E32" s="216">
        <v>3</v>
      </c>
      <c r="F32" s="216">
        <f t="shared" si="10"/>
        <v>0.08</v>
      </c>
      <c r="G32" s="217">
        <v>0.08</v>
      </c>
      <c r="H32" s="216">
        <v>0.08</v>
      </c>
      <c r="I32" s="216">
        <v>0.08</v>
      </c>
      <c r="J32" s="218">
        <v>0.08</v>
      </c>
      <c r="K32" s="219"/>
      <c r="L32" s="216">
        <v>0.08</v>
      </c>
      <c r="M32" s="393">
        <v>0.08</v>
      </c>
      <c r="N32" s="501">
        <v>0.08</v>
      </c>
      <c r="O32" s="502">
        <v>0.08</v>
      </c>
      <c r="P32" s="503">
        <f t="shared" si="1"/>
        <v>0.08</v>
      </c>
      <c r="Q32" s="500"/>
      <c r="R32" s="314" t="s">
        <v>561</v>
      </c>
      <c r="S32" s="483">
        <v>85840</v>
      </c>
      <c r="T32" s="483">
        <v>257520</v>
      </c>
      <c r="U32" s="4"/>
      <c r="V32" s="4"/>
      <c r="W32" s="4"/>
    </row>
    <row r="33" spans="1:34">
      <c r="B33" s="213">
        <v>28</v>
      </c>
      <c r="C33" s="223" t="s">
        <v>470</v>
      </c>
      <c r="D33" s="215">
        <v>2.2400000000000002</v>
      </c>
      <c r="E33" s="216">
        <v>3</v>
      </c>
      <c r="F33" s="216">
        <f>ROUND(D33/3/12,2)</f>
        <v>0.06</v>
      </c>
      <c r="G33" s="217">
        <v>0.06</v>
      </c>
      <c r="H33" s="216">
        <v>0.06</v>
      </c>
      <c r="I33" s="216">
        <v>0.06</v>
      </c>
      <c r="J33" s="218">
        <v>0.06</v>
      </c>
      <c r="K33" s="219"/>
      <c r="L33" s="216">
        <v>0.06</v>
      </c>
      <c r="M33" s="393">
        <v>0.06</v>
      </c>
      <c r="N33" s="501">
        <v>0.06</v>
      </c>
      <c r="O33" s="502">
        <v>0.06</v>
      </c>
      <c r="P33" s="503">
        <f t="shared" si="1"/>
        <v>0.06</v>
      </c>
      <c r="Q33" s="500"/>
      <c r="R33" s="9" t="s">
        <v>554</v>
      </c>
      <c r="S33" s="8">
        <f>S30-S31-S32</f>
        <v>241342</v>
      </c>
      <c r="T33" s="8">
        <f>T30-T31-T32</f>
        <v>207374</v>
      </c>
      <c r="U33" s="4"/>
      <c r="V33" s="4"/>
      <c r="W33" s="4"/>
    </row>
    <row r="34" spans="1:34">
      <c r="B34" s="213">
        <v>29</v>
      </c>
      <c r="C34" s="224" t="s">
        <v>471</v>
      </c>
      <c r="D34" s="215">
        <v>70.42</v>
      </c>
      <c r="E34" s="216">
        <v>5</v>
      </c>
      <c r="F34" s="216">
        <f>ROUND(D34/5/12,2)</f>
        <v>1.17</v>
      </c>
      <c r="G34" s="217">
        <v>1.17</v>
      </c>
      <c r="H34" s="216">
        <v>1.17</v>
      </c>
      <c r="I34" s="216">
        <v>1.17</v>
      </c>
      <c r="J34" s="218">
        <v>1.17</v>
      </c>
      <c r="K34" s="219"/>
      <c r="L34" s="216">
        <v>1.17</v>
      </c>
      <c r="M34" s="393">
        <v>1.17</v>
      </c>
      <c r="N34" s="501">
        <v>1.17</v>
      </c>
      <c r="O34" s="502">
        <v>1.17</v>
      </c>
      <c r="P34" s="503">
        <f t="shared" si="1"/>
        <v>1.17</v>
      </c>
      <c r="Q34" s="500"/>
    </row>
    <row r="35" spans="1:34" s="11" customFormat="1">
      <c r="A35" s="80"/>
      <c r="B35" s="213">
        <v>30</v>
      </c>
      <c r="C35" s="224" t="s">
        <v>472</v>
      </c>
      <c r="D35" s="215">
        <v>25</v>
      </c>
      <c r="E35" s="216">
        <v>5</v>
      </c>
      <c r="F35" s="216">
        <f>ROUND(D35/5/12,2)</f>
        <v>0.42</v>
      </c>
      <c r="G35" s="217">
        <v>0.42</v>
      </c>
      <c r="H35" s="216">
        <v>0.42</v>
      </c>
      <c r="I35" s="216">
        <v>0.42</v>
      </c>
      <c r="J35" s="218">
        <v>0.42</v>
      </c>
      <c r="K35" s="219"/>
      <c r="L35" s="216">
        <v>0.42</v>
      </c>
      <c r="M35" s="393">
        <v>0.42</v>
      </c>
      <c r="N35" s="501">
        <v>0.42</v>
      </c>
      <c r="O35" s="502">
        <v>0.42</v>
      </c>
      <c r="P35" s="503">
        <f t="shared" si="1"/>
        <v>0.42</v>
      </c>
      <c r="Q35" s="500"/>
      <c r="R35" s="485"/>
      <c r="S35" s="485"/>
      <c r="T35" s="512"/>
      <c r="U35" s="512"/>
      <c r="V35" s="512"/>
      <c r="W35" s="512"/>
      <c r="X35" s="512"/>
      <c r="Y35" s="80"/>
      <c r="Z35" s="80"/>
      <c r="AA35" s="80"/>
      <c r="AB35" s="80"/>
      <c r="AC35" s="80"/>
      <c r="AD35" s="80"/>
      <c r="AE35" s="80"/>
      <c r="AF35" s="80"/>
      <c r="AG35" s="80"/>
      <c r="AH35" s="335"/>
    </row>
    <row r="36" spans="1:34" s="11" customFormat="1">
      <c r="A36" s="80"/>
      <c r="B36" s="213">
        <v>31</v>
      </c>
      <c r="C36" s="224" t="s">
        <v>473</v>
      </c>
      <c r="D36" s="215">
        <v>10.84</v>
      </c>
      <c r="E36" s="216">
        <v>3</v>
      </c>
      <c r="F36" s="216">
        <f>ROUND(D36/3/12,2)</f>
        <v>0.3</v>
      </c>
      <c r="G36" s="217">
        <v>0.3</v>
      </c>
      <c r="H36" s="216">
        <v>0.3</v>
      </c>
      <c r="I36" s="216">
        <v>0.3</v>
      </c>
      <c r="J36" s="218">
        <v>0.3</v>
      </c>
      <c r="K36" s="219"/>
      <c r="L36" s="216">
        <v>0.3</v>
      </c>
      <c r="M36" s="393">
        <v>0.3</v>
      </c>
      <c r="N36" s="501">
        <v>0.3</v>
      </c>
      <c r="O36" s="502">
        <v>0.3</v>
      </c>
      <c r="P36" s="503">
        <f t="shared" si="1"/>
        <v>0.3</v>
      </c>
      <c r="Q36" s="500"/>
      <c r="R36" s="485"/>
      <c r="S36" s="485"/>
      <c r="T36" s="512"/>
      <c r="U36" s="512"/>
      <c r="V36" s="512"/>
      <c r="W36" s="512"/>
      <c r="X36" s="512"/>
      <c r="Y36" s="80"/>
      <c r="Z36" s="80"/>
      <c r="AA36" s="80"/>
      <c r="AB36" s="80"/>
      <c r="AC36" s="80"/>
      <c r="AD36" s="80"/>
      <c r="AE36" s="80"/>
      <c r="AF36" s="80"/>
      <c r="AG36" s="80"/>
      <c r="AH36" s="335"/>
    </row>
    <row r="37" spans="1:34" s="11" customFormat="1">
      <c r="A37" s="80"/>
      <c r="B37" s="213">
        <v>32</v>
      </c>
      <c r="C37" s="224" t="s">
        <v>474</v>
      </c>
      <c r="D37" s="215">
        <v>30</v>
      </c>
      <c r="E37" s="216">
        <v>5</v>
      </c>
      <c r="F37" s="216">
        <f>ROUND(D37/5/12,2)</f>
        <v>0.5</v>
      </c>
      <c r="G37" s="217">
        <v>0.5</v>
      </c>
      <c r="H37" s="216">
        <v>0.5</v>
      </c>
      <c r="I37" s="216">
        <v>0.5</v>
      </c>
      <c r="J37" s="218">
        <v>0.5</v>
      </c>
      <c r="K37" s="219"/>
      <c r="L37" s="216">
        <v>0.5</v>
      </c>
      <c r="M37" s="393">
        <v>0.5</v>
      </c>
      <c r="N37" s="501">
        <v>0.5</v>
      </c>
      <c r="O37" s="502">
        <v>0.5</v>
      </c>
      <c r="P37" s="503">
        <f t="shared" si="1"/>
        <v>0.5</v>
      </c>
      <c r="Q37" s="500"/>
      <c r="R37" s="485"/>
      <c r="S37" s="559">
        <f>S31+S32</f>
        <v>223552</v>
      </c>
      <c r="T37" s="512"/>
      <c r="U37" s="512"/>
      <c r="V37" s="512"/>
      <c r="W37" s="512"/>
      <c r="X37" s="512"/>
      <c r="Y37" s="80"/>
      <c r="Z37" s="80"/>
      <c r="AA37" s="80"/>
      <c r="AB37" s="80"/>
      <c r="AC37" s="80"/>
      <c r="AD37" s="80"/>
      <c r="AE37" s="80"/>
      <c r="AF37" s="80"/>
      <c r="AG37" s="80"/>
      <c r="AH37" s="335"/>
    </row>
    <row r="38" spans="1:34" s="11" customFormat="1" ht="13.5" thickBot="1">
      <c r="A38" s="80"/>
      <c r="B38" s="256">
        <v>33</v>
      </c>
      <c r="C38" s="343" t="s">
        <v>475</v>
      </c>
      <c r="D38" s="258">
        <v>0.55000000000000004</v>
      </c>
      <c r="E38" s="259">
        <v>5</v>
      </c>
      <c r="F38" s="259">
        <f>ROUND(D38/12/5,2)</f>
        <v>0.01</v>
      </c>
      <c r="G38" s="344">
        <v>0.01</v>
      </c>
      <c r="H38" s="259">
        <v>0.01</v>
      </c>
      <c r="I38" s="259">
        <v>0.01</v>
      </c>
      <c r="J38" s="345">
        <v>0.01</v>
      </c>
      <c r="K38" s="346"/>
      <c r="L38" s="259">
        <v>0.01</v>
      </c>
      <c r="M38" s="394">
        <v>0.01</v>
      </c>
      <c r="N38" s="516">
        <v>0.01</v>
      </c>
      <c r="O38" s="517">
        <v>0.01</v>
      </c>
      <c r="P38" s="518">
        <f t="shared" si="1"/>
        <v>0.01</v>
      </c>
      <c r="Q38" s="500"/>
      <c r="R38" s="485"/>
      <c r="S38" s="485"/>
      <c r="T38" s="512"/>
      <c r="U38" s="512"/>
      <c r="V38" s="512"/>
      <c r="W38" s="512"/>
      <c r="X38" s="512"/>
      <c r="Y38" s="80"/>
      <c r="Z38" s="80"/>
      <c r="AA38" s="80"/>
      <c r="AB38" s="80"/>
      <c r="AC38" s="80"/>
      <c r="AD38" s="80"/>
      <c r="AE38" s="80"/>
      <c r="AF38" s="80"/>
      <c r="AG38" s="80"/>
      <c r="AH38" s="335"/>
    </row>
    <row r="39" spans="1:34" s="11" customFormat="1" ht="13.5" thickBot="1">
      <c r="A39" s="80"/>
      <c r="B39" s="368"/>
      <c r="C39" s="369" t="s">
        <v>476</v>
      </c>
      <c r="D39" s="370">
        <f>SUM(D6:D38)</f>
        <v>4588.6600000000008</v>
      </c>
      <c r="E39" s="371"/>
      <c r="F39" s="371">
        <f>SUM(F6:F38)</f>
        <v>40.590000000000003</v>
      </c>
      <c r="G39" s="371">
        <f>SUM(G6:G38)</f>
        <v>40.590000000000003</v>
      </c>
      <c r="H39" s="371">
        <f>SUM(H6:H38)</f>
        <v>40.590000000000003</v>
      </c>
      <c r="I39" s="371">
        <f>SUM(I6:I38)</f>
        <v>40.590000000000003</v>
      </c>
      <c r="J39" s="372">
        <f>SUM(J6:J38)</f>
        <v>40.590000000000003</v>
      </c>
      <c r="K39" s="373"/>
      <c r="L39" s="374">
        <f>SUM(L6:L38)</f>
        <v>40.590000000000003</v>
      </c>
      <c r="M39" s="519">
        <f>SUM(M6:M38)</f>
        <v>40.590000000000003</v>
      </c>
      <c r="N39" s="520">
        <f>SUM(N6:N38)</f>
        <v>40.590000000000003</v>
      </c>
      <c r="O39" s="521">
        <f>SUM(O6:O38)</f>
        <v>40.590000000000003</v>
      </c>
      <c r="P39" s="522">
        <f>SUM(P6:P38)</f>
        <v>40.590000000000003</v>
      </c>
      <c r="Q39" s="500"/>
      <c r="R39" s="485"/>
      <c r="S39" s="485"/>
      <c r="T39" s="512"/>
      <c r="U39" s="512"/>
      <c r="V39" s="512"/>
      <c r="W39" s="512"/>
      <c r="X39" s="512"/>
      <c r="Y39" s="80"/>
      <c r="Z39" s="80"/>
      <c r="AA39" s="80"/>
      <c r="AB39" s="80"/>
      <c r="AC39" s="80"/>
      <c r="AD39" s="80"/>
      <c r="AE39" s="80"/>
      <c r="AF39" s="80"/>
      <c r="AG39" s="80"/>
      <c r="AH39" s="335"/>
    </row>
    <row r="40" spans="1:34" s="11" customFormat="1" ht="13.5" thickBot="1">
      <c r="A40" s="80"/>
      <c r="B40" s="274"/>
      <c r="C40" s="275" t="s">
        <v>477</v>
      </c>
      <c r="D40" s="276"/>
      <c r="E40" s="273"/>
      <c r="F40" s="273"/>
      <c r="G40" s="273"/>
      <c r="H40" s="273"/>
      <c r="I40" s="273"/>
      <c r="J40" s="277"/>
      <c r="K40" s="235"/>
      <c r="L40" s="236"/>
      <c r="M40" s="523"/>
      <c r="N40" s="524"/>
      <c r="O40" s="525"/>
      <c r="P40" s="526">
        <f t="shared" si="1"/>
        <v>0</v>
      </c>
      <c r="Q40" s="500"/>
      <c r="R40" s="485"/>
      <c r="S40" s="485"/>
      <c r="T40" s="512"/>
      <c r="U40" s="512"/>
      <c r="V40" s="512"/>
      <c r="W40" s="512"/>
      <c r="X40" s="512"/>
      <c r="Y40" s="80"/>
      <c r="Z40" s="80"/>
      <c r="AA40" s="80"/>
      <c r="AB40" s="80"/>
      <c r="AC40" s="80"/>
      <c r="AD40" s="80"/>
      <c r="AE40" s="80"/>
      <c r="AF40" s="80"/>
      <c r="AG40" s="80"/>
      <c r="AH40" s="335"/>
    </row>
    <row r="41" spans="1:34" s="11" customFormat="1" ht="25.5">
      <c r="A41" s="80"/>
      <c r="B41" s="206">
        <v>34</v>
      </c>
      <c r="C41" s="237" t="s">
        <v>478</v>
      </c>
      <c r="D41" s="238">
        <v>5.99</v>
      </c>
      <c r="E41" s="239">
        <v>1</v>
      </c>
      <c r="F41" s="239">
        <f>ROUND(D41/12,2)</f>
        <v>0.5</v>
      </c>
      <c r="G41" s="210">
        <v>0.5</v>
      </c>
      <c r="H41" s="209">
        <v>0.5</v>
      </c>
      <c r="I41" s="209">
        <v>0.5</v>
      </c>
      <c r="J41" s="211">
        <v>0.5</v>
      </c>
      <c r="K41" s="212"/>
      <c r="L41" s="209">
        <v>0.5</v>
      </c>
      <c r="M41" s="392">
        <v>0.5</v>
      </c>
      <c r="N41" s="497">
        <v>0.5</v>
      </c>
      <c r="O41" s="498">
        <v>0.5</v>
      </c>
      <c r="P41" s="499">
        <f t="shared" si="1"/>
        <v>0.5</v>
      </c>
      <c r="Q41" s="500"/>
      <c r="R41" s="485"/>
      <c r="S41" s="485"/>
      <c r="T41" s="512"/>
      <c r="U41" s="512"/>
      <c r="V41" s="512"/>
      <c r="W41" s="512"/>
      <c r="X41" s="512"/>
      <c r="Y41" s="80"/>
      <c r="Z41" s="80"/>
      <c r="AA41" s="80"/>
      <c r="AB41" s="80"/>
      <c r="AC41" s="80"/>
      <c r="AD41" s="80"/>
      <c r="AE41" s="80"/>
      <c r="AF41" s="80"/>
      <c r="AG41" s="80"/>
      <c r="AH41" s="335"/>
    </row>
    <row r="42" spans="1:34" s="11" customFormat="1" ht="38.25">
      <c r="A42" s="80"/>
      <c r="B42" s="213">
        <v>35</v>
      </c>
      <c r="C42" s="240" t="s">
        <v>479</v>
      </c>
      <c r="D42" s="241">
        <v>0.84</v>
      </c>
      <c r="E42" s="242">
        <v>1</v>
      </c>
      <c r="F42" s="242">
        <f t="shared" ref="F42:F61" si="11">ROUND(D42/12,2)</f>
        <v>7.0000000000000007E-2</v>
      </c>
      <c r="G42" s="210">
        <v>7.0000000000000007E-2</v>
      </c>
      <c r="H42" s="209">
        <v>7.0000000000000007E-2</v>
      </c>
      <c r="I42" s="209">
        <v>7.0000000000000007E-2</v>
      </c>
      <c r="J42" s="211">
        <v>7.0000000000000007E-2</v>
      </c>
      <c r="K42" s="212"/>
      <c r="L42" s="209">
        <v>7.0000000000000007E-2</v>
      </c>
      <c r="M42" s="392">
        <v>7.0000000000000007E-2</v>
      </c>
      <c r="N42" s="497">
        <v>7.0000000000000007E-2</v>
      </c>
      <c r="O42" s="502">
        <v>7.0000000000000007E-2</v>
      </c>
      <c r="P42" s="503">
        <f t="shared" si="1"/>
        <v>7.0000000000000007E-2</v>
      </c>
      <c r="Q42" s="500"/>
      <c r="R42" s="485"/>
      <c r="S42" s="485"/>
      <c r="T42" s="512"/>
      <c r="U42" s="512"/>
      <c r="V42" s="512"/>
      <c r="W42" s="512"/>
      <c r="X42" s="512"/>
      <c r="Y42" s="80"/>
      <c r="Z42" s="80"/>
      <c r="AA42" s="80"/>
      <c r="AB42" s="80"/>
      <c r="AC42" s="80"/>
      <c r="AD42" s="80"/>
      <c r="AE42" s="80"/>
      <c r="AF42" s="80"/>
      <c r="AG42" s="80"/>
      <c r="AH42" s="335"/>
    </row>
    <row r="43" spans="1:34" s="11" customFormat="1" ht="25.5">
      <c r="A43" s="80"/>
      <c r="B43" s="213">
        <f t="shared" ref="B43:B64" si="12">B42+1</f>
        <v>36</v>
      </c>
      <c r="C43" s="240" t="s">
        <v>480</v>
      </c>
      <c r="D43" s="241">
        <v>3.96</v>
      </c>
      <c r="E43" s="242">
        <v>1</v>
      </c>
      <c r="F43" s="242">
        <f t="shared" si="11"/>
        <v>0.33</v>
      </c>
      <c r="G43" s="210">
        <v>0.33</v>
      </c>
      <c r="H43" s="209">
        <v>0.33</v>
      </c>
      <c r="I43" s="209">
        <v>0.33</v>
      </c>
      <c r="J43" s="211">
        <v>0.33</v>
      </c>
      <c r="K43" s="212"/>
      <c r="L43" s="209">
        <v>0.33</v>
      </c>
      <c r="M43" s="392">
        <v>0.33</v>
      </c>
      <c r="N43" s="497">
        <v>0.33</v>
      </c>
      <c r="O43" s="502">
        <v>0.33</v>
      </c>
      <c r="P43" s="503">
        <f t="shared" si="1"/>
        <v>0.33</v>
      </c>
      <c r="Q43" s="500"/>
      <c r="R43" s="485"/>
      <c r="S43" s="485"/>
      <c r="T43" s="512"/>
      <c r="U43" s="512"/>
      <c r="V43" s="512"/>
      <c r="W43" s="512"/>
      <c r="X43" s="512"/>
      <c r="Y43" s="80"/>
      <c r="Z43" s="80"/>
      <c r="AA43" s="80"/>
      <c r="AB43" s="80"/>
      <c r="AC43" s="80"/>
      <c r="AD43" s="80"/>
      <c r="AE43" s="80"/>
      <c r="AF43" s="80"/>
      <c r="AG43" s="80"/>
      <c r="AH43" s="335"/>
    </row>
    <row r="44" spans="1:34" s="11" customFormat="1" ht="25.5">
      <c r="A44" s="80"/>
      <c r="B44" s="206">
        <v>37</v>
      </c>
      <c r="C44" s="240" t="s">
        <v>481</v>
      </c>
      <c r="D44" s="241">
        <v>4.24</v>
      </c>
      <c r="E44" s="242">
        <v>1</v>
      </c>
      <c r="F44" s="242">
        <f t="shared" si="11"/>
        <v>0.35</v>
      </c>
      <c r="G44" s="210">
        <v>0.35</v>
      </c>
      <c r="H44" s="209">
        <v>0.35</v>
      </c>
      <c r="I44" s="209">
        <v>0.35</v>
      </c>
      <c r="J44" s="211">
        <v>0.35</v>
      </c>
      <c r="K44" s="212"/>
      <c r="L44" s="209">
        <v>0.35</v>
      </c>
      <c r="M44" s="392">
        <v>0.35</v>
      </c>
      <c r="N44" s="497">
        <v>0.35</v>
      </c>
      <c r="O44" s="502">
        <v>0.35</v>
      </c>
      <c r="P44" s="503">
        <f t="shared" si="1"/>
        <v>0.35</v>
      </c>
      <c r="Q44" s="500"/>
      <c r="R44" s="485"/>
      <c r="S44" s="485"/>
      <c r="T44" s="512"/>
      <c r="U44" s="512"/>
      <c r="V44" s="512"/>
      <c r="W44" s="512"/>
      <c r="X44" s="512"/>
      <c r="Y44" s="80"/>
      <c r="Z44" s="80"/>
      <c r="AA44" s="80"/>
      <c r="AB44" s="80"/>
      <c r="AC44" s="80"/>
      <c r="AD44" s="80"/>
      <c r="AE44" s="80"/>
      <c r="AF44" s="80"/>
      <c r="AG44" s="80"/>
      <c r="AH44" s="335"/>
    </row>
    <row r="45" spans="1:34" s="11" customFormat="1" ht="25.5">
      <c r="A45" s="80"/>
      <c r="B45" s="213">
        <v>38</v>
      </c>
      <c r="C45" s="240" t="s">
        <v>482</v>
      </c>
      <c r="D45" s="241">
        <v>4.3</v>
      </c>
      <c r="E45" s="242">
        <v>1</v>
      </c>
      <c r="F45" s="242">
        <f t="shared" si="11"/>
        <v>0.36</v>
      </c>
      <c r="G45" s="210">
        <v>0.36</v>
      </c>
      <c r="H45" s="209">
        <v>0.36</v>
      </c>
      <c r="I45" s="209">
        <v>0.36</v>
      </c>
      <c r="J45" s="211">
        <v>0.36</v>
      </c>
      <c r="K45" s="212"/>
      <c r="L45" s="209">
        <v>0.36</v>
      </c>
      <c r="M45" s="392">
        <v>0.36</v>
      </c>
      <c r="N45" s="497">
        <v>0.36</v>
      </c>
      <c r="O45" s="502">
        <v>0.36</v>
      </c>
      <c r="P45" s="503">
        <f t="shared" si="1"/>
        <v>0.36</v>
      </c>
      <c r="Q45" s="500"/>
      <c r="R45" s="485"/>
      <c r="S45" s="485"/>
      <c r="T45" s="512"/>
      <c r="U45" s="512"/>
      <c r="V45" s="512"/>
      <c r="W45" s="512"/>
      <c r="X45" s="512"/>
      <c r="Y45" s="80"/>
      <c r="Z45" s="80"/>
      <c r="AA45" s="80"/>
      <c r="AB45" s="80"/>
      <c r="AC45" s="80"/>
      <c r="AD45" s="80"/>
      <c r="AE45" s="80"/>
      <c r="AF45" s="80"/>
      <c r="AG45" s="80"/>
      <c r="AH45" s="335"/>
    </row>
    <row r="46" spans="1:34" s="11" customFormat="1" ht="38.25">
      <c r="A46" s="80"/>
      <c r="B46" s="213">
        <v>39</v>
      </c>
      <c r="C46" s="240" t="s">
        <v>483</v>
      </c>
      <c r="D46" s="241">
        <v>41.57</v>
      </c>
      <c r="E46" s="242">
        <v>1</v>
      </c>
      <c r="F46" s="242">
        <f t="shared" si="11"/>
        <v>3.46</v>
      </c>
      <c r="G46" s="210">
        <v>3.46</v>
      </c>
      <c r="H46" s="209">
        <v>3.46</v>
      </c>
      <c r="I46" s="209">
        <v>3.46</v>
      </c>
      <c r="J46" s="211">
        <v>3.46</v>
      </c>
      <c r="K46" s="212"/>
      <c r="L46" s="209">
        <v>3.46</v>
      </c>
      <c r="M46" s="392">
        <v>3.46</v>
      </c>
      <c r="N46" s="497">
        <v>3.46</v>
      </c>
      <c r="O46" s="502">
        <v>3.46</v>
      </c>
      <c r="P46" s="503">
        <f t="shared" si="1"/>
        <v>3.46</v>
      </c>
      <c r="Q46" s="500"/>
      <c r="R46" s="485"/>
      <c r="S46" s="485"/>
      <c r="T46" s="512"/>
      <c r="U46" s="512"/>
      <c r="V46" s="512"/>
      <c r="W46" s="512"/>
      <c r="X46" s="512"/>
      <c r="Y46" s="80"/>
      <c r="Z46" s="80"/>
      <c r="AA46" s="80"/>
      <c r="AB46" s="80"/>
      <c r="AC46" s="80"/>
      <c r="AD46" s="80"/>
      <c r="AE46" s="80"/>
      <c r="AF46" s="80"/>
      <c r="AG46" s="80"/>
      <c r="AH46" s="335"/>
    </row>
    <row r="47" spans="1:34" s="11" customFormat="1" ht="51">
      <c r="A47" s="80"/>
      <c r="B47" s="206">
        <v>40</v>
      </c>
      <c r="C47" s="240" t="s">
        <v>484</v>
      </c>
      <c r="D47" s="241">
        <v>4.3</v>
      </c>
      <c r="E47" s="242">
        <v>1</v>
      </c>
      <c r="F47" s="242">
        <f t="shared" si="11"/>
        <v>0.36</v>
      </c>
      <c r="G47" s="210">
        <v>0.36</v>
      </c>
      <c r="H47" s="209">
        <v>0.36</v>
      </c>
      <c r="I47" s="209">
        <v>0.36</v>
      </c>
      <c r="J47" s="211">
        <v>0.36</v>
      </c>
      <c r="K47" s="212"/>
      <c r="L47" s="209">
        <v>0.36</v>
      </c>
      <c r="M47" s="392">
        <v>0.36</v>
      </c>
      <c r="N47" s="497">
        <v>0.36</v>
      </c>
      <c r="O47" s="502">
        <v>0.36</v>
      </c>
      <c r="P47" s="503">
        <f t="shared" si="1"/>
        <v>0.36</v>
      </c>
      <c r="Q47" s="500"/>
      <c r="R47" s="485"/>
      <c r="S47" s="485"/>
      <c r="T47" s="512"/>
      <c r="U47" s="512"/>
      <c r="V47" s="512"/>
      <c r="W47" s="512"/>
      <c r="X47" s="512"/>
      <c r="Y47" s="80"/>
      <c r="Z47" s="80"/>
      <c r="AA47" s="80"/>
      <c r="AB47" s="80"/>
      <c r="AC47" s="80"/>
      <c r="AD47" s="80"/>
      <c r="AE47" s="80"/>
      <c r="AF47" s="80"/>
      <c r="AG47" s="80"/>
      <c r="AH47" s="335"/>
    </row>
    <row r="48" spans="1:34" s="11" customFormat="1" ht="51">
      <c r="A48" s="80"/>
      <c r="B48" s="206">
        <v>41</v>
      </c>
      <c r="C48" s="240" t="s">
        <v>485</v>
      </c>
      <c r="D48" s="241">
        <v>0.76</v>
      </c>
      <c r="E48" s="242">
        <v>1</v>
      </c>
      <c r="F48" s="242">
        <f t="shared" si="11"/>
        <v>0.06</v>
      </c>
      <c r="G48" s="210">
        <v>0.06</v>
      </c>
      <c r="H48" s="209">
        <v>0.06</v>
      </c>
      <c r="I48" s="209">
        <v>0.06</v>
      </c>
      <c r="J48" s="211">
        <v>0.06</v>
      </c>
      <c r="K48" s="212"/>
      <c r="L48" s="209">
        <v>0.06</v>
      </c>
      <c r="M48" s="392">
        <v>0.06</v>
      </c>
      <c r="N48" s="497">
        <v>0.06</v>
      </c>
      <c r="O48" s="502">
        <v>0.06</v>
      </c>
      <c r="P48" s="503">
        <f t="shared" si="1"/>
        <v>0.06</v>
      </c>
      <c r="Q48" s="500"/>
      <c r="R48" s="485"/>
      <c r="S48" s="485"/>
      <c r="T48" s="512"/>
      <c r="U48" s="512"/>
      <c r="V48" s="512"/>
      <c r="W48" s="512"/>
      <c r="X48" s="512"/>
      <c r="Y48" s="80"/>
      <c r="Z48" s="80"/>
      <c r="AA48" s="80"/>
      <c r="AB48" s="80"/>
      <c r="AC48" s="80"/>
      <c r="AD48" s="80"/>
      <c r="AE48" s="80"/>
      <c r="AF48" s="80"/>
      <c r="AG48" s="80"/>
      <c r="AH48" s="335"/>
    </row>
    <row r="49" spans="1:34" s="11" customFormat="1" ht="44.25" customHeight="1">
      <c r="A49" s="80"/>
      <c r="B49" s="213">
        <v>42</v>
      </c>
      <c r="C49" s="240" t="s">
        <v>486</v>
      </c>
      <c r="D49" s="241">
        <v>1.1000000000000001</v>
      </c>
      <c r="E49" s="242">
        <v>1</v>
      </c>
      <c r="F49" s="242">
        <f t="shared" si="11"/>
        <v>0.09</v>
      </c>
      <c r="G49" s="210">
        <v>0.09</v>
      </c>
      <c r="H49" s="209">
        <v>0.09</v>
      </c>
      <c r="I49" s="209">
        <v>0.09</v>
      </c>
      <c r="J49" s="211">
        <v>0.09</v>
      </c>
      <c r="K49" s="212"/>
      <c r="L49" s="209">
        <v>0.09</v>
      </c>
      <c r="M49" s="392">
        <v>0.09</v>
      </c>
      <c r="N49" s="497">
        <v>0.09</v>
      </c>
      <c r="O49" s="502">
        <v>0.09</v>
      </c>
      <c r="P49" s="503">
        <f t="shared" si="1"/>
        <v>0.09</v>
      </c>
      <c r="Q49" s="500"/>
      <c r="R49" s="485"/>
      <c r="S49" s="485"/>
      <c r="T49" s="512"/>
      <c r="U49" s="512"/>
      <c r="V49" s="512"/>
      <c r="W49" s="512"/>
      <c r="X49" s="512"/>
      <c r="Y49" s="80"/>
      <c r="Z49" s="80"/>
      <c r="AA49" s="80"/>
      <c r="AB49" s="80"/>
      <c r="AC49" s="80"/>
      <c r="AD49" s="80"/>
      <c r="AE49" s="80"/>
      <c r="AF49" s="80"/>
      <c r="AG49" s="80"/>
      <c r="AH49" s="335"/>
    </row>
    <row r="50" spans="1:34" s="11" customFormat="1" ht="25.5">
      <c r="A50" s="80"/>
      <c r="B50" s="213">
        <f t="shared" si="12"/>
        <v>43</v>
      </c>
      <c r="C50" s="240" t="s">
        <v>487</v>
      </c>
      <c r="D50" s="241">
        <v>4</v>
      </c>
      <c r="E50" s="242">
        <v>1</v>
      </c>
      <c r="F50" s="242">
        <f t="shared" si="11"/>
        <v>0.33</v>
      </c>
      <c r="G50" s="210">
        <v>0.33</v>
      </c>
      <c r="H50" s="209">
        <v>0.33</v>
      </c>
      <c r="I50" s="209">
        <v>0.33</v>
      </c>
      <c r="J50" s="211">
        <v>0.33</v>
      </c>
      <c r="K50" s="212"/>
      <c r="L50" s="209">
        <v>0.33</v>
      </c>
      <c r="M50" s="392">
        <v>0.33</v>
      </c>
      <c r="N50" s="497">
        <v>0.33</v>
      </c>
      <c r="O50" s="502">
        <v>0.33</v>
      </c>
      <c r="P50" s="503">
        <f t="shared" si="1"/>
        <v>0.33</v>
      </c>
      <c r="Q50" s="500"/>
      <c r="R50" s="485"/>
      <c r="S50" s="485"/>
      <c r="T50" s="512"/>
      <c r="U50" s="512"/>
      <c r="V50" s="512"/>
      <c r="W50" s="512"/>
      <c r="X50" s="512"/>
      <c r="Y50" s="80"/>
      <c r="Z50" s="80"/>
      <c r="AA50" s="80"/>
      <c r="AB50" s="80"/>
      <c r="AC50" s="80"/>
      <c r="AD50" s="80"/>
      <c r="AE50" s="80"/>
      <c r="AF50" s="80"/>
      <c r="AG50" s="80"/>
      <c r="AH50" s="335"/>
    </row>
    <row r="51" spans="1:34" s="11" customFormat="1" ht="29.25" customHeight="1">
      <c r="A51" s="80"/>
      <c r="B51" s="206">
        <v>44</v>
      </c>
      <c r="C51" s="240" t="s">
        <v>488</v>
      </c>
      <c r="D51" s="241">
        <v>2.36</v>
      </c>
      <c r="E51" s="242">
        <v>1</v>
      </c>
      <c r="F51" s="242">
        <f t="shared" si="11"/>
        <v>0.2</v>
      </c>
      <c r="G51" s="210">
        <v>0.2</v>
      </c>
      <c r="H51" s="209">
        <v>0.2</v>
      </c>
      <c r="I51" s="209">
        <v>0.2</v>
      </c>
      <c r="J51" s="211">
        <v>0.2</v>
      </c>
      <c r="K51" s="212"/>
      <c r="L51" s="209">
        <v>0.2</v>
      </c>
      <c r="M51" s="392">
        <v>0.2</v>
      </c>
      <c r="N51" s="497">
        <v>0.2</v>
      </c>
      <c r="O51" s="502">
        <v>0.2</v>
      </c>
      <c r="P51" s="503">
        <f t="shared" si="1"/>
        <v>0.2</v>
      </c>
      <c r="Q51" s="500"/>
      <c r="R51" s="485"/>
      <c r="S51" s="485"/>
      <c r="T51" s="512"/>
      <c r="U51" s="512"/>
      <c r="V51" s="512"/>
      <c r="W51" s="512"/>
      <c r="X51" s="512"/>
      <c r="Y51" s="80"/>
      <c r="Z51" s="80"/>
      <c r="AA51" s="80"/>
      <c r="AB51" s="80"/>
      <c r="AC51" s="80"/>
      <c r="AD51" s="80"/>
      <c r="AE51" s="80"/>
      <c r="AF51" s="80"/>
      <c r="AG51" s="80"/>
      <c r="AH51" s="335"/>
    </row>
    <row r="52" spans="1:34" s="11" customFormat="1" ht="48" customHeight="1">
      <c r="A52" s="80"/>
      <c r="B52" s="213">
        <v>45</v>
      </c>
      <c r="C52" s="240" t="s">
        <v>489</v>
      </c>
      <c r="D52" s="241">
        <v>0.41</v>
      </c>
      <c r="E52" s="242">
        <v>1</v>
      </c>
      <c r="F52" s="242">
        <f t="shared" si="11"/>
        <v>0.03</v>
      </c>
      <c r="G52" s="210">
        <v>0.03</v>
      </c>
      <c r="H52" s="209">
        <v>0.03</v>
      </c>
      <c r="I52" s="209">
        <v>0.03</v>
      </c>
      <c r="J52" s="211">
        <v>0.03</v>
      </c>
      <c r="K52" s="212"/>
      <c r="L52" s="209">
        <v>0.03</v>
      </c>
      <c r="M52" s="392">
        <v>0.03</v>
      </c>
      <c r="N52" s="497">
        <v>0.03</v>
      </c>
      <c r="O52" s="502">
        <v>0.03</v>
      </c>
      <c r="P52" s="503">
        <f t="shared" si="1"/>
        <v>0.03</v>
      </c>
      <c r="Q52" s="500"/>
      <c r="R52" s="485"/>
      <c r="S52" s="485"/>
      <c r="T52" s="512"/>
      <c r="U52" s="512"/>
      <c r="V52" s="512"/>
      <c r="W52" s="512"/>
      <c r="X52" s="512"/>
      <c r="Y52" s="80"/>
      <c r="Z52" s="80"/>
      <c r="AA52" s="80"/>
      <c r="AB52" s="80"/>
      <c r="AC52" s="80"/>
      <c r="AD52" s="80"/>
      <c r="AE52" s="80"/>
      <c r="AF52" s="80"/>
      <c r="AG52" s="80"/>
      <c r="AH52" s="335"/>
    </row>
    <row r="53" spans="1:34" s="11" customFormat="1" ht="25.5">
      <c r="A53" s="80"/>
      <c r="B53" s="213">
        <v>46</v>
      </c>
      <c r="C53" s="240" t="s">
        <v>490</v>
      </c>
      <c r="D53" s="241">
        <v>6.38</v>
      </c>
      <c r="E53" s="242">
        <v>1</v>
      </c>
      <c r="F53" s="242">
        <f t="shared" si="11"/>
        <v>0.53</v>
      </c>
      <c r="G53" s="210">
        <v>0.53</v>
      </c>
      <c r="H53" s="209">
        <v>0.53</v>
      </c>
      <c r="I53" s="209">
        <v>0.53</v>
      </c>
      <c r="J53" s="211">
        <v>0.53</v>
      </c>
      <c r="K53" s="212"/>
      <c r="L53" s="209">
        <v>0.53</v>
      </c>
      <c r="M53" s="392">
        <v>0.53</v>
      </c>
      <c r="N53" s="497">
        <v>0.53</v>
      </c>
      <c r="O53" s="502">
        <v>0.53</v>
      </c>
      <c r="P53" s="503">
        <f t="shared" si="1"/>
        <v>0.53</v>
      </c>
      <c r="Q53" s="500"/>
      <c r="R53" s="485"/>
      <c r="S53" s="485"/>
      <c r="T53" s="512"/>
      <c r="U53" s="512"/>
      <c r="V53" s="512"/>
      <c r="W53" s="512"/>
      <c r="X53" s="512"/>
      <c r="Y53" s="80"/>
      <c r="Z53" s="80"/>
      <c r="AA53" s="80"/>
      <c r="AB53" s="80"/>
      <c r="AC53" s="80"/>
      <c r="AD53" s="80"/>
      <c r="AE53" s="80"/>
      <c r="AF53" s="80"/>
      <c r="AG53" s="80"/>
      <c r="AH53" s="335"/>
    </row>
    <row r="54" spans="1:34" s="11" customFormat="1" ht="40.5" customHeight="1">
      <c r="A54" s="80"/>
      <c r="B54" s="206">
        <v>47</v>
      </c>
      <c r="C54" s="240" t="s">
        <v>491</v>
      </c>
      <c r="D54" s="241">
        <v>0.73</v>
      </c>
      <c r="E54" s="242">
        <v>1</v>
      </c>
      <c r="F54" s="242">
        <f t="shared" si="11"/>
        <v>0.06</v>
      </c>
      <c r="G54" s="210">
        <v>0.06</v>
      </c>
      <c r="H54" s="209">
        <v>0.06</v>
      </c>
      <c r="I54" s="209">
        <v>0.06</v>
      </c>
      <c r="J54" s="211">
        <v>0.06</v>
      </c>
      <c r="K54" s="212"/>
      <c r="L54" s="209">
        <v>0.06</v>
      </c>
      <c r="M54" s="392">
        <v>0.06</v>
      </c>
      <c r="N54" s="497">
        <v>0.06</v>
      </c>
      <c r="O54" s="502">
        <v>0.06</v>
      </c>
      <c r="P54" s="503">
        <f t="shared" si="1"/>
        <v>0.06</v>
      </c>
      <c r="Q54" s="500"/>
      <c r="R54" s="485"/>
      <c r="S54" s="485"/>
      <c r="T54" s="512"/>
      <c r="U54" s="512"/>
      <c r="V54" s="512"/>
      <c r="W54" s="512"/>
      <c r="X54" s="512"/>
      <c r="Y54" s="80"/>
      <c r="Z54" s="80"/>
      <c r="AA54" s="80"/>
      <c r="AB54" s="80"/>
      <c r="AC54" s="80"/>
      <c r="AD54" s="80"/>
      <c r="AE54" s="80"/>
      <c r="AF54" s="80"/>
      <c r="AG54" s="80"/>
      <c r="AH54" s="335"/>
    </row>
    <row r="55" spans="1:34" s="11" customFormat="1" ht="25.5">
      <c r="A55" s="80"/>
      <c r="B55" s="206">
        <v>48</v>
      </c>
      <c r="C55" s="240" t="s">
        <v>492</v>
      </c>
      <c r="D55" s="241">
        <v>3.57</v>
      </c>
      <c r="E55" s="242">
        <v>1</v>
      </c>
      <c r="F55" s="242">
        <f t="shared" si="11"/>
        <v>0.3</v>
      </c>
      <c r="G55" s="210">
        <v>0.3</v>
      </c>
      <c r="H55" s="209">
        <v>0.3</v>
      </c>
      <c r="I55" s="209">
        <v>0.3</v>
      </c>
      <c r="J55" s="211">
        <v>0.3</v>
      </c>
      <c r="K55" s="212"/>
      <c r="L55" s="209">
        <v>0.3</v>
      </c>
      <c r="M55" s="392">
        <v>0.3</v>
      </c>
      <c r="N55" s="497">
        <v>0.3</v>
      </c>
      <c r="O55" s="502">
        <v>0.3</v>
      </c>
      <c r="P55" s="503">
        <f t="shared" si="1"/>
        <v>0.3</v>
      </c>
      <c r="Q55" s="500"/>
      <c r="R55" s="485"/>
      <c r="S55" s="485"/>
      <c r="T55" s="512"/>
      <c r="U55" s="512"/>
      <c r="V55" s="512"/>
      <c r="W55" s="512"/>
      <c r="X55" s="512"/>
      <c r="Y55" s="80"/>
      <c r="Z55" s="80"/>
      <c r="AA55" s="80"/>
      <c r="AB55" s="80"/>
      <c r="AC55" s="80"/>
      <c r="AD55" s="80"/>
      <c r="AE55" s="80"/>
      <c r="AF55" s="80"/>
      <c r="AG55" s="80"/>
      <c r="AH55" s="335"/>
    </row>
    <row r="56" spans="1:34" s="11" customFormat="1" ht="27.75" customHeight="1">
      <c r="A56" s="80"/>
      <c r="B56" s="213">
        <v>49</v>
      </c>
      <c r="C56" s="240" t="s">
        <v>493</v>
      </c>
      <c r="D56" s="241">
        <v>9.5299999999999994</v>
      </c>
      <c r="E56" s="242">
        <v>1</v>
      </c>
      <c r="F56" s="242">
        <f t="shared" si="11"/>
        <v>0.79</v>
      </c>
      <c r="G56" s="210">
        <v>0.79</v>
      </c>
      <c r="H56" s="209">
        <v>0.79</v>
      </c>
      <c r="I56" s="209">
        <v>0.79</v>
      </c>
      <c r="J56" s="211">
        <v>0.79</v>
      </c>
      <c r="K56" s="212"/>
      <c r="L56" s="209">
        <v>0.79</v>
      </c>
      <c r="M56" s="392">
        <v>0.79</v>
      </c>
      <c r="N56" s="497">
        <v>0.79</v>
      </c>
      <c r="O56" s="502">
        <v>0.79</v>
      </c>
      <c r="P56" s="503">
        <f t="shared" si="1"/>
        <v>0.79</v>
      </c>
      <c r="Q56" s="500"/>
      <c r="R56" s="485"/>
      <c r="S56" s="485"/>
      <c r="T56" s="512"/>
      <c r="U56" s="512"/>
      <c r="V56" s="512"/>
      <c r="W56" s="512"/>
      <c r="X56" s="512"/>
      <c r="Y56" s="80"/>
      <c r="Z56" s="80"/>
      <c r="AA56" s="80"/>
      <c r="AB56" s="80"/>
      <c r="AC56" s="80"/>
      <c r="AD56" s="80"/>
      <c r="AE56" s="80"/>
      <c r="AF56" s="80"/>
      <c r="AG56" s="80"/>
      <c r="AH56" s="335"/>
    </row>
    <row r="57" spans="1:34" s="11" customFormat="1" ht="18" customHeight="1">
      <c r="A57" s="80"/>
      <c r="B57" s="213">
        <f t="shared" si="12"/>
        <v>50</v>
      </c>
      <c r="C57" s="240" t="s">
        <v>494</v>
      </c>
      <c r="D57" s="241">
        <v>3.66</v>
      </c>
      <c r="E57" s="242">
        <v>1</v>
      </c>
      <c r="F57" s="242">
        <f t="shared" si="11"/>
        <v>0.31</v>
      </c>
      <c r="G57" s="210">
        <v>0.31</v>
      </c>
      <c r="H57" s="209">
        <v>0.31</v>
      </c>
      <c r="I57" s="209">
        <v>0.31</v>
      </c>
      <c r="J57" s="211">
        <v>0.31</v>
      </c>
      <c r="K57" s="212"/>
      <c r="L57" s="209">
        <v>0.31</v>
      </c>
      <c r="M57" s="392">
        <v>0.31</v>
      </c>
      <c r="N57" s="497">
        <v>0.31</v>
      </c>
      <c r="O57" s="502">
        <v>0.31</v>
      </c>
      <c r="P57" s="503">
        <f t="shared" si="1"/>
        <v>0.31</v>
      </c>
      <c r="Q57" s="500"/>
      <c r="R57" s="485"/>
      <c r="S57" s="485"/>
      <c r="T57" s="512"/>
      <c r="U57" s="512"/>
      <c r="V57" s="512"/>
      <c r="W57" s="512"/>
      <c r="X57" s="512"/>
      <c r="Y57" s="80"/>
      <c r="Z57" s="80"/>
      <c r="AA57" s="80"/>
      <c r="AB57" s="80"/>
      <c r="AC57" s="80"/>
      <c r="AD57" s="80"/>
      <c r="AE57" s="80"/>
      <c r="AF57" s="80"/>
      <c r="AG57" s="80"/>
      <c r="AH57" s="335"/>
    </row>
    <row r="58" spans="1:34" s="11" customFormat="1" ht="25.5">
      <c r="A58" s="80"/>
      <c r="B58" s="206">
        <v>51</v>
      </c>
      <c r="C58" s="240" t="s">
        <v>495</v>
      </c>
      <c r="D58" s="241">
        <v>5.3</v>
      </c>
      <c r="E58" s="242">
        <v>1</v>
      </c>
      <c r="F58" s="242">
        <f t="shared" si="11"/>
        <v>0.44</v>
      </c>
      <c r="G58" s="210">
        <v>0.44</v>
      </c>
      <c r="H58" s="209">
        <v>0.44</v>
      </c>
      <c r="I58" s="209">
        <v>0.44</v>
      </c>
      <c r="J58" s="211">
        <v>0.44</v>
      </c>
      <c r="K58" s="212"/>
      <c r="L58" s="209">
        <v>0.44</v>
      </c>
      <c r="M58" s="392">
        <v>0.44</v>
      </c>
      <c r="N58" s="497">
        <v>0.44</v>
      </c>
      <c r="O58" s="502">
        <v>0.44</v>
      </c>
      <c r="P58" s="503">
        <f t="shared" si="1"/>
        <v>0.44</v>
      </c>
      <c r="Q58" s="500"/>
      <c r="R58" s="485"/>
      <c r="S58" s="485"/>
      <c r="T58" s="512"/>
      <c r="U58" s="512"/>
      <c r="V58" s="512"/>
      <c r="W58" s="512"/>
      <c r="X58" s="512"/>
      <c r="Y58" s="80"/>
      <c r="Z58" s="80"/>
      <c r="AA58" s="80"/>
      <c r="AB58" s="80"/>
      <c r="AC58" s="80"/>
      <c r="AD58" s="80"/>
      <c r="AE58" s="80"/>
      <c r="AF58" s="80"/>
      <c r="AG58" s="80"/>
      <c r="AH58" s="335"/>
    </row>
    <row r="59" spans="1:34" s="11" customFormat="1" ht="25.5">
      <c r="A59" s="80"/>
      <c r="B59" s="213">
        <v>52</v>
      </c>
      <c r="C59" s="240" t="s">
        <v>496</v>
      </c>
      <c r="D59" s="241">
        <v>1.4319999999999999</v>
      </c>
      <c r="E59" s="242">
        <v>1</v>
      </c>
      <c r="F59" s="242">
        <f>ROUND(D59/12,2)</f>
        <v>0.12</v>
      </c>
      <c r="G59" s="210">
        <v>0.12</v>
      </c>
      <c r="H59" s="209">
        <v>0.12</v>
      </c>
      <c r="I59" s="209">
        <v>0.12</v>
      </c>
      <c r="J59" s="211">
        <v>0.12</v>
      </c>
      <c r="K59" s="212"/>
      <c r="L59" s="209">
        <v>0.12</v>
      </c>
      <c r="M59" s="392">
        <v>0.12</v>
      </c>
      <c r="N59" s="497">
        <v>0.12</v>
      </c>
      <c r="O59" s="502">
        <v>0.12</v>
      </c>
      <c r="P59" s="503">
        <f t="shared" si="1"/>
        <v>0.12</v>
      </c>
      <c r="Q59" s="500"/>
      <c r="R59" s="485"/>
      <c r="S59" s="485"/>
      <c r="T59" s="512"/>
      <c r="U59" s="512"/>
      <c r="V59" s="512"/>
      <c r="W59" s="512"/>
      <c r="X59" s="512"/>
      <c r="Y59" s="80"/>
      <c r="Z59" s="80"/>
      <c r="AA59" s="80"/>
      <c r="AB59" s="80"/>
      <c r="AC59" s="80"/>
      <c r="AD59" s="80"/>
      <c r="AE59" s="80"/>
      <c r="AF59" s="80"/>
      <c r="AG59" s="80"/>
      <c r="AH59" s="335"/>
    </row>
    <row r="60" spans="1:34" s="11" customFormat="1" ht="28.5" customHeight="1">
      <c r="A60" s="80"/>
      <c r="B60" s="213">
        <v>53</v>
      </c>
      <c r="C60" s="240" t="s">
        <v>497</v>
      </c>
      <c r="D60" s="241">
        <v>0.23</v>
      </c>
      <c r="E60" s="242">
        <v>1</v>
      </c>
      <c r="F60" s="242">
        <f t="shared" si="11"/>
        <v>0.02</v>
      </c>
      <c r="G60" s="210">
        <v>0.02</v>
      </c>
      <c r="H60" s="209">
        <v>0.02</v>
      </c>
      <c r="I60" s="209">
        <v>0.02</v>
      </c>
      <c r="J60" s="211">
        <v>0.02</v>
      </c>
      <c r="K60" s="212"/>
      <c r="L60" s="209">
        <v>0.02</v>
      </c>
      <c r="M60" s="392">
        <v>0.02</v>
      </c>
      <c r="N60" s="497">
        <v>0.02</v>
      </c>
      <c r="O60" s="502">
        <v>0.02</v>
      </c>
      <c r="P60" s="503">
        <f t="shared" si="1"/>
        <v>0.02</v>
      </c>
      <c r="Q60" s="500"/>
      <c r="R60" s="485"/>
      <c r="S60" s="485"/>
      <c r="T60" s="512"/>
      <c r="U60" s="512"/>
      <c r="V60" s="512"/>
      <c r="W60" s="512"/>
      <c r="X60" s="512"/>
      <c r="Y60" s="80"/>
      <c r="Z60" s="80"/>
      <c r="AA60" s="80"/>
      <c r="AB60" s="80"/>
      <c r="AC60" s="80"/>
      <c r="AD60" s="80"/>
      <c r="AE60" s="80"/>
      <c r="AF60" s="80"/>
      <c r="AG60" s="80"/>
      <c r="AH60" s="335"/>
    </row>
    <row r="61" spans="1:34" s="11" customFormat="1" ht="27.75" customHeight="1">
      <c r="A61" s="80"/>
      <c r="B61" s="206">
        <v>54</v>
      </c>
      <c r="C61" s="240" t="s">
        <v>498</v>
      </c>
      <c r="D61" s="241">
        <v>3.74</v>
      </c>
      <c r="E61" s="242">
        <v>1</v>
      </c>
      <c r="F61" s="242">
        <f t="shared" si="11"/>
        <v>0.31</v>
      </c>
      <c r="G61" s="210">
        <v>0.31</v>
      </c>
      <c r="H61" s="209">
        <v>0.31</v>
      </c>
      <c r="I61" s="209">
        <v>0.31</v>
      </c>
      <c r="J61" s="211">
        <v>0.31</v>
      </c>
      <c r="K61" s="212"/>
      <c r="L61" s="209">
        <v>0.31</v>
      </c>
      <c r="M61" s="392">
        <v>0.31</v>
      </c>
      <c r="N61" s="497">
        <v>0.31</v>
      </c>
      <c r="O61" s="502">
        <v>0.31</v>
      </c>
      <c r="P61" s="503">
        <f t="shared" si="1"/>
        <v>0.31</v>
      </c>
      <c r="Q61" s="500"/>
      <c r="R61" s="485"/>
      <c r="S61" s="485"/>
      <c r="T61" s="512"/>
      <c r="U61" s="512"/>
      <c r="V61" s="512"/>
      <c r="W61" s="512"/>
      <c r="X61" s="512"/>
      <c r="Y61" s="80"/>
      <c r="Z61" s="80"/>
      <c r="AA61" s="80"/>
      <c r="AB61" s="80"/>
      <c r="AC61" s="80"/>
      <c r="AD61" s="80"/>
      <c r="AE61" s="80"/>
      <c r="AF61" s="80"/>
      <c r="AG61" s="80"/>
      <c r="AH61" s="335"/>
    </row>
    <row r="62" spans="1:34" s="11" customFormat="1" ht="25.5">
      <c r="A62" s="80"/>
      <c r="B62" s="206">
        <v>55</v>
      </c>
      <c r="C62" s="240" t="s">
        <v>499</v>
      </c>
      <c r="D62" s="241">
        <f>(66.08/25*308.2001*12)*0.001</f>
        <v>9.7756140518400017</v>
      </c>
      <c r="E62" s="242">
        <v>1</v>
      </c>
      <c r="F62" s="242">
        <f>ROUND(D62/12,2)</f>
        <v>0.81</v>
      </c>
      <c r="G62" s="210">
        <v>0.81</v>
      </c>
      <c r="H62" s="209">
        <v>0.81</v>
      </c>
      <c r="I62" s="209">
        <v>0.81</v>
      </c>
      <c r="J62" s="211">
        <v>0.81</v>
      </c>
      <c r="K62" s="212"/>
      <c r="L62" s="209">
        <v>0.81</v>
      </c>
      <c r="M62" s="392">
        <v>0.81</v>
      </c>
      <c r="N62" s="497">
        <v>0.81</v>
      </c>
      <c r="O62" s="502">
        <v>0.81</v>
      </c>
      <c r="P62" s="503">
        <f t="shared" si="1"/>
        <v>0.81</v>
      </c>
      <c r="Q62" s="500"/>
      <c r="R62" s="485"/>
      <c r="S62" s="485"/>
      <c r="T62" s="512"/>
      <c r="U62" s="512"/>
      <c r="V62" s="512"/>
      <c r="W62" s="512"/>
      <c r="X62" s="512"/>
      <c r="Y62" s="80"/>
      <c r="Z62" s="80"/>
      <c r="AA62" s="80"/>
      <c r="AB62" s="80"/>
      <c r="AC62" s="80"/>
      <c r="AD62" s="80"/>
      <c r="AE62" s="80"/>
      <c r="AF62" s="80"/>
      <c r="AG62" s="80"/>
      <c r="AH62" s="335"/>
    </row>
    <row r="63" spans="1:34" s="11" customFormat="1" ht="25.5">
      <c r="A63" s="80"/>
      <c r="B63" s="213">
        <v>56</v>
      </c>
      <c r="C63" s="240" t="s">
        <v>500</v>
      </c>
      <c r="D63" s="241">
        <v>1</v>
      </c>
      <c r="E63" s="242">
        <v>1</v>
      </c>
      <c r="F63" s="242">
        <f t="shared" ref="F63:F64" si="13">ROUND(D63/12,2)</f>
        <v>0.08</v>
      </c>
      <c r="G63" s="210">
        <v>0.08</v>
      </c>
      <c r="H63" s="209">
        <v>0.08</v>
      </c>
      <c r="I63" s="209">
        <v>0.08</v>
      </c>
      <c r="J63" s="211">
        <v>0.08</v>
      </c>
      <c r="K63" s="212"/>
      <c r="L63" s="209">
        <v>0.08</v>
      </c>
      <c r="M63" s="392">
        <v>0.08</v>
      </c>
      <c r="N63" s="497">
        <v>0.08</v>
      </c>
      <c r="O63" s="502">
        <v>0.08</v>
      </c>
      <c r="P63" s="503">
        <f t="shared" si="1"/>
        <v>0.08</v>
      </c>
      <c r="Q63" s="500"/>
      <c r="R63" s="485"/>
      <c r="S63" s="485"/>
      <c r="T63" s="512"/>
      <c r="U63" s="512"/>
      <c r="V63" s="512"/>
      <c r="W63" s="512"/>
      <c r="X63" s="512"/>
      <c r="Y63" s="80"/>
      <c r="Z63" s="80"/>
      <c r="AA63" s="80"/>
      <c r="AB63" s="80"/>
      <c r="AC63" s="80"/>
      <c r="AD63" s="80"/>
      <c r="AE63" s="80"/>
      <c r="AF63" s="80"/>
      <c r="AG63" s="80"/>
      <c r="AH63" s="335"/>
    </row>
    <row r="64" spans="1:34" s="11" customFormat="1">
      <c r="A64" s="80"/>
      <c r="B64" s="213">
        <f t="shared" si="12"/>
        <v>57</v>
      </c>
      <c r="C64" s="240" t="s">
        <v>501</v>
      </c>
      <c r="D64" s="242">
        <f>0.0655*2*308*12*0.2</f>
        <v>96.8352</v>
      </c>
      <c r="E64" s="242">
        <v>1</v>
      </c>
      <c r="F64" s="242">
        <f t="shared" si="13"/>
        <v>8.07</v>
      </c>
      <c r="G64" s="210">
        <v>8.07</v>
      </c>
      <c r="H64" s="209">
        <v>8.07</v>
      </c>
      <c r="I64" s="209">
        <v>8.07</v>
      </c>
      <c r="J64" s="211">
        <v>8.07</v>
      </c>
      <c r="K64" s="212">
        <f>ROUND(J64*8/100,2)</f>
        <v>0.65</v>
      </c>
      <c r="L64" s="209">
        <f>J64+K64</f>
        <v>8.7200000000000006</v>
      </c>
      <c r="M64" s="392">
        <f t="shared" ref="M64:O65" si="14">L64</f>
        <v>8.7200000000000006</v>
      </c>
      <c r="N64" s="497">
        <f t="shared" si="14"/>
        <v>8.7200000000000006</v>
      </c>
      <c r="O64" s="502">
        <f t="shared" si="14"/>
        <v>8.7200000000000006</v>
      </c>
      <c r="P64" s="503">
        <f t="shared" si="1"/>
        <v>8.7200000000000006</v>
      </c>
      <c r="Q64" s="500"/>
      <c r="R64" s="485"/>
      <c r="S64" s="485"/>
      <c r="T64" s="512"/>
      <c r="U64" s="512"/>
      <c r="V64" s="512"/>
      <c r="W64" s="512"/>
      <c r="X64" s="512"/>
      <c r="Y64" s="80"/>
      <c r="Z64" s="80"/>
      <c r="AA64" s="80"/>
      <c r="AB64" s="80"/>
      <c r="AC64" s="80"/>
      <c r="AD64" s="80"/>
      <c r="AE64" s="80"/>
      <c r="AF64" s="80"/>
      <c r="AG64" s="80"/>
      <c r="AH64" s="335"/>
    </row>
    <row r="65" spans="1:34" s="11" customFormat="1">
      <c r="A65" s="80"/>
      <c r="B65" s="206">
        <v>58</v>
      </c>
      <c r="C65" s="240" t="s">
        <v>502</v>
      </c>
      <c r="D65" s="241">
        <f>F65*12</f>
        <v>140.04</v>
      </c>
      <c r="E65" s="242">
        <v>1</v>
      </c>
      <c r="F65" s="242">
        <f>ROUND((37.89/5000)*(5*308),2)</f>
        <v>11.67</v>
      </c>
      <c r="G65" s="210">
        <v>11.67</v>
      </c>
      <c r="H65" s="209">
        <v>11.67</v>
      </c>
      <c r="I65" s="209">
        <v>11.67</v>
      </c>
      <c r="J65" s="211">
        <v>11.67</v>
      </c>
      <c r="K65" s="212">
        <f>ROUND(J65*8/100,2)</f>
        <v>0.93</v>
      </c>
      <c r="L65" s="209">
        <f>J65+K65</f>
        <v>12.6</v>
      </c>
      <c r="M65" s="392">
        <f t="shared" si="14"/>
        <v>12.6</v>
      </c>
      <c r="N65" s="497">
        <f t="shared" si="14"/>
        <v>12.6</v>
      </c>
      <c r="O65" s="502">
        <f t="shared" si="14"/>
        <v>12.6</v>
      </c>
      <c r="P65" s="503">
        <f t="shared" si="1"/>
        <v>12.6</v>
      </c>
      <c r="Q65" s="500"/>
      <c r="R65" s="485"/>
      <c r="S65" s="485"/>
      <c r="T65" s="512"/>
      <c r="U65" s="512"/>
      <c r="V65" s="512"/>
      <c r="W65" s="512"/>
      <c r="X65" s="512"/>
      <c r="Y65" s="80"/>
      <c r="Z65" s="80"/>
      <c r="AA65" s="80"/>
      <c r="AB65" s="80"/>
      <c r="AC65" s="80"/>
      <c r="AD65" s="80"/>
      <c r="AE65" s="80"/>
      <c r="AF65" s="80"/>
      <c r="AG65" s="80"/>
      <c r="AH65" s="335"/>
    </row>
    <row r="66" spans="1:34" s="11" customFormat="1">
      <c r="A66" s="80"/>
      <c r="B66" s="213">
        <v>59</v>
      </c>
      <c r="C66" s="224" t="s">
        <v>503</v>
      </c>
      <c r="D66" s="215">
        <v>5.04</v>
      </c>
      <c r="E66" s="216">
        <v>1</v>
      </c>
      <c r="F66" s="216">
        <f>ROUND(D66/12,2)</f>
        <v>0.42</v>
      </c>
      <c r="G66" s="210">
        <v>0.42</v>
      </c>
      <c r="H66" s="209">
        <v>0.42</v>
      </c>
      <c r="I66" s="209">
        <v>0.42</v>
      </c>
      <c r="J66" s="211">
        <v>0.42</v>
      </c>
      <c r="K66" s="212"/>
      <c r="L66" s="209">
        <v>0.42</v>
      </c>
      <c r="M66" s="392">
        <v>0.42</v>
      </c>
      <c r="N66" s="497">
        <v>0.42</v>
      </c>
      <c r="O66" s="502">
        <v>0.42</v>
      </c>
      <c r="P66" s="503">
        <f t="shared" si="1"/>
        <v>0.42</v>
      </c>
      <c r="Q66" s="500"/>
      <c r="R66" s="485"/>
      <c r="S66" s="485"/>
      <c r="T66" s="512"/>
      <c r="U66" s="512"/>
      <c r="V66" s="512"/>
      <c r="W66" s="512"/>
      <c r="X66" s="512"/>
      <c r="Y66" s="80"/>
      <c r="Z66" s="80"/>
      <c r="AA66" s="80"/>
      <c r="AB66" s="80"/>
      <c r="AC66" s="80"/>
      <c r="AD66" s="80"/>
      <c r="AE66" s="80"/>
      <c r="AF66" s="80"/>
      <c r="AG66" s="80"/>
      <c r="AH66" s="335"/>
    </row>
    <row r="67" spans="1:34">
      <c r="B67" s="213">
        <v>60</v>
      </c>
      <c r="C67" s="224" t="s">
        <v>504</v>
      </c>
      <c r="D67" s="215">
        <f>F67*12</f>
        <v>335.28000000000003</v>
      </c>
      <c r="E67" s="216">
        <v>1</v>
      </c>
      <c r="F67" s="216">
        <f>ROUND(9.07/50*308/2,2)</f>
        <v>27.94</v>
      </c>
      <c r="G67" s="210">
        <v>27.94</v>
      </c>
      <c r="H67" s="209">
        <v>27.94</v>
      </c>
      <c r="I67" s="209">
        <v>27.94</v>
      </c>
      <c r="J67" s="211">
        <v>27.94</v>
      </c>
      <c r="K67" s="212"/>
      <c r="L67" s="209">
        <v>27.94</v>
      </c>
      <c r="M67" s="392">
        <v>27.94</v>
      </c>
      <c r="N67" s="497">
        <v>27.94</v>
      </c>
      <c r="O67" s="502">
        <v>27.94</v>
      </c>
      <c r="P67" s="503">
        <f t="shared" si="1"/>
        <v>27.94</v>
      </c>
      <c r="Q67" s="500"/>
    </row>
    <row r="68" spans="1:34" ht="13.5" thickBot="1">
      <c r="B68" s="347">
        <v>61</v>
      </c>
      <c r="C68" s="343" t="s">
        <v>505</v>
      </c>
      <c r="D68" s="258">
        <f>F68*12</f>
        <v>280.20000000000005</v>
      </c>
      <c r="E68" s="259">
        <v>1</v>
      </c>
      <c r="F68" s="259">
        <f>ROUND(11.6/800*308*2+3.9/250*308*3,2)</f>
        <v>23.35</v>
      </c>
      <c r="G68" s="348">
        <v>23.35</v>
      </c>
      <c r="H68" s="349">
        <v>23.35</v>
      </c>
      <c r="I68" s="349">
        <v>23.35</v>
      </c>
      <c r="J68" s="350">
        <v>23.35</v>
      </c>
      <c r="K68" s="351"/>
      <c r="L68" s="349">
        <v>23.35</v>
      </c>
      <c r="M68" s="395">
        <v>23.35</v>
      </c>
      <c r="N68" s="527">
        <v>23.35</v>
      </c>
      <c r="O68" s="517">
        <v>23.35</v>
      </c>
      <c r="P68" s="518">
        <f t="shared" si="1"/>
        <v>23.35</v>
      </c>
      <c r="Q68" s="500"/>
    </row>
    <row r="69" spans="1:34" ht="13.5" thickBot="1">
      <c r="B69" s="368"/>
      <c r="C69" s="369" t="s">
        <v>506</v>
      </c>
      <c r="D69" s="370">
        <f>SUM(D41:D68)+0.01</f>
        <v>976.58281405184005</v>
      </c>
      <c r="E69" s="371"/>
      <c r="F69" s="371">
        <f t="shared" ref="F69:L69" si="15">SUM(F41:F68)</f>
        <v>81.360000000000014</v>
      </c>
      <c r="G69" s="371">
        <f t="shared" si="15"/>
        <v>81.360000000000014</v>
      </c>
      <c r="H69" s="371">
        <f t="shared" si="15"/>
        <v>81.360000000000014</v>
      </c>
      <c r="I69" s="371">
        <f t="shared" si="15"/>
        <v>81.360000000000014</v>
      </c>
      <c r="J69" s="372">
        <f t="shared" si="15"/>
        <v>81.360000000000014</v>
      </c>
      <c r="K69" s="373">
        <f t="shared" si="15"/>
        <v>1.58</v>
      </c>
      <c r="L69" s="374">
        <f t="shared" si="15"/>
        <v>82.94</v>
      </c>
      <c r="M69" s="519">
        <f t="shared" ref="M69:P69" si="16">SUM(M41:M68)</f>
        <v>82.94</v>
      </c>
      <c r="N69" s="520">
        <f t="shared" si="16"/>
        <v>82.94</v>
      </c>
      <c r="O69" s="521">
        <f t="shared" si="16"/>
        <v>82.94</v>
      </c>
      <c r="P69" s="522">
        <f t="shared" si="16"/>
        <v>82.94</v>
      </c>
      <c r="Q69" s="500"/>
    </row>
    <row r="70" spans="1:34" ht="13.5" thickBot="1">
      <c r="B70" s="278"/>
      <c r="C70" s="275" t="s">
        <v>507</v>
      </c>
      <c r="D70" s="279"/>
      <c r="E70" s="272"/>
      <c r="F70" s="272"/>
      <c r="G70" s="272"/>
      <c r="H70" s="272"/>
      <c r="I70" s="272"/>
      <c r="J70" s="280"/>
      <c r="K70" s="233"/>
      <c r="L70" s="234"/>
      <c r="M70" s="528"/>
      <c r="N70" s="529"/>
      <c r="O70" s="530"/>
      <c r="P70" s="526">
        <f t="shared" si="1"/>
        <v>0</v>
      </c>
      <c r="Q70" s="500"/>
    </row>
    <row r="71" spans="1:34" ht="26.25" thickBot="1">
      <c r="B71" s="243">
        <v>62</v>
      </c>
      <c r="C71" s="244" t="s">
        <v>508</v>
      </c>
      <c r="D71" s="245">
        <f>F71*12</f>
        <v>514.79999999999995</v>
      </c>
      <c r="E71" s="246">
        <v>1</v>
      </c>
      <c r="F71" s="246">
        <v>42.9</v>
      </c>
      <c r="G71" s="348">
        <v>42.9</v>
      </c>
      <c r="H71" s="349">
        <v>42.9</v>
      </c>
      <c r="I71" s="349">
        <v>42.9</v>
      </c>
      <c r="J71" s="350">
        <v>42.9</v>
      </c>
      <c r="K71" s="351"/>
      <c r="L71" s="349">
        <v>42.9</v>
      </c>
      <c r="M71" s="395">
        <v>42.9</v>
      </c>
      <c r="N71" s="527">
        <v>42.9</v>
      </c>
      <c r="O71" s="531">
        <v>42.9</v>
      </c>
      <c r="P71" s="532">
        <f t="shared" ref="P71:P74" si="17">O71</f>
        <v>42.9</v>
      </c>
      <c r="Q71" s="500"/>
    </row>
    <row r="72" spans="1:34" ht="13.5" thickBot="1">
      <c r="B72" s="368"/>
      <c r="C72" s="369" t="s">
        <v>509</v>
      </c>
      <c r="D72" s="370">
        <f>D71</f>
        <v>514.79999999999995</v>
      </c>
      <c r="E72" s="371"/>
      <c r="F72" s="371">
        <f>F71</f>
        <v>42.9</v>
      </c>
      <c r="G72" s="371">
        <f>G71</f>
        <v>42.9</v>
      </c>
      <c r="H72" s="371">
        <f>H71</f>
        <v>42.9</v>
      </c>
      <c r="I72" s="371">
        <f>I71</f>
        <v>42.9</v>
      </c>
      <c r="J72" s="372">
        <f>J71</f>
        <v>42.9</v>
      </c>
      <c r="K72" s="373"/>
      <c r="L72" s="374">
        <f>L71</f>
        <v>42.9</v>
      </c>
      <c r="M72" s="519">
        <f>M71</f>
        <v>42.9</v>
      </c>
      <c r="N72" s="520">
        <f>N71</f>
        <v>42.9</v>
      </c>
      <c r="O72" s="521">
        <f>O71</f>
        <v>42.9</v>
      </c>
      <c r="P72" s="522">
        <f>P71</f>
        <v>42.9</v>
      </c>
      <c r="Q72" s="500"/>
    </row>
    <row r="73" spans="1:34" ht="13.5" thickBot="1">
      <c r="B73" s="274"/>
      <c r="C73" s="275" t="s">
        <v>510</v>
      </c>
      <c r="D73" s="276"/>
      <c r="E73" s="273"/>
      <c r="F73" s="273"/>
      <c r="G73" s="273"/>
      <c r="H73" s="277"/>
      <c r="I73" s="277"/>
      <c r="J73" s="277"/>
      <c r="K73" s="235"/>
      <c r="L73" s="236"/>
      <c r="M73" s="523"/>
      <c r="N73" s="524"/>
      <c r="O73" s="525"/>
      <c r="P73" s="526">
        <f t="shared" si="17"/>
        <v>0</v>
      </c>
      <c r="Q73" s="533" t="s">
        <v>511</v>
      </c>
      <c r="R73" s="508" t="s">
        <v>512</v>
      </c>
    </row>
    <row r="74" spans="1:34">
      <c r="B74" s="206">
        <v>63</v>
      </c>
      <c r="C74" s="382" t="s">
        <v>212</v>
      </c>
      <c r="D74" s="254">
        <f>F74*12</f>
        <v>16752.12</v>
      </c>
      <c r="E74" s="383"/>
      <c r="F74" s="384">
        <f>ROUND(1125*1.2409,2)</f>
        <v>1396.01</v>
      </c>
      <c r="G74" s="385">
        <f>ROUND(1350*1.2409,2)</f>
        <v>1675.22</v>
      </c>
      <c r="H74" s="386">
        <f>ROUND(1485*1.2409,2)</f>
        <v>1842.74</v>
      </c>
      <c r="I74" s="386">
        <f>ROUND(1862*1.2359,2)</f>
        <v>2301.25</v>
      </c>
      <c r="J74" s="386">
        <f>ROUND(1963*1.2359,2)</f>
        <v>2426.0700000000002</v>
      </c>
      <c r="K74" s="212"/>
      <c r="L74" s="209">
        <f>ROUND(1963*1.2359,2)</f>
        <v>2426.0700000000002</v>
      </c>
      <c r="M74" s="392">
        <f>ROUND(2083*1.2359,2)</f>
        <v>2574.38</v>
      </c>
      <c r="N74" s="497">
        <f>ROUND(2083*1.2359,2)</f>
        <v>2574.38</v>
      </c>
      <c r="O74" s="498">
        <f>ROUND(2083*1.2359,2)</f>
        <v>2574.38</v>
      </c>
      <c r="P74" s="499">
        <f t="shared" si="17"/>
        <v>2574.38</v>
      </c>
      <c r="Q74" s="533">
        <v>1303</v>
      </c>
      <c r="R74" s="508">
        <v>160</v>
      </c>
    </row>
    <row r="75" spans="1:34" ht="13.5" thickBot="1">
      <c r="B75" s="247">
        <v>64</v>
      </c>
      <c r="C75" s="248" t="s">
        <v>513</v>
      </c>
      <c r="D75" s="225">
        <f>F75*12</f>
        <v>6403.08</v>
      </c>
      <c r="E75" s="226"/>
      <c r="F75" s="249">
        <f>ROUND(430*1.2409,2)</f>
        <v>533.59</v>
      </c>
      <c r="G75" s="250">
        <f>ROUND((430+76)*1.2409,2)</f>
        <v>627.9</v>
      </c>
      <c r="H75" s="251">
        <f>ROUND((506+46)*1.2409,2)</f>
        <v>684.98</v>
      </c>
      <c r="I75" s="251">
        <f>ROUND((552+147)*1.2359,2)</f>
        <v>863.89</v>
      </c>
      <c r="J75" s="251">
        <f>ROUND((552+147)*1.2359,2)</f>
        <v>863.89</v>
      </c>
      <c r="K75" s="227"/>
      <c r="L75" s="226">
        <f>ROUND((552+147)*1.2359,2)</f>
        <v>863.89</v>
      </c>
      <c r="M75" s="396">
        <f>ROUND((552+147.45)*1.2359,2)</f>
        <v>864.45</v>
      </c>
      <c r="N75" s="534">
        <f>ROUND((552+147.45)*1.2359,2)</f>
        <v>864.45</v>
      </c>
      <c r="O75" s="502">
        <f>ROUND((552+147.45+22.76)*1.2359,2)</f>
        <v>892.58</v>
      </c>
      <c r="P75" s="503">
        <f>ROUND((552+147.45+22.76)*1.2359,2)</f>
        <v>892.58</v>
      </c>
    </row>
    <row r="76" spans="1:34" ht="26.25" thickBot="1">
      <c r="B76" s="256">
        <v>64</v>
      </c>
      <c r="C76" s="352" t="s">
        <v>514</v>
      </c>
      <c r="D76" s="258"/>
      <c r="E76" s="259"/>
      <c r="F76" s="353"/>
      <c r="G76" s="353"/>
      <c r="H76" s="354"/>
      <c r="I76" s="354"/>
      <c r="J76" s="354"/>
      <c r="K76" s="346"/>
      <c r="L76" s="259"/>
      <c r="M76" s="394"/>
      <c r="N76" s="516">
        <f>ROUND((Q77)*1.2359,2)</f>
        <v>1095.6300000000001</v>
      </c>
      <c r="O76" s="517">
        <f>ROUND((886.5)*1.2359,2)</f>
        <v>1095.6300000000001</v>
      </c>
      <c r="P76" s="518">
        <v>0</v>
      </c>
      <c r="Q76" s="535" t="s">
        <v>515</v>
      </c>
      <c r="R76" s="508" t="s">
        <v>512</v>
      </c>
    </row>
    <row r="77" spans="1:34" ht="13.5" thickBot="1">
      <c r="B77" s="228"/>
      <c r="C77" s="229" t="s">
        <v>516</v>
      </c>
      <c r="D77" s="230">
        <f>SUM(D74:D75)</f>
        <v>23155.199999999997</v>
      </c>
      <c r="E77" s="231"/>
      <c r="F77" s="231">
        <f>SUM(F74:F75)</f>
        <v>1929.6</v>
      </c>
      <c r="G77" s="231">
        <f>SUM(G74:G75)</f>
        <v>2303.12</v>
      </c>
      <c r="H77" s="231">
        <f>SUM(H74:H75)</f>
        <v>2527.7200000000003</v>
      </c>
      <c r="I77" s="231">
        <f>SUM(I74:I75)</f>
        <v>3165.14</v>
      </c>
      <c r="J77" s="232">
        <f>SUM(J74:J75)</f>
        <v>3289.96</v>
      </c>
      <c r="K77" s="233"/>
      <c r="L77" s="234">
        <f>SUM(L74:L75)</f>
        <v>3289.96</v>
      </c>
      <c r="M77" s="528">
        <f>SUM(M74:M75)</f>
        <v>3438.83</v>
      </c>
      <c r="N77" s="529">
        <f>SUM(N74:N76)</f>
        <v>4534.46</v>
      </c>
      <c r="O77" s="530">
        <f>SUM(O74:O76)</f>
        <v>4562.59</v>
      </c>
      <c r="P77" s="536">
        <f>SUM(P74:P76)</f>
        <v>3466.96</v>
      </c>
      <c r="Q77" s="533">
        <v>886.5</v>
      </c>
      <c r="R77" s="508">
        <f>ROUND(R74*Q77/Q74,2)</f>
        <v>108.86</v>
      </c>
      <c r="AB77" s="252"/>
      <c r="AC77" s="252"/>
      <c r="AD77" s="252"/>
      <c r="AE77" s="252"/>
      <c r="AF77" s="252"/>
      <c r="AG77" s="252"/>
    </row>
    <row r="78" spans="1:34" ht="13.5" thickBot="1">
      <c r="B78" s="357"/>
      <c r="C78" s="358" t="s">
        <v>517</v>
      </c>
      <c r="D78" s="359"/>
      <c r="E78" s="360"/>
      <c r="F78" s="360"/>
      <c r="G78" s="360"/>
      <c r="H78" s="360"/>
      <c r="I78" s="360"/>
      <c r="J78" s="361"/>
      <c r="K78" s="355"/>
      <c r="L78" s="356"/>
      <c r="M78" s="537"/>
      <c r="N78" s="538"/>
      <c r="O78" s="539"/>
      <c r="P78" s="540">
        <f>O78</f>
        <v>0</v>
      </c>
    </row>
    <row r="79" spans="1:34" ht="25.5">
      <c r="B79" s="206">
        <v>65</v>
      </c>
      <c r="C79" s="253" t="s">
        <v>518</v>
      </c>
      <c r="D79" s="254">
        <v>569.14872425313456</v>
      </c>
      <c r="E79" s="209">
        <v>5</v>
      </c>
      <c r="F79" s="209">
        <f>ROUND(D79/5/12,2)</f>
        <v>9.49</v>
      </c>
      <c r="G79" s="210">
        <v>9.49</v>
      </c>
      <c r="H79" s="209">
        <v>9.49</v>
      </c>
      <c r="I79" s="209">
        <v>9.49</v>
      </c>
      <c r="J79" s="211">
        <v>9.49</v>
      </c>
      <c r="K79" s="212"/>
      <c r="L79" s="209">
        <v>9.49</v>
      </c>
      <c r="M79" s="392">
        <v>9.49</v>
      </c>
      <c r="N79" s="497">
        <v>9.49</v>
      </c>
      <c r="O79" s="502">
        <v>9.49</v>
      </c>
      <c r="P79" s="540">
        <f t="shared" ref="P79:P89" si="18">O79</f>
        <v>9.49</v>
      </c>
      <c r="Y79" s="264"/>
      <c r="Z79" s="264"/>
      <c r="AA79" s="264"/>
      <c r="AB79" s="264"/>
      <c r="AC79" s="264"/>
      <c r="AD79" s="264"/>
      <c r="AE79" s="264"/>
      <c r="AF79" s="264"/>
      <c r="AG79" s="264"/>
    </row>
    <row r="80" spans="1:34" s="264" customFormat="1">
      <c r="B80" s="213">
        <v>66</v>
      </c>
      <c r="C80" s="221" t="s">
        <v>519</v>
      </c>
      <c r="D80" s="255">
        <f>228</f>
        <v>228</v>
      </c>
      <c r="E80" s="216">
        <v>5</v>
      </c>
      <c r="F80" s="216">
        <f t="shared" ref="F80:F81" si="19">ROUND(D80/5/12,2)</f>
        <v>3.8</v>
      </c>
      <c r="G80" s="210">
        <v>3.8</v>
      </c>
      <c r="H80" s="209">
        <v>3.8</v>
      </c>
      <c r="I80" s="209">
        <v>3.8</v>
      </c>
      <c r="J80" s="211">
        <v>3.8</v>
      </c>
      <c r="K80" s="212"/>
      <c r="L80" s="209">
        <v>3.8</v>
      </c>
      <c r="M80" s="392">
        <v>3.8</v>
      </c>
      <c r="N80" s="497">
        <v>3.8</v>
      </c>
      <c r="O80" s="502">
        <v>3.8</v>
      </c>
      <c r="P80" s="540">
        <f t="shared" si="18"/>
        <v>3.8</v>
      </c>
      <c r="Q80" s="485"/>
      <c r="R80" s="485"/>
      <c r="S80" s="485"/>
      <c r="T80" s="512"/>
      <c r="U80" s="512"/>
      <c r="V80" s="512"/>
      <c r="W80" s="512"/>
      <c r="X80" s="512"/>
      <c r="AH80" s="334"/>
    </row>
    <row r="81" spans="2:34" s="264" customFormat="1" ht="45" customHeight="1">
      <c r="B81" s="213">
        <f t="shared" ref="B81:B89" si="20">B80+1</f>
        <v>67</v>
      </c>
      <c r="C81" s="221" t="s">
        <v>520</v>
      </c>
      <c r="D81" s="215">
        <v>160</v>
      </c>
      <c r="E81" s="216">
        <v>5</v>
      </c>
      <c r="F81" s="216">
        <f t="shared" si="19"/>
        <v>2.67</v>
      </c>
      <c r="G81" s="210">
        <v>2.67</v>
      </c>
      <c r="H81" s="209">
        <v>2.67</v>
      </c>
      <c r="I81" s="209">
        <v>2.67</v>
      </c>
      <c r="J81" s="211">
        <v>2.67</v>
      </c>
      <c r="K81" s="212"/>
      <c r="L81" s="209">
        <v>2.67</v>
      </c>
      <c r="M81" s="392">
        <v>2.67</v>
      </c>
      <c r="N81" s="497">
        <v>2.67</v>
      </c>
      <c r="O81" s="502">
        <v>2.67</v>
      </c>
      <c r="P81" s="540">
        <f t="shared" si="18"/>
        <v>2.67</v>
      </c>
      <c r="Q81" s="485"/>
      <c r="R81" s="485"/>
      <c r="S81" s="485"/>
      <c r="T81" s="512"/>
      <c r="U81" s="512"/>
      <c r="V81" s="512"/>
      <c r="W81" s="512"/>
      <c r="X81" s="512"/>
      <c r="AH81" s="334"/>
    </row>
    <row r="82" spans="2:34" s="264" customFormat="1">
      <c r="B82" s="213">
        <f t="shared" si="20"/>
        <v>68</v>
      </c>
      <c r="C82" s="221" t="s">
        <v>521</v>
      </c>
      <c r="D82" s="215">
        <v>180</v>
      </c>
      <c r="E82" s="216">
        <v>1</v>
      </c>
      <c r="F82" s="216">
        <f>ROUND(D82/12,2)</f>
        <v>15</v>
      </c>
      <c r="G82" s="210">
        <v>15</v>
      </c>
      <c r="H82" s="209">
        <v>15</v>
      </c>
      <c r="I82" s="209">
        <v>15</v>
      </c>
      <c r="J82" s="211">
        <v>15</v>
      </c>
      <c r="K82" s="212"/>
      <c r="L82" s="209">
        <v>15</v>
      </c>
      <c r="M82" s="392">
        <v>15</v>
      </c>
      <c r="N82" s="497">
        <v>15</v>
      </c>
      <c r="O82" s="502">
        <v>15</v>
      </c>
      <c r="P82" s="540">
        <f t="shared" si="18"/>
        <v>15</v>
      </c>
      <c r="Q82" s="485"/>
      <c r="R82" s="485"/>
      <c r="S82" s="485"/>
      <c r="T82" s="512"/>
      <c r="U82" s="512"/>
      <c r="V82" s="512"/>
      <c r="W82" s="512"/>
      <c r="X82" s="512"/>
      <c r="AH82" s="334"/>
    </row>
    <row r="83" spans="2:34" s="264" customFormat="1">
      <c r="B83" s="213">
        <f t="shared" si="20"/>
        <v>69</v>
      </c>
      <c r="C83" s="221" t="s">
        <v>522</v>
      </c>
      <c r="D83" s="215">
        <f>F83*12</f>
        <v>420</v>
      </c>
      <c r="E83" s="216">
        <v>1</v>
      </c>
      <c r="F83" s="216">
        <v>35</v>
      </c>
      <c r="G83" s="210">
        <v>35</v>
      </c>
      <c r="H83" s="209">
        <v>35</v>
      </c>
      <c r="I83" s="209">
        <v>35</v>
      </c>
      <c r="J83" s="211">
        <v>35</v>
      </c>
      <c r="K83" s="212"/>
      <c r="L83" s="209">
        <v>35</v>
      </c>
      <c r="M83" s="392">
        <v>35</v>
      </c>
      <c r="N83" s="497">
        <v>35</v>
      </c>
      <c r="O83" s="502">
        <v>35</v>
      </c>
      <c r="P83" s="540">
        <f t="shared" si="18"/>
        <v>35</v>
      </c>
      <c r="Q83" s="485"/>
      <c r="R83" s="485"/>
      <c r="S83" s="485"/>
      <c r="T83" s="512"/>
      <c r="U83" s="512"/>
      <c r="V83" s="512"/>
      <c r="W83" s="512"/>
      <c r="X83" s="512"/>
      <c r="AH83" s="334"/>
    </row>
    <row r="84" spans="2:34" s="264" customFormat="1">
      <c r="B84" s="213">
        <f t="shared" si="20"/>
        <v>70</v>
      </c>
      <c r="C84" s="221" t="s">
        <v>523</v>
      </c>
      <c r="D84" s="215">
        <f>119*2</f>
        <v>238</v>
      </c>
      <c r="E84" s="216">
        <v>3</v>
      </c>
      <c r="F84" s="216">
        <f>ROUND(D84/3/12,2)</f>
        <v>6.61</v>
      </c>
      <c r="G84" s="210">
        <v>6.61</v>
      </c>
      <c r="H84" s="209">
        <v>6.61</v>
      </c>
      <c r="I84" s="209">
        <v>6.61</v>
      </c>
      <c r="J84" s="211">
        <v>6.61</v>
      </c>
      <c r="K84" s="212"/>
      <c r="L84" s="209">
        <v>6.61</v>
      </c>
      <c r="M84" s="392">
        <v>6.61</v>
      </c>
      <c r="N84" s="497">
        <v>6.61</v>
      </c>
      <c r="O84" s="502">
        <v>6.61</v>
      </c>
      <c r="P84" s="540">
        <f t="shared" si="18"/>
        <v>6.61</v>
      </c>
      <c r="Q84" s="485"/>
      <c r="R84" s="485"/>
      <c r="S84" s="485"/>
      <c r="T84" s="512"/>
      <c r="U84" s="512"/>
      <c r="V84" s="512"/>
      <c r="W84" s="512"/>
      <c r="X84" s="512"/>
      <c r="AH84" s="334"/>
    </row>
    <row r="85" spans="2:34" s="264" customFormat="1">
      <c r="B85" s="213">
        <f t="shared" si="20"/>
        <v>71</v>
      </c>
      <c r="C85" s="221" t="s">
        <v>524</v>
      </c>
      <c r="D85" s="215">
        <f>98.64*2</f>
        <v>197.28</v>
      </c>
      <c r="E85" s="216">
        <v>1</v>
      </c>
      <c r="F85" s="216">
        <f>ROUND(D85/12,2)</f>
        <v>16.440000000000001</v>
      </c>
      <c r="G85" s="210">
        <v>16.440000000000001</v>
      </c>
      <c r="H85" s="209">
        <v>16.440000000000001</v>
      </c>
      <c r="I85" s="209">
        <v>16.440000000000001</v>
      </c>
      <c r="J85" s="211">
        <v>16.440000000000001</v>
      </c>
      <c r="K85" s="212"/>
      <c r="L85" s="209">
        <v>16.440000000000001</v>
      </c>
      <c r="M85" s="392">
        <v>16.440000000000001</v>
      </c>
      <c r="N85" s="497">
        <v>16.440000000000001</v>
      </c>
      <c r="O85" s="502">
        <v>16.440000000000001</v>
      </c>
      <c r="P85" s="540">
        <f t="shared" si="18"/>
        <v>16.440000000000001</v>
      </c>
      <c r="Q85" s="485"/>
      <c r="R85" s="485"/>
      <c r="S85" s="485"/>
      <c r="T85" s="512"/>
      <c r="U85" s="512"/>
      <c r="V85" s="512"/>
      <c r="W85" s="512"/>
      <c r="X85" s="512"/>
      <c r="Y85" s="80"/>
      <c r="Z85" s="80"/>
      <c r="AA85" s="80"/>
      <c r="AB85" s="80"/>
      <c r="AC85" s="80"/>
      <c r="AD85" s="80"/>
      <c r="AE85" s="80"/>
      <c r="AF85" s="80"/>
      <c r="AG85" s="80"/>
      <c r="AH85" s="334"/>
    </row>
    <row r="86" spans="2:34" ht="25.5">
      <c r="B86" s="213">
        <f t="shared" si="20"/>
        <v>72</v>
      </c>
      <c r="C86" s="221" t="s">
        <v>525</v>
      </c>
      <c r="D86" s="215">
        <f>F86*12</f>
        <v>707.16</v>
      </c>
      <c r="E86" s="216">
        <v>1</v>
      </c>
      <c r="F86" s="216">
        <f>ROUND(27.95+(15.49*2),2)</f>
        <v>58.93</v>
      </c>
      <c r="G86" s="210">
        <v>58.93</v>
      </c>
      <c r="H86" s="209">
        <v>58.93</v>
      </c>
      <c r="I86" s="209">
        <v>58.93</v>
      </c>
      <c r="J86" s="211">
        <v>58.93</v>
      </c>
      <c r="K86" s="212"/>
      <c r="L86" s="209">
        <v>58.93</v>
      </c>
      <c r="M86" s="392">
        <v>58.93</v>
      </c>
      <c r="N86" s="497">
        <v>58.93</v>
      </c>
      <c r="O86" s="502">
        <v>58.93</v>
      </c>
      <c r="P86" s="540">
        <f t="shared" si="18"/>
        <v>58.93</v>
      </c>
    </row>
    <row r="87" spans="2:34">
      <c r="B87" s="213">
        <f t="shared" si="20"/>
        <v>73</v>
      </c>
      <c r="C87" s="221" t="s">
        <v>526</v>
      </c>
      <c r="D87" s="215">
        <f>31.3*2</f>
        <v>62.6</v>
      </c>
      <c r="E87" s="216">
        <v>5</v>
      </c>
      <c r="F87" s="216">
        <f>ROUND(D87/5/12,2)</f>
        <v>1.04</v>
      </c>
      <c r="G87" s="210">
        <v>1.04</v>
      </c>
      <c r="H87" s="209">
        <v>1.04</v>
      </c>
      <c r="I87" s="209">
        <v>1.04</v>
      </c>
      <c r="J87" s="211">
        <v>1.04</v>
      </c>
      <c r="K87" s="212"/>
      <c r="L87" s="209">
        <v>1.04</v>
      </c>
      <c r="M87" s="392">
        <v>1.04</v>
      </c>
      <c r="N87" s="497">
        <v>1.04</v>
      </c>
      <c r="O87" s="502">
        <v>1.04</v>
      </c>
      <c r="P87" s="540">
        <f t="shared" si="18"/>
        <v>1.04</v>
      </c>
      <c r="Y87" s="264"/>
      <c r="Z87" s="264"/>
      <c r="AA87" s="264"/>
      <c r="AB87" s="264"/>
      <c r="AC87" s="264"/>
      <c r="AD87" s="264"/>
      <c r="AE87" s="264"/>
      <c r="AF87" s="264"/>
      <c r="AG87" s="264"/>
    </row>
    <row r="88" spans="2:34" s="264" customFormat="1" ht="51">
      <c r="B88" s="213">
        <f t="shared" si="20"/>
        <v>74</v>
      </c>
      <c r="C88" s="221" t="s">
        <v>527</v>
      </c>
      <c r="D88" s="215">
        <v>475</v>
      </c>
      <c r="E88" s="216">
        <v>5</v>
      </c>
      <c r="F88" s="216">
        <f>ROUND(D88/5/12,2)</f>
        <v>7.92</v>
      </c>
      <c r="G88" s="210">
        <v>7.92</v>
      </c>
      <c r="H88" s="209">
        <v>7.92</v>
      </c>
      <c r="I88" s="209">
        <v>7.92</v>
      </c>
      <c r="J88" s="211">
        <v>7.92</v>
      </c>
      <c r="K88" s="212"/>
      <c r="L88" s="209">
        <v>7.92</v>
      </c>
      <c r="M88" s="392">
        <v>7.92</v>
      </c>
      <c r="N88" s="497">
        <v>7.92</v>
      </c>
      <c r="O88" s="502">
        <v>7.92</v>
      </c>
      <c r="P88" s="540">
        <f t="shared" si="18"/>
        <v>7.92</v>
      </c>
      <c r="Q88" s="485"/>
      <c r="R88" s="485"/>
      <c r="S88" s="485"/>
      <c r="T88" s="512"/>
      <c r="U88" s="512"/>
      <c r="V88" s="512"/>
      <c r="W88" s="512"/>
      <c r="X88" s="512"/>
      <c r="Y88" s="80"/>
      <c r="Z88" s="80"/>
      <c r="AA88" s="80"/>
      <c r="AB88" s="80"/>
      <c r="AC88" s="80"/>
      <c r="AD88" s="80"/>
      <c r="AE88" s="80"/>
      <c r="AF88" s="80"/>
      <c r="AG88" s="80"/>
      <c r="AH88" s="334"/>
    </row>
    <row r="89" spans="2:34" ht="26.25" thickBot="1">
      <c r="B89" s="256">
        <f t="shared" si="20"/>
        <v>75</v>
      </c>
      <c r="C89" s="257" t="s">
        <v>528</v>
      </c>
      <c r="D89" s="258">
        <f>359.4*1.21*2</f>
        <v>869.74799999999993</v>
      </c>
      <c r="E89" s="259">
        <v>1</v>
      </c>
      <c r="F89" s="259">
        <f>ROUND(D89/12,2)</f>
        <v>72.48</v>
      </c>
      <c r="G89" s="348">
        <v>72.48</v>
      </c>
      <c r="H89" s="349">
        <v>72.48</v>
      </c>
      <c r="I89" s="349">
        <v>72.48</v>
      </c>
      <c r="J89" s="350">
        <v>72.48</v>
      </c>
      <c r="K89" s="351"/>
      <c r="L89" s="349">
        <v>72.48</v>
      </c>
      <c r="M89" s="395">
        <v>72.48</v>
      </c>
      <c r="N89" s="527">
        <v>72.48</v>
      </c>
      <c r="O89" s="517">
        <v>72.48</v>
      </c>
      <c r="P89" s="540">
        <f t="shared" si="18"/>
        <v>72.48</v>
      </c>
    </row>
    <row r="90" spans="2:34" ht="13.5" thickBot="1">
      <c r="B90" s="228"/>
      <c r="C90" s="229" t="s">
        <v>529</v>
      </c>
      <c r="D90" s="230">
        <f>SUM(D79:D89)</f>
        <v>4106.9367242531343</v>
      </c>
      <c r="E90" s="231"/>
      <c r="F90" s="231">
        <f>SUM(F79:F89)</f>
        <v>229.38</v>
      </c>
      <c r="G90" s="260">
        <f>SUM(G79:G89)</f>
        <v>229.38</v>
      </c>
      <c r="H90" s="231">
        <f>SUM(H79:H89)</f>
        <v>229.38</v>
      </c>
      <c r="I90" s="231">
        <f>SUM(I79:I89)</f>
        <v>229.38</v>
      </c>
      <c r="J90" s="232">
        <f>SUM(J79:J89)</f>
        <v>229.38</v>
      </c>
      <c r="K90" s="233"/>
      <c r="L90" s="234">
        <f>SUM(L79:L89)</f>
        <v>229.38</v>
      </c>
      <c r="M90" s="528">
        <f>SUM(M79:M89)</f>
        <v>229.38</v>
      </c>
      <c r="N90" s="529">
        <f>SUM(N79:N89)</f>
        <v>229.38</v>
      </c>
      <c r="O90" s="530">
        <f>SUM(O79:O89)</f>
        <v>229.38</v>
      </c>
      <c r="P90" s="530">
        <f>SUM(P79:P89)</f>
        <v>229.38</v>
      </c>
    </row>
    <row r="91" spans="2:34" ht="13.5" thickBot="1">
      <c r="B91" s="357"/>
      <c r="C91" s="362" t="s">
        <v>530</v>
      </c>
      <c r="D91" s="363">
        <f>F91*12</f>
        <v>2461.1999999999998</v>
      </c>
      <c r="E91" s="364"/>
      <c r="F91" s="364">
        <v>205.1</v>
      </c>
      <c r="G91" s="364">
        <v>205.1</v>
      </c>
      <c r="H91" s="364">
        <v>205.1</v>
      </c>
      <c r="I91" s="364">
        <v>205.1</v>
      </c>
      <c r="J91" s="365">
        <v>205.1</v>
      </c>
      <c r="K91" s="366"/>
      <c r="L91" s="367">
        <v>205.1</v>
      </c>
      <c r="M91" s="541">
        <v>205.1</v>
      </c>
      <c r="N91" s="542">
        <v>205.1</v>
      </c>
      <c r="O91" s="543">
        <v>205.1</v>
      </c>
      <c r="P91" s="543">
        <v>205.1</v>
      </c>
      <c r="AB91" s="266"/>
      <c r="AC91" s="266"/>
      <c r="AD91" s="266"/>
      <c r="AE91" s="266"/>
      <c r="AF91" s="266"/>
      <c r="AG91" s="266"/>
    </row>
    <row r="92" spans="2:34" ht="13.5" thickBot="1">
      <c r="B92" s="375"/>
      <c r="C92" s="376" t="s">
        <v>531</v>
      </c>
      <c r="D92" s="377">
        <f>G92*12</f>
        <v>1587.096</v>
      </c>
      <c r="E92" s="378"/>
      <c r="F92" s="378"/>
      <c r="G92" s="378">
        <v>132.25800000000001</v>
      </c>
      <c r="H92" s="378">
        <v>132.25800000000001</v>
      </c>
      <c r="I92" s="378">
        <v>132.25800000000001</v>
      </c>
      <c r="J92" s="379">
        <v>132.25800000000001</v>
      </c>
      <c r="K92" s="380"/>
      <c r="L92" s="381">
        <v>132.25800000000001</v>
      </c>
      <c r="M92" s="544">
        <v>132.25800000000001</v>
      </c>
      <c r="N92" s="545">
        <v>132.25800000000001</v>
      </c>
      <c r="O92" s="546">
        <v>132.25800000000001</v>
      </c>
      <c r="P92" s="546">
        <v>132.25800000000001</v>
      </c>
      <c r="AB92" s="267"/>
      <c r="AC92" s="267"/>
      <c r="AD92" s="267"/>
      <c r="AE92" s="267"/>
      <c r="AF92" s="267"/>
      <c r="AG92" s="267"/>
    </row>
    <row r="93" spans="2:34" ht="13.5" thickBot="1">
      <c r="B93" s="278"/>
      <c r="C93" s="389" t="s">
        <v>532</v>
      </c>
      <c r="D93" s="279">
        <f>D39+D69+D72+D77+D90+D91+D92</f>
        <v>37390.475538304971</v>
      </c>
      <c r="E93" s="280"/>
      <c r="F93" s="390">
        <f t="shared" ref="F93:P93" si="21">(F39+F69+F72+F77+F90+F91+F92)</f>
        <v>2528.9299999999998</v>
      </c>
      <c r="G93" s="390">
        <f t="shared" si="21"/>
        <v>3034.7079999999996</v>
      </c>
      <c r="H93" s="390">
        <f t="shared" si="21"/>
        <v>3259.308</v>
      </c>
      <c r="I93" s="390">
        <f t="shared" si="21"/>
        <v>3896.7279999999996</v>
      </c>
      <c r="J93" s="390">
        <f t="shared" si="21"/>
        <v>4021.5479999999998</v>
      </c>
      <c r="K93" s="233">
        <f t="shared" si="21"/>
        <v>1.58</v>
      </c>
      <c r="L93" s="234">
        <f t="shared" si="21"/>
        <v>4023.1279999999997</v>
      </c>
      <c r="M93" s="528">
        <f t="shared" si="21"/>
        <v>4171.9979999999996</v>
      </c>
      <c r="N93" s="529">
        <f t="shared" si="21"/>
        <v>5267.6280000000006</v>
      </c>
      <c r="O93" s="530">
        <f t="shared" si="21"/>
        <v>5295.7580000000007</v>
      </c>
      <c r="P93" s="530">
        <f t="shared" si="21"/>
        <v>4200.1279999999997</v>
      </c>
      <c r="W93" s="547"/>
      <c r="AB93" s="267"/>
      <c r="AC93" s="267"/>
      <c r="AD93" s="267"/>
      <c r="AE93" s="267"/>
      <c r="AF93" s="267"/>
      <c r="AG93" s="267"/>
    </row>
    <row r="94" spans="2:34" ht="30" customHeight="1" thickBot="1">
      <c r="B94" s="621" t="s">
        <v>533</v>
      </c>
      <c r="C94" s="622"/>
      <c r="D94" s="622"/>
      <c r="E94" s="623"/>
      <c r="F94" s="387">
        <f t="shared" ref="F94:M94" si="22">ROUND(F93/1579,6)</f>
        <v>1.601602</v>
      </c>
      <c r="G94" s="387">
        <f t="shared" si="22"/>
        <v>1.921918</v>
      </c>
      <c r="H94" s="387">
        <f t="shared" si="22"/>
        <v>2.0641600000000002</v>
      </c>
      <c r="I94" s="387">
        <f t="shared" si="22"/>
        <v>2.4678450000000001</v>
      </c>
      <c r="J94" s="387">
        <f t="shared" si="22"/>
        <v>2.5468959999999998</v>
      </c>
      <c r="K94" s="388">
        <f t="shared" si="22"/>
        <v>1.0009999999999999E-3</v>
      </c>
      <c r="L94" s="388">
        <f t="shared" si="22"/>
        <v>2.5478960000000002</v>
      </c>
      <c r="M94" s="548">
        <f t="shared" si="22"/>
        <v>2.6421770000000002</v>
      </c>
      <c r="N94" s="549">
        <f>ROUND(N93/1579,6)</f>
        <v>3.3360530000000002</v>
      </c>
      <c r="O94" s="550">
        <f t="shared" ref="O94:P94" si="23">ROUND(O93/1579,6)</f>
        <v>3.3538679999999998</v>
      </c>
      <c r="P94" s="551">
        <f t="shared" si="23"/>
        <v>2.6599919999999999</v>
      </c>
      <c r="Q94" s="533" t="s">
        <v>534</v>
      </c>
      <c r="R94" s="552">
        <f>ROUND(R77/21,0)</f>
        <v>5</v>
      </c>
      <c r="AB94" s="263"/>
      <c r="AC94" s="417"/>
      <c r="AD94" s="417"/>
      <c r="AE94" s="417"/>
      <c r="AF94" s="417"/>
      <c r="AG94" s="417"/>
    </row>
    <row r="95" spans="2:34" ht="13.5" thickBot="1">
      <c r="B95" s="268"/>
      <c r="C95" s="269" t="s">
        <v>535</v>
      </c>
      <c r="D95" s="269"/>
      <c r="E95" s="270"/>
      <c r="F95" s="261">
        <f>ROUND(F74/1579,6)</f>
        <v>0.88410999999999995</v>
      </c>
      <c r="G95" s="261">
        <f>ROUND(G74/1579,6)</f>
        <v>1.060937</v>
      </c>
      <c r="H95" s="261">
        <f>ROUND(H74/1579,6)</f>
        <v>1.16703</v>
      </c>
      <c r="I95" s="261">
        <f>ROUND(I74/1579,6)</f>
        <v>1.4574100000000001</v>
      </c>
      <c r="J95" s="261">
        <f>ROUND(J74/1579,6)</f>
        <v>1.5364599999999999</v>
      </c>
      <c r="K95" s="262"/>
      <c r="L95" s="262">
        <f>ROUND(L74/1579,6)</f>
        <v>1.5364599999999999</v>
      </c>
      <c r="M95" s="553">
        <f>ROUND(M74/1579,6)</f>
        <v>1.6303859999999999</v>
      </c>
      <c r="N95" s="554">
        <f>ROUND(N74/1579,6)</f>
        <v>1.6303859999999999</v>
      </c>
      <c r="O95" s="555">
        <f>ROUND(O74/1579,6)</f>
        <v>1.6303859999999999</v>
      </c>
      <c r="P95" s="556">
        <f>ROUND(P74/1579,6)</f>
        <v>1.6303859999999999</v>
      </c>
      <c r="T95" s="557"/>
    </row>
    <row r="97" spans="1:34">
      <c r="M97" s="558"/>
      <c r="N97" s="558"/>
    </row>
    <row r="98" spans="1:34">
      <c r="M98" s="558"/>
      <c r="N98" s="558"/>
    </row>
    <row r="99" spans="1:34" s="11" customFormat="1">
      <c r="A99" s="80"/>
      <c r="B99" s="80"/>
      <c r="C99" s="80"/>
      <c r="D99" s="80"/>
      <c r="E99" s="80"/>
      <c r="F99" s="80"/>
      <c r="G99" s="80"/>
      <c r="H99" s="80"/>
      <c r="I99" s="80"/>
      <c r="J99" s="80"/>
      <c r="K99" s="80"/>
      <c r="L99" s="80"/>
      <c r="M99" s="558"/>
      <c r="N99" s="558"/>
      <c r="O99" s="558"/>
      <c r="P99" s="558"/>
      <c r="Q99" s="485"/>
      <c r="R99" s="485"/>
      <c r="S99" s="485"/>
      <c r="T99" s="512"/>
      <c r="U99" s="512"/>
      <c r="V99" s="512"/>
      <c r="W99" s="512"/>
      <c r="X99" s="512"/>
      <c r="Y99" s="80"/>
      <c r="Z99" s="80"/>
      <c r="AA99" s="80"/>
      <c r="AB99" s="80"/>
      <c r="AC99" s="80"/>
      <c r="AD99" s="80"/>
      <c r="AE99" s="80"/>
      <c r="AF99" s="80"/>
      <c r="AG99" s="80"/>
      <c r="AH99" s="335"/>
    </row>
    <row r="100" spans="1:34" s="11" customFormat="1">
      <c r="A100" s="80"/>
      <c r="B100" s="80"/>
      <c r="C100" s="80"/>
      <c r="D100" s="80"/>
      <c r="E100" s="80"/>
      <c r="F100" s="80"/>
      <c r="G100" s="80"/>
      <c r="H100" s="80"/>
      <c r="I100" s="80"/>
      <c r="J100" s="80"/>
      <c r="K100" s="80"/>
      <c r="L100" s="80"/>
      <c r="M100" s="558"/>
      <c r="N100" s="558"/>
      <c r="O100" s="485"/>
      <c r="P100" s="485"/>
      <c r="Q100" s="485"/>
      <c r="R100" s="485"/>
      <c r="S100" s="485"/>
      <c r="T100" s="512"/>
      <c r="U100" s="512"/>
      <c r="V100" s="512"/>
      <c r="W100" s="512"/>
      <c r="X100" s="512"/>
      <c r="Y100" s="80"/>
      <c r="Z100" s="80"/>
      <c r="AA100" s="80"/>
      <c r="AB100" s="80"/>
      <c r="AC100" s="80"/>
      <c r="AD100" s="80"/>
      <c r="AE100" s="80"/>
      <c r="AF100" s="80"/>
      <c r="AG100" s="80"/>
      <c r="AH100" s="335"/>
    </row>
  </sheetData>
  <autoFilter ref="B4:P95" xr:uid="{C9BA4B63-49D3-40E5-A8C1-D379BA8C8E9B}"/>
  <mergeCells count="7">
    <mergeCell ref="R21:AH21"/>
    <mergeCell ref="R26:AB27"/>
    <mergeCell ref="B94:E94"/>
    <mergeCell ref="M1:O1"/>
    <mergeCell ref="B2:N2"/>
    <mergeCell ref="B3:F3"/>
    <mergeCell ref="K3:L3"/>
  </mergeCells>
  <pageMargins left="0.7" right="0.7" top="0.75" bottom="0.75" header="0.3" footer="0.3"/>
  <pageSetup paperSize="9" scale="25" orientation="portrait" verticalDpi="0" r:id="rId1"/>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61D56E-AE45-47E6-A112-1CAE1FBB4808}">
  <sheetPr>
    <tabColor theme="9" tint="0.79998168889431442"/>
    <pageSetUpPr fitToPage="1"/>
  </sheetPr>
  <dimension ref="A1:I28"/>
  <sheetViews>
    <sheetView zoomScale="70" zoomScaleNormal="70" workbookViewId="0">
      <selection activeCell="E15" sqref="E15"/>
    </sheetView>
  </sheetViews>
  <sheetFormatPr defaultColWidth="9.140625" defaultRowHeight="12.75"/>
  <cols>
    <col min="1" max="1" width="63.85546875" style="4" customWidth="1"/>
    <col min="2" max="2" width="17.140625" style="4" customWidth="1"/>
    <col min="3" max="5" width="15.140625" style="4" customWidth="1"/>
    <col min="6" max="6" width="65.140625" style="4" customWidth="1"/>
    <col min="7" max="10" width="15.140625" style="4" customWidth="1"/>
    <col min="11" max="16384" width="9.140625" style="4"/>
  </cols>
  <sheetData>
    <row r="1" spans="1:8" ht="33" customHeight="1">
      <c r="D1" s="631" t="s">
        <v>8</v>
      </c>
      <c r="E1" s="631"/>
      <c r="F1" s="631"/>
    </row>
    <row r="2" spans="1:8">
      <c r="A2" s="632" t="s">
        <v>546</v>
      </c>
      <c r="B2" s="632"/>
      <c r="C2" s="632"/>
      <c r="D2" s="632"/>
      <c r="E2" s="632"/>
      <c r="F2" s="632"/>
    </row>
    <row r="3" spans="1:8" ht="51">
      <c r="A3" s="325"/>
      <c r="B3" s="323" t="s">
        <v>540</v>
      </c>
      <c r="C3" s="472" t="s">
        <v>549</v>
      </c>
    </row>
    <row r="4" spans="1:8">
      <c r="A4" s="473" t="s">
        <v>3</v>
      </c>
      <c r="B4" s="474">
        <f>B5+B6</f>
        <v>85840</v>
      </c>
      <c r="C4" s="474">
        <f>C5+C6</f>
        <v>257520</v>
      </c>
    </row>
    <row r="5" spans="1:8">
      <c r="A5" s="9" t="s">
        <v>305</v>
      </c>
      <c r="B5" s="475">
        <v>50024</v>
      </c>
      <c r="C5" s="475">
        <f>(B5/4)*12</f>
        <v>150072</v>
      </c>
    </row>
    <row r="6" spans="1:8">
      <c r="A6" s="9" t="s">
        <v>306</v>
      </c>
      <c r="B6" s="476">
        <v>35816</v>
      </c>
      <c r="C6" s="475">
        <f>(B6/4)*12</f>
        <v>107448</v>
      </c>
    </row>
    <row r="9" spans="1:8" ht="51">
      <c r="A9" s="477" t="s">
        <v>307</v>
      </c>
      <c r="B9" s="477" t="s">
        <v>637</v>
      </c>
      <c r="C9" s="477" t="s">
        <v>644</v>
      </c>
      <c r="D9" s="477" t="s">
        <v>643</v>
      </c>
      <c r="E9" s="477" t="s">
        <v>639</v>
      </c>
    </row>
    <row r="10" spans="1:8">
      <c r="A10" s="478" t="s">
        <v>551</v>
      </c>
      <c r="B10" s="479">
        <v>2805750</v>
      </c>
      <c r="C10" s="479">
        <v>849410</v>
      </c>
      <c r="D10" s="479">
        <f>C10*3</f>
        <v>2548230</v>
      </c>
      <c r="E10" s="480">
        <f>B10-D10</f>
        <v>257520</v>
      </c>
      <c r="F10" s="567"/>
      <c r="H10" s="567"/>
    </row>
    <row r="11" spans="1:8" ht="54" customHeight="1">
      <c r="A11" s="633" t="s">
        <v>650</v>
      </c>
      <c r="B11" s="634"/>
      <c r="C11" s="634"/>
      <c r="D11" s="634"/>
      <c r="E11" s="634"/>
      <c r="F11" s="635"/>
    </row>
    <row r="12" spans="1:8">
      <c r="A12" s="586"/>
      <c r="B12" s="587"/>
      <c r="C12" s="587"/>
      <c r="D12" s="587"/>
      <c r="E12" s="587"/>
      <c r="F12" s="588"/>
    </row>
    <row r="13" spans="1:8" ht="51">
      <c r="A13" s="589" t="s">
        <v>307</v>
      </c>
      <c r="B13" s="589" t="s">
        <v>547</v>
      </c>
      <c r="C13" s="590" t="s">
        <v>635</v>
      </c>
      <c r="D13" s="589" t="s">
        <v>640</v>
      </c>
      <c r="E13" s="591"/>
    </row>
    <row r="14" spans="1:8" ht="15">
      <c r="A14" s="592" t="s">
        <v>633</v>
      </c>
      <c r="B14" s="593">
        <v>1838087</v>
      </c>
      <c r="C14" s="593">
        <v>1420222</v>
      </c>
      <c r="D14" s="593">
        <f>B14-C14</f>
        <v>417865</v>
      </c>
      <c r="E14" s="591"/>
    </row>
    <row r="15" spans="1:8" ht="58.9" customHeight="1">
      <c r="A15" s="637" t="s">
        <v>651</v>
      </c>
      <c r="B15" s="637"/>
      <c r="C15" s="637"/>
      <c r="D15" s="637"/>
    </row>
    <row r="16" spans="1:8" ht="15">
      <c r="A16" s="594"/>
    </row>
    <row r="17" spans="1:9" ht="15.75">
      <c r="A17" s="636" t="s">
        <v>646</v>
      </c>
      <c r="B17" s="636"/>
      <c r="C17" s="636"/>
      <c r="F17" s="636" t="s">
        <v>647</v>
      </c>
      <c r="G17" s="636"/>
      <c r="H17" s="636"/>
    </row>
    <row r="18" spans="1:9" ht="25.5">
      <c r="A18" s="9" t="s">
        <v>641</v>
      </c>
      <c r="B18" s="481" t="s">
        <v>15</v>
      </c>
      <c r="C18" s="482" t="s">
        <v>16</v>
      </c>
      <c r="F18" s="9" t="s">
        <v>641</v>
      </c>
      <c r="G18" s="481" t="s">
        <v>15</v>
      </c>
      <c r="H18" s="482" t="s">
        <v>16</v>
      </c>
    </row>
    <row r="19" spans="1:9" ht="25.5">
      <c r="A19" s="580" t="s">
        <v>552</v>
      </c>
      <c r="B19" s="582">
        <f>E10</f>
        <v>257520</v>
      </c>
      <c r="C19" s="582">
        <f>B19</f>
        <v>257520</v>
      </c>
      <c r="D19" s="584"/>
      <c r="E19" s="584"/>
      <c r="F19" s="580" t="s">
        <v>552</v>
      </c>
      <c r="G19" s="581">
        <f>I10</f>
        <v>0</v>
      </c>
      <c r="H19" s="581">
        <f>G19</f>
        <v>0</v>
      </c>
    </row>
    <row r="20" spans="1:9" ht="25.5">
      <c r="A20" s="580" t="s">
        <v>634</v>
      </c>
      <c r="B20" s="582"/>
      <c r="C20" s="582"/>
      <c r="D20" s="584"/>
      <c r="E20" s="584"/>
      <c r="F20" s="580" t="s">
        <v>634</v>
      </c>
      <c r="G20" s="582">
        <v>417865</v>
      </c>
      <c r="H20" s="582">
        <f>417865</f>
        <v>417865</v>
      </c>
    </row>
    <row r="21" spans="1:9" ht="21.75" customHeight="1">
      <c r="A21" s="583" t="s">
        <v>638</v>
      </c>
      <c r="B21" s="582">
        <f>B19+B20</f>
        <v>257520</v>
      </c>
      <c r="C21" s="582">
        <f>C19+C20</f>
        <v>257520</v>
      </c>
      <c r="D21" s="584"/>
      <c r="E21" s="584"/>
      <c r="F21" s="583" t="s">
        <v>638</v>
      </c>
      <c r="G21" s="582">
        <f>G19+G20</f>
        <v>417865</v>
      </c>
      <c r="H21" s="582">
        <f>H19+H20</f>
        <v>417865</v>
      </c>
    </row>
    <row r="22" spans="1:9" ht="47.25">
      <c r="A22" s="314" t="s">
        <v>636</v>
      </c>
      <c r="B22" s="483"/>
      <c r="C22" s="7"/>
      <c r="D22" s="584"/>
      <c r="E22" s="584"/>
      <c r="F22" s="314" t="s">
        <v>636</v>
      </c>
      <c r="G22" s="483">
        <v>137712</v>
      </c>
      <c r="H22" s="585">
        <f>G22*3</f>
        <v>413136</v>
      </c>
    </row>
    <row r="23" spans="1:9" ht="103.9" customHeight="1">
      <c r="A23" s="314" t="s">
        <v>652</v>
      </c>
      <c r="B23" s="483">
        <f>'4.p.turp.1'!G3+'4p.turp.2'!E6</f>
        <v>85840</v>
      </c>
      <c r="C23" s="585">
        <f>'4.p.turp.1'!G4+'4p.turp.2'!F6</f>
        <v>257520</v>
      </c>
      <c r="D23" s="584"/>
      <c r="E23" s="584"/>
      <c r="F23" s="314" t="s">
        <v>642</v>
      </c>
      <c r="G23" s="483">
        <f>G20-G22</f>
        <v>280153</v>
      </c>
      <c r="H23" s="630" t="s">
        <v>645</v>
      </c>
      <c r="I23" s="630"/>
    </row>
    <row r="24" spans="1:9" ht="103.15" customHeight="1">
      <c r="A24" s="314" t="s">
        <v>283</v>
      </c>
      <c r="B24" s="483">
        <f>B19-B22-B23</f>
        <v>171680</v>
      </c>
      <c r="C24" s="630" t="s">
        <v>649</v>
      </c>
      <c r="D24" s="630"/>
      <c r="E24" s="575"/>
      <c r="F24" s="314" t="s">
        <v>648</v>
      </c>
      <c r="G24" s="9"/>
      <c r="H24" s="483">
        <f>H20-H22</f>
        <v>4729</v>
      </c>
    </row>
    <row r="26" spans="1:9">
      <c r="C26" s="567"/>
    </row>
    <row r="28" spans="1:9">
      <c r="C28" s="567"/>
    </row>
  </sheetData>
  <mergeCells count="8">
    <mergeCell ref="H23:I23"/>
    <mergeCell ref="C24:D24"/>
    <mergeCell ref="D1:F1"/>
    <mergeCell ref="A2:F2"/>
    <mergeCell ref="A11:F11"/>
    <mergeCell ref="A17:C17"/>
    <mergeCell ref="A15:D15"/>
    <mergeCell ref="F17:H17"/>
  </mergeCells>
  <pageMargins left="0.7" right="0.7" top="0.75" bottom="0.75" header="0.3" footer="0.3"/>
  <pageSetup paperSize="9" scale="5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4E029B-82AF-4F02-86C9-DABF59E98A5D}">
  <sheetPr>
    <tabColor theme="9" tint="0.79998168889431442"/>
  </sheetPr>
  <dimension ref="A1:M152"/>
  <sheetViews>
    <sheetView view="pageBreakPreview" topLeftCell="A8" zoomScale="60" zoomScaleNormal="78" workbookViewId="0">
      <selection activeCell="G3" sqref="G3"/>
    </sheetView>
  </sheetViews>
  <sheetFormatPr defaultColWidth="9.140625" defaultRowHeight="12.75"/>
  <cols>
    <col min="1" max="1" width="21.42578125" style="286" customWidth="1"/>
    <col min="2" max="2" width="16.28515625" style="425" customWidth="1"/>
    <col min="3" max="3" width="19.42578125" style="425" customWidth="1"/>
    <col min="4" max="4" width="18.7109375" style="425" customWidth="1"/>
    <col min="5" max="5" width="18.85546875" style="425" customWidth="1"/>
    <col min="6" max="6" width="20.85546875" style="425" customWidth="1"/>
    <col min="7" max="7" width="18.42578125" style="425" customWidth="1"/>
    <col min="8" max="8" width="39.42578125" style="425" customWidth="1"/>
    <col min="9" max="9" width="15.7109375" style="425" customWidth="1"/>
    <col min="10" max="10" width="47.28515625" style="425" customWidth="1"/>
    <col min="11" max="12" width="15.7109375" style="425" customWidth="1"/>
    <col min="13" max="13" width="15.7109375" style="287" customWidth="1"/>
    <col min="14" max="16384" width="9.140625" style="287"/>
  </cols>
  <sheetData>
    <row r="1" spans="1:13" ht="42.75" customHeight="1">
      <c r="J1" s="639" t="s">
        <v>555</v>
      </c>
      <c r="K1" s="639"/>
      <c r="L1" s="639"/>
    </row>
    <row r="2" spans="1:13">
      <c r="A2" s="638" t="s">
        <v>537</v>
      </c>
      <c r="B2" s="638"/>
      <c r="C2" s="638"/>
      <c r="D2" s="638"/>
      <c r="E2" s="638"/>
      <c r="F2" s="638"/>
      <c r="G2" s="638"/>
    </row>
    <row r="3" spans="1:13" s="283" customFormat="1" ht="25.5">
      <c r="A3" s="282"/>
      <c r="B3" s="426"/>
      <c r="C3" s="427">
        <f>SUM(C6:C152)</f>
        <v>24146.720000000005</v>
      </c>
      <c r="D3" s="427">
        <f>SUM(D6:D152)</f>
        <v>36652.719999999987</v>
      </c>
      <c r="E3" s="427">
        <f>SUM(E6:E152)</f>
        <v>96586.880000000019</v>
      </c>
      <c r="F3" s="427">
        <f>SUM(F6:F152)</f>
        <v>146610.87999999995</v>
      </c>
      <c r="G3" s="428">
        <f>SUM(G6:G152)</f>
        <v>50024</v>
      </c>
      <c r="H3" s="429" t="s">
        <v>568</v>
      </c>
      <c r="I3" s="430"/>
      <c r="J3" s="430"/>
      <c r="K3" s="430"/>
      <c r="L3" s="430"/>
    </row>
    <row r="4" spans="1:13" s="285" customFormat="1" ht="24.75" customHeight="1" thickBot="1">
      <c r="A4" s="284"/>
      <c r="B4" s="431"/>
      <c r="C4" s="432">
        <v>142.88</v>
      </c>
      <c r="D4" s="432">
        <v>216.88</v>
      </c>
      <c r="E4" s="432"/>
      <c r="F4" s="432"/>
      <c r="G4" s="428">
        <f>(G3/4)*12</f>
        <v>150072</v>
      </c>
      <c r="H4" s="299" t="s">
        <v>549</v>
      </c>
      <c r="I4" s="640" t="s">
        <v>578</v>
      </c>
      <c r="J4" s="640"/>
      <c r="K4" s="640"/>
      <c r="L4" s="433"/>
      <c r="M4" s="399"/>
    </row>
    <row r="5" spans="1:13" s="286" customFormat="1" ht="85.5" customHeight="1" thickBot="1">
      <c r="A5" s="288" t="s">
        <v>298</v>
      </c>
      <c r="B5" s="322" t="s">
        <v>576</v>
      </c>
      <c r="C5" s="322" t="s">
        <v>541</v>
      </c>
      <c r="D5" s="322" t="s">
        <v>541</v>
      </c>
      <c r="E5" s="322" t="s">
        <v>567</v>
      </c>
      <c r="F5" s="322" t="s">
        <v>567</v>
      </c>
      <c r="G5" s="322" t="s">
        <v>538</v>
      </c>
      <c r="H5" s="434"/>
      <c r="I5" s="435" t="s">
        <v>6</v>
      </c>
      <c r="J5" s="435" t="s">
        <v>579</v>
      </c>
      <c r="K5" s="435" t="s">
        <v>580</v>
      </c>
      <c r="L5" s="435" t="s">
        <v>581</v>
      </c>
      <c r="M5" s="399"/>
    </row>
    <row r="6" spans="1:13" ht="15.75" thickBot="1">
      <c r="A6" s="281" t="s">
        <v>300</v>
      </c>
      <c r="B6" s="436">
        <v>1</v>
      </c>
      <c r="C6" s="437">
        <f>B6*$C$4</f>
        <v>142.88</v>
      </c>
      <c r="D6" s="437">
        <f>B6*$D$4</f>
        <v>216.88</v>
      </c>
      <c r="E6" s="437">
        <f>C6*4</f>
        <v>571.52</v>
      </c>
      <c r="F6" s="438">
        <f>D6*4</f>
        <v>867.52</v>
      </c>
      <c r="G6" s="439">
        <f>F6-E6</f>
        <v>296</v>
      </c>
      <c r="I6" s="440">
        <v>1</v>
      </c>
      <c r="J6" s="440">
        <v>2</v>
      </c>
      <c r="K6" s="440">
        <v>3</v>
      </c>
      <c r="L6" s="440">
        <v>5</v>
      </c>
      <c r="M6" s="399"/>
    </row>
    <row r="7" spans="1:13" ht="15">
      <c r="A7" s="281" t="s">
        <v>300</v>
      </c>
      <c r="B7" s="436">
        <v>1</v>
      </c>
      <c r="C7" s="437">
        <f t="shared" ref="C7:C19" si="0">B7*$C$4</f>
        <v>142.88</v>
      </c>
      <c r="D7" s="437">
        <f>B7*$D$4</f>
        <v>216.88</v>
      </c>
      <c r="E7" s="437">
        <f t="shared" ref="E7:F9" si="1">C7*4</f>
        <v>571.52</v>
      </c>
      <c r="F7" s="438">
        <f t="shared" si="1"/>
        <v>867.52</v>
      </c>
      <c r="G7" s="439">
        <f>F7-E7</f>
        <v>296</v>
      </c>
      <c r="I7" s="441">
        <v>1</v>
      </c>
      <c r="J7" s="442" t="s">
        <v>582</v>
      </c>
      <c r="K7" s="403">
        <v>0.76</v>
      </c>
      <c r="L7" s="403">
        <v>0.76</v>
      </c>
      <c r="M7" s="399"/>
    </row>
    <row r="8" spans="1:13" ht="15">
      <c r="A8" s="281" t="s">
        <v>300</v>
      </c>
      <c r="B8" s="436">
        <v>1</v>
      </c>
      <c r="C8" s="437">
        <f t="shared" si="0"/>
        <v>142.88</v>
      </c>
      <c r="D8" s="437">
        <f>B8*$D$4</f>
        <v>216.88</v>
      </c>
      <c r="E8" s="437">
        <f t="shared" si="1"/>
        <v>571.52</v>
      </c>
      <c r="F8" s="438">
        <f t="shared" si="1"/>
        <v>867.52</v>
      </c>
      <c r="G8" s="439">
        <f>F8-E8</f>
        <v>296</v>
      </c>
      <c r="I8" s="443">
        <v>2</v>
      </c>
      <c r="J8" s="444" t="s">
        <v>583</v>
      </c>
      <c r="K8" s="404">
        <v>1.84</v>
      </c>
      <c r="L8" s="403">
        <v>1.84</v>
      </c>
      <c r="M8" s="399"/>
    </row>
    <row r="9" spans="1:13" ht="15">
      <c r="A9" s="281" t="s">
        <v>300</v>
      </c>
      <c r="B9" s="436">
        <v>1</v>
      </c>
      <c r="C9" s="437">
        <f t="shared" si="0"/>
        <v>142.88</v>
      </c>
      <c r="D9" s="437">
        <f>B9*$D$4</f>
        <v>216.88</v>
      </c>
      <c r="E9" s="437">
        <f t="shared" si="1"/>
        <v>571.52</v>
      </c>
      <c r="F9" s="438">
        <f t="shared" si="1"/>
        <v>867.52</v>
      </c>
      <c r="G9" s="439">
        <f>F9-E9</f>
        <v>296</v>
      </c>
      <c r="I9" s="443">
        <v>3</v>
      </c>
      <c r="J9" s="444" t="s">
        <v>584</v>
      </c>
      <c r="K9" s="405">
        <v>1.17</v>
      </c>
      <c r="L9" s="403">
        <v>1.17</v>
      </c>
      <c r="M9" s="400"/>
    </row>
    <row r="10" spans="1:13" ht="15">
      <c r="A10" s="281" t="s">
        <v>300</v>
      </c>
      <c r="B10" s="436">
        <v>1</v>
      </c>
      <c r="C10" s="437">
        <f t="shared" si="0"/>
        <v>142.88</v>
      </c>
      <c r="D10" s="437">
        <f t="shared" ref="D10:D11" si="2">B10*$D$4</f>
        <v>216.88</v>
      </c>
      <c r="E10" s="437">
        <f t="shared" ref="E10:F11" si="3">C10*4</f>
        <v>571.52</v>
      </c>
      <c r="F10" s="438">
        <f t="shared" si="3"/>
        <v>867.52</v>
      </c>
      <c r="G10" s="439">
        <f t="shared" ref="G10:G11" si="4">F10-E10</f>
        <v>296</v>
      </c>
      <c r="I10" s="443">
        <v>4</v>
      </c>
      <c r="J10" s="444" t="s">
        <v>585</v>
      </c>
      <c r="K10" s="405">
        <v>7.18</v>
      </c>
      <c r="L10" s="403">
        <v>7.18</v>
      </c>
      <c r="M10" s="399"/>
    </row>
    <row r="11" spans="1:13" ht="15">
      <c r="A11" s="281" t="s">
        <v>300</v>
      </c>
      <c r="B11" s="436">
        <v>1</v>
      </c>
      <c r="C11" s="437">
        <f t="shared" si="0"/>
        <v>142.88</v>
      </c>
      <c r="D11" s="437">
        <f t="shared" si="2"/>
        <v>216.88</v>
      </c>
      <c r="E11" s="437">
        <f t="shared" si="3"/>
        <v>571.52</v>
      </c>
      <c r="F11" s="438">
        <f t="shared" si="3"/>
        <v>867.52</v>
      </c>
      <c r="G11" s="439">
        <f t="shared" si="4"/>
        <v>296</v>
      </c>
      <c r="I11" s="443">
        <v>5</v>
      </c>
      <c r="J11" s="444" t="s">
        <v>586</v>
      </c>
      <c r="K11" s="404">
        <v>1.39</v>
      </c>
      <c r="L11" s="403">
        <v>1.39</v>
      </c>
      <c r="M11" s="400"/>
    </row>
    <row r="12" spans="1:13" ht="15">
      <c r="A12" s="281" t="s">
        <v>300</v>
      </c>
      <c r="B12" s="436">
        <v>1</v>
      </c>
      <c r="C12" s="437">
        <f t="shared" si="0"/>
        <v>142.88</v>
      </c>
      <c r="D12" s="437">
        <f t="shared" ref="D12:D13" si="5">B12*$D$4</f>
        <v>216.88</v>
      </c>
      <c r="E12" s="437">
        <f t="shared" ref="E12:F13" si="6">C12*4</f>
        <v>571.52</v>
      </c>
      <c r="F12" s="438">
        <f t="shared" si="6"/>
        <v>867.52</v>
      </c>
      <c r="G12" s="439">
        <f t="shared" ref="G12:G13" si="7">F12-E12</f>
        <v>296</v>
      </c>
      <c r="I12" s="443">
        <v>6</v>
      </c>
      <c r="J12" s="444" t="s">
        <v>587</v>
      </c>
      <c r="K12" s="405">
        <v>0.91</v>
      </c>
      <c r="L12" s="403">
        <v>0.91</v>
      </c>
      <c r="M12" s="400"/>
    </row>
    <row r="13" spans="1:13" ht="15">
      <c r="A13" s="281" t="s">
        <v>300</v>
      </c>
      <c r="B13" s="436">
        <v>1</v>
      </c>
      <c r="C13" s="437">
        <f t="shared" si="0"/>
        <v>142.88</v>
      </c>
      <c r="D13" s="437">
        <f t="shared" si="5"/>
        <v>216.88</v>
      </c>
      <c r="E13" s="437">
        <f t="shared" si="6"/>
        <v>571.52</v>
      </c>
      <c r="F13" s="438">
        <f t="shared" si="6"/>
        <v>867.52</v>
      </c>
      <c r="G13" s="439">
        <f t="shared" si="7"/>
        <v>296</v>
      </c>
      <c r="I13" s="443">
        <v>7</v>
      </c>
      <c r="J13" s="444" t="s">
        <v>588</v>
      </c>
      <c r="K13" s="405">
        <v>1.31</v>
      </c>
      <c r="L13" s="403">
        <v>1.31</v>
      </c>
      <c r="M13" s="400"/>
    </row>
    <row r="14" spans="1:13" ht="15">
      <c r="A14" s="281" t="s">
        <v>300</v>
      </c>
      <c r="B14" s="436">
        <v>1</v>
      </c>
      <c r="C14" s="437">
        <f t="shared" si="0"/>
        <v>142.88</v>
      </c>
      <c r="D14" s="437">
        <f t="shared" ref="D14:D15" si="8">B14*$D$4</f>
        <v>216.88</v>
      </c>
      <c r="E14" s="437">
        <f t="shared" ref="E14:F15" si="9">C14*4</f>
        <v>571.52</v>
      </c>
      <c r="F14" s="438">
        <f t="shared" si="9"/>
        <v>867.52</v>
      </c>
      <c r="G14" s="439">
        <f t="shared" ref="G14:G15" si="10">F14-E14</f>
        <v>296</v>
      </c>
      <c r="I14" s="443">
        <v>8</v>
      </c>
      <c r="J14" s="444" t="s">
        <v>589</v>
      </c>
      <c r="K14" s="404">
        <v>3.92</v>
      </c>
      <c r="L14" s="403">
        <v>3.92</v>
      </c>
      <c r="M14" s="399"/>
    </row>
    <row r="15" spans="1:13" ht="15">
      <c r="A15" s="281" t="s">
        <v>300</v>
      </c>
      <c r="B15" s="436">
        <v>1</v>
      </c>
      <c r="C15" s="437">
        <f t="shared" si="0"/>
        <v>142.88</v>
      </c>
      <c r="D15" s="437">
        <f t="shared" si="8"/>
        <v>216.88</v>
      </c>
      <c r="E15" s="437">
        <f t="shared" si="9"/>
        <v>571.52</v>
      </c>
      <c r="F15" s="438">
        <f t="shared" si="9"/>
        <v>867.52</v>
      </c>
      <c r="G15" s="439">
        <f t="shared" si="10"/>
        <v>296</v>
      </c>
      <c r="I15" s="443">
        <v>9</v>
      </c>
      <c r="J15" s="444" t="s">
        <v>590</v>
      </c>
      <c r="K15" s="405">
        <v>0.33</v>
      </c>
      <c r="L15" s="403">
        <v>0.33</v>
      </c>
      <c r="M15" s="400"/>
    </row>
    <row r="16" spans="1:13" ht="25.5">
      <c r="A16" s="281" t="s">
        <v>300</v>
      </c>
      <c r="B16" s="436">
        <v>1</v>
      </c>
      <c r="C16" s="437">
        <f t="shared" ref="C16" si="11">B16*$C$4</f>
        <v>142.88</v>
      </c>
      <c r="D16" s="437">
        <f>B16*$D$4</f>
        <v>216.88</v>
      </c>
      <c r="E16" s="437">
        <f t="shared" ref="E16:F20" si="12">C16*4</f>
        <v>571.52</v>
      </c>
      <c r="F16" s="438">
        <f t="shared" si="12"/>
        <v>867.52</v>
      </c>
      <c r="G16" s="439">
        <f>F16-E16</f>
        <v>296</v>
      </c>
      <c r="I16" s="443">
        <v>10</v>
      </c>
      <c r="J16" s="444" t="s">
        <v>591</v>
      </c>
      <c r="K16" s="405">
        <v>0.9</v>
      </c>
      <c r="L16" s="403">
        <v>0.9</v>
      </c>
      <c r="M16" s="400"/>
    </row>
    <row r="17" spans="1:13" ht="15">
      <c r="A17" s="281" t="s">
        <v>300</v>
      </c>
      <c r="B17" s="436">
        <v>2</v>
      </c>
      <c r="C17" s="437">
        <f t="shared" si="0"/>
        <v>285.76</v>
      </c>
      <c r="D17" s="437">
        <f>B17*$D$4</f>
        <v>433.76</v>
      </c>
      <c r="E17" s="437">
        <f t="shared" si="12"/>
        <v>1143.04</v>
      </c>
      <c r="F17" s="438">
        <f t="shared" si="12"/>
        <v>1735.04</v>
      </c>
      <c r="G17" s="439">
        <f>F17-E17</f>
        <v>592</v>
      </c>
      <c r="I17" s="443">
        <v>11</v>
      </c>
      <c r="J17" s="444" t="s">
        <v>592</v>
      </c>
      <c r="K17" s="404">
        <v>0.16</v>
      </c>
      <c r="L17" s="403">
        <v>0.16</v>
      </c>
      <c r="M17" s="399"/>
    </row>
    <row r="18" spans="1:13" ht="15">
      <c r="A18" s="281" t="s">
        <v>300</v>
      </c>
      <c r="B18" s="436">
        <v>2</v>
      </c>
      <c r="C18" s="437">
        <f t="shared" si="0"/>
        <v>285.76</v>
      </c>
      <c r="D18" s="437">
        <f>B18*$D$4</f>
        <v>433.76</v>
      </c>
      <c r="E18" s="437">
        <f t="shared" si="12"/>
        <v>1143.04</v>
      </c>
      <c r="F18" s="438">
        <f t="shared" si="12"/>
        <v>1735.04</v>
      </c>
      <c r="G18" s="439">
        <f>F18-E18</f>
        <v>592</v>
      </c>
      <c r="I18" s="443">
        <v>12</v>
      </c>
      <c r="J18" s="444" t="s">
        <v>593</v>
      </c>
      <c r="K18" s="404">
        <v>0.25</v>
      </c>
      <c r="L18" s="403">
        <v>0.25</v>
      </c>
      <c r="M18" s="399"/>
    </row>
    <row r="19" spans="1:13" ht="15">
      <c r="A19" s="281" t="s">
        <v>300</v>
      </c>
      <c r="B19" s="436">
        <v>2</v>
      </c>
      <c r="C19" s="437">
        <f t="shared" si="0"/>
        <v>285.76</v>
      </c>
      <c r="D19" s="437">
        <f>B19*$D$4</f>
        <v>433.76</v>
      </c>
      <c r="E19" s="437">
        <f t="shared" si="12"/>
        <v>1143.04</v>
      </c>
      <c r="F19" s="438">
        <f t="shared" si="12"/>
        <v>1735.04</v>
      </c>
      <c r="G19" s="439">
        <f>F19-E19</f>
        <v>592</v>
      </c>
      <c r="I19" s="443">
        <v>13</v>
      </c>
      <c r="J19" s="444" t="s">
        <v>594</v>
      </c>
      <c r="K19" s="405">
        <v>3.17</v>
      </c>
      <c r="L19" s="403">
        <v>3.17</v>
      </c>
      <c r="M19" s="400"/>
    </row>
    <row r="20" spans="1:13" ht="15">
      <c r="A20" s="281" t="s">
        <v>300</v>
      </c>
      <c r="B20" s="436">
        <v>1</v>
      </c>
      <c r="C20" s="437">
        <f t="shared" ref="C20:C29" si="13">B20*$C$4</f>
        <v>142.88</v>
      </c>
      <c r="D20" s="437">
        <f>B20*$D$4</f>
        <v>216.88</v>
      </c>
      <c r="E20" s="437">
        <f t="shared" si="12"/>
        <v>571.52</v>
      </c>
      <c r="F20" s="438">
        <f t="shared" si="12"/>
        <v>867.52</v>
      </c>
      <c r="G20" s="439">
        <f>F20-E20</f>
        <v>296</v>
      </c>
      <c r="I20" s="443">
        <v>14</v>
      </c>
      <c r="J20" s="444" t="s">
        <v>595</v>
      </c>
      <c r="K20" s="404">
        <v>1.71</v>
      </c>
      <c r="L20" s="403">
        <v>1.71</v>
      </c>
      <c r="M20" s="400"/>
    </row>
    <row r="21" spans="1:13" ht="15">
      <c r="A21" s="281" t="s">
        <v>300</v>
      </c>
      <c r="B21" s="436">
        <v>1</v>
      </c>
      <c r="C21" s="437">
        <f t="shared" si="13"/>
        <v>142.88</v>
      </c>
      <c r="D21" s="437">
        <f t="shared" ref="D21:D22" si="14">B21*$D$4</f>
        <v>216.88</v>
      </c>
      <c r="E21" s="437">
        <f t="shared" ref="E21:F22" si="15">C21*4</f>
        <v>571.52</v>
      </c>
      <c r="F21" s="438">
        <f t="shared" si="15"/>
        <v>867.52</v>
      </c>
      <c r="G21" s="439">
        <f t="shared" ref="G21:G22" si="16">F21-E21</f>
        <v>296</v>
      </c>
      <c r="I21" s="443">
        <v>15</v>
      </c>
      <c r="J21" s="444" t="s">
        <v>596</v>
      </c>
      <c r="K21" s="404">
        <v>0.2</v>
      </c>
      <c r="L21" s="403">
        <v>0.2</v>
      </c>
      <c r="M21" s="401"/>
    </row>
    <row r="22" spans="1:13" ht="15">
      <c r="A22" s="281" t="s">
        <v>300</v>
      </c>
      <c r="B22" s="436">
        <v>2</v>
      </c>
      <c r="C22" s="437">
        <f t="shared" si="13"/>
        <v>285.76</v>
      </c>
      <c r="D22" s="437">
        <f t="shared" si="14"/>
        <v>433.76</v>
      </c>
      <c r="E22" s="437">
        <f t="shared" si="15"/>
        <v>1143.04</v>
      </c>
      <c r="F22" s="438">
        <f t="shared" si="15"/>
        <v>1735.04</v>
      </c>
      <c r="G22" s="439">
        <f t="shared" si="16"/>
        <v>592</v>
      </c>
      <c r="I22" s="443">
        <v>16</v>
      </c>
      <c r="J22" s="444" t="s">
        <v>597</v>
      </c>
      <c r="K22" s="404">
        <v>0.49</v>
      </c>
      <c r="L22" s="403">
        <v>0.49</v>
      </c>
      <c r="M22" s="399"/>
    </row>
    <row r="23" spans="1:13" ht="15">
      <c r="A23" s="281" t="s">
        <v>300</v>
      </c>
      <c r="B23" s="436">
        <v>1</v>
      </c>
      <c r="C23" s="437">
        <f t="shared" si="13"/>
        <v>142.88</v>
      </c>
      <c r="D23" s="437">
        <f>B23*$D$4</f>
        <v>216.88</v>
      </c>
      <c r="E23" s="437">
        <f>C23*4</f>
        <v>571.52</v>
      </c>
      <c r="F23" s="438">
        <f>D23*4</f>
        <v>867.52</v>
      </c>
      <c r="G23" s="439">
        <f>F23-E23</f>
        <v>296</v>
      </c>
      <c r="I23" s="443">
        <v>17</v>
      </c>
      <c r="J23" s="444" t="s">
        <v>598</v>
      </c>
      <c r="K23" s="404">
        <v>0.83</v>
      </c>
      <c r="L23" s="403">
        <v>0.83</v>
      </c>
      <c r="M23" s="400"/>
    </row>
    <row r="24" spans="1:13" ht="15.75" thickBot="1">
      <c r="A24" s="281" t="s">
        <v>300</v>
      </c>
      <c r="B24" s="436">
        <v>2</v>
      </c>
      <c r="C24" s="437">
        <f t="shared" si="13"/>
        <v>285.76</v>
      </c>
      <c r="D24" s="437">
        <f t="shared" ref="D24:D25" si="17">B24*$D$4</f>
        <v>433.76</v>
      </c>
      <c r="E24" s="437">
        <f t="shared" ref="E24:F25" si="18">C24*4</f>
        <v>1143.04</v>
      </c>
      <c r="F24" s="438">
        <f t="shared" si="18"/>
        <v>1735.04</v>
      </c>
      <c r="G24" s="439">
        <f t="shared" ref="G24:G25" si="19">F24-E24</f>
        <v>592</v>
      </c>
      <c r="I24" s="445">
        <v>18</v>
      </c>
      <c r="J24" s="446" t="s">
        <v>599</v>
      </c>
      <c r="K24" s="406">
        <v>1.59</v>
      </c>
      <c r="L24" s="403">
        <v>1.59</v>
      </c>
      <c r="M24" s="400"/>
    </row>
    <row r="25" spans="1:13" ht="15.75" thickBot="1">
      <c r="A25" s="281" t="s">
        <v>300</v>
      </c>
      <c r="B25" s="436">
        <v>1</v>
      </c>
      <c r="C25" s="437">
        <f t="shared" si="13"/>
        <v>142.88</v>
      </c>
      <c r="D25" s="437">
        <f t="shared" si="17"/>
        <v>216.88</v>
      </c>
      <c r="E25" s="437">
        <f t="shared" si="18"/>
        <v>571.52</v>
      </c>
      <c r="F25" s="438">
        <f t="shared" si="18"/>
        <v>867.52</v>
      </c>
      <c r="G25" s="439">
        <f t="shared" si="19"/>
        <v>296</v>
      </c>
      <c r="I25" s="447"/>
      <c r="J25" s="448" t="s">
        <v>600</v>
      </c>
      <c r="K25" s="449">
        <f>SUM(K7:K24)+0.01</f>
        <v>28.119999999999997</v>
      </c>
      <c r="L25" s="449">
        <f>SUM(L7:L24)+0.01</f>
        <v>28.119999999999997</v>
      </c>
      <c r="M25" s="399"/>
    </row>
    <row r="26" spans="1:13" ht="15.75" thickBot="1">
      <c r="A26" s="281" t="s">
        <v>300</v>
      </c>
      <c r="B26" s="436">
        <v>1</v>
      </c>
      <c r="C26" s="437">
        <f t="shared" si="13"/>
        <v>142.88</v>
      </c>
      <c r="D26" s="437">
        <f t="shared" ref="D26:D27" si="20">B26*$D$4</f>
        <v>216.88</v>
      </c>
      <c r="E26" s="437">
        <f t="shared" ref="E26:F27" si="21">C26*4</f>
        <v>571.52</v>
      </c>
      <c r="F26" s="438">
        <f t="shared" si="21"/>
        <v>867.52</v>
      </c>
      <c r="G26" s="439">
        <f t="shared" ref="G26:G27" si="22">F26-E26</f>
        <v>296</v>
      </c>
      <c r="I26" s="450"/>
      <c r="J26" s="451" t="s">
        <v>601</v>
      </c>
      <c r="K26" s="452"/>
      <c r="L26" s="452"/>
      <c r="M26" s="399"/>
    </row>
    <row r="27" spans="1:13" ht="15">
      <c r="A27" s="281" t="s">
        <v>300</v>
      </c>
      <c r="B27" s="436">
        <v>1</v>
      </c>
      <c r="C27" s="437">
        <f t="shared" si="13"/>
        <v>142.88</v>
      </c>
      <c r="D27" s="437">
        <f t="shared" si="20"/>
        <v>216.88</v>
      </c>
      <c r="E27" s="437">
        <f t="shared" si="21"/>
        <v>571.52</v>
      </c>
      <c r="F27" s="438">
        <f t="shared" si="21"/>
        <v>867.52</v>
      </c>
      <c r="G27" s="439">
        <f t="shared" si="22"/>
        <v>296</v>
      </c>
      <c r="I27" s="453">
        <v>19</v>
      </c>
      <c r="J27" s="454" t="s">
        <v>602</v>
      </c>
      <c r="K27" s="404">
        <v>15.76</v>
      </c>
      <c r="L27" s="407">
        <v>25.83</v>
      </c>
      <c r="M27" t="s">
        <v>603</v>
      </c>
    </row>
    <row r="28" spans="1:13" ht="15.75" thickBot="1">
      <c r="A28" s="281" t="s">
        <v>300</v>
      </c>
      <c r="B28" s="436">
        <v>1</v>
      </c>
      <c r="C28" s="437">
        <f t="shared" si="13"/>
        <v>142.88</v>
      </c>
      <c r="D28" s="437">
        <f>B28*$D$4</f>
        <v>216.88</v>
      </c>
      <c r="E28" s="437">
        <f t="shared" ref="E28:F31" si="23">C28*4</f>
        <v>571.52</v>
      </c>
      <c r="F28" s="438">
        <f t="shared" si="23"/>
        <v>867.52</v>
      </c>
      <c r="G28" s="439">
        <f>F28-E28</f>
        <v>296</v>
      </c>
      <c r="I28" s="455"/>
      <c r="J28" s="456" t="s">
        <v>604</v>
      </c>
      <c r="K28" s="457">
        <f>SUM(K27:K27)</f>
        <v>15.76</v>
      </c>
      <c r="L28" s="457">
        <f>SUM(L27:L27)</f>
        <v>25.83</v>
      </c>
      <c r="M28" s="399"/>
    </row>
    <row r="29" spans="1:13" ht="15.75" thickBot="1">
      <c r="A29" s="281" t="s">
        <v>300</v>
      </c>
      <c r="B29" s="436">
        <v>1</v>
      </c>
      <c r="C29" s="437">
        <f t="shared" si="13"/>
        <v>142.88</v>
      </c>
      <c r="D29" s="437">
        <f>B29*$D$4</f>
        <v>216.88</v>
      </c>
      <c r="E29" s="437">
        <f t="shared" si="23"/>
        <v>571.52</v>
      </c>
      <c r="F29" s="438">
        <f t="shared" si="23"/>
        <v>867.52</v>
      </c>
      <c r="G29" s="439">
        <f>F29-E29</f>
        <v>296</v>
      </c>
      <c r="I29" s="458"/>
      <c r="J29" s="451" t="s">
        <v>605</v>
      </c>
      <c r="K29" s="459"/>
      <c r="L29" s="460"/>
      <c r="M29" s="399"/>
    </row>
    <row r="30" spans="1:13" ht="15">
      <c r="A30" s="281" t="s">
        <v>300</v>
      </c>
      <c r="B30" s="436">
        <v>1</v>
      </c>
      <c r="C30" s="437">
        <f t="shared" ref="C30:C36" si="24">B30*$C$4</f>
        <v>142.88</v>
      </c>
      <c r="D30" s="437">
        <f>B30*$D$4</f>
        <v>216.88</v>
      </c>
      <c r="E30" s="437">
        <f t="shared" si="23"/>
        <v>571.52</v>
      </c>
      <c r="F30" s="438">
        <f t="shared" si="23"/>
        <v>867.52</v>
      </c>
      <c r="G30" s="439">
        <f>F30-E30</f>
        <v>296</v>
      </c>
      <c r="I30" s="461">
        <v>20</v>
      </c>
      <c r="J30" s="462" t="s">
        <v>620</v>
      </c>
      <c r="K30" s="463">
        <v>62</v>
      </c>
      <c r="L30" s="464">
        <v>101.93</v>
      </c>
      <c r="M30" t="s">
        <v>603</v>
      </c>
    </row>
    <row r="31" spans="1:13" ht="15.75" thickBot="1">
      <c r="A31" s="281" t="s">
        <v>300</v>
      </c>
      <c r="B31" s="436">
        <v>3</v>
      </c>
      <c r="C31" s="437">
        <f t="shared" si="24"/>
        <v>428.64</v>
      </c>
      <c r="D31" s="437">
        <f>B31*$D$4</f>
        <v>650.64</v>
      </c>
      <c r="E31" s="437">
        <f t="shared" si="23"/>
        <v>1714.56</v>
      </c>
      <c r="F31" s="438">
        <f t="shared" si="23"/>
        <v>2602.56</v>
      </c>
      <c r="G31" s="439">
        <f>F31-E31</f>
        <v>888</v>
      </c>
      <c r="I31" s="465">
        <v>21</v>
      </c>
      <c r="J31" s="466" t="s">
        <v>606</v>
      </c>
      <c r="K31" s="467">
        <v>37</v>
      </c>
      <c r="L31" s="464">
        <v>61</v>
      </c>
      <c r="M31" t="s">
        <v>603</v>
      </c>
    </row>
    <row r="32" spans="1:13" ht="15.75" thickBot="1">
      <c r="A32" s="281" t="s">
        <v>300</v>
      </c>
      <c r="B32" s="436">
        <v>1</v>
      </c>
      <c r="C32" s="437">
        <f t="shared" si="24"/>
        <v>142.88</v>
      </c>
      <c r="D32" s="437">
        <f t="shared" ref="D32:D36" si="25">B32*$D$4</f>
        <v>216.88</v>
      </c>
      <c r="E32" s="437">
        <f t="shared" ref="E32:F36" si="26">C32*4</f>
        <v>571.52</v>
      </c>
      <c r="F32" s="438">
        <f t="shared" si="26"/>
        <v>867.52</v>
      </c>
      <c r="G32" s="439">
        <f t="shared" ref="G32:G36" si="27">F32-E32</f>
        <v>296</v>
      </c>
      <c r="I32" s="447"/>
      <c r="J32" s="468" t="s">
        <v>607</v>
      </c>
      <c r="K32" s="449">
        <f>SUM(K30:K31)</f>
        <v>99</v>
      </c>
      <c r="L32" s="449">
        <f>SUM(L30:L31)</f>
        <v>162.93</v>
      </c>
      <c r="M32" s="399"/>
    </row>
    <row r="33" spans="1:13" ht="15.75" thickBot="1">
      <c r="A33" s="281" t="s">
        <v>300</v>
      </c>
      <c r="B33" s="436">
        <v>1</v>
      </c>
      <c r="C33" s="437">
        <f t="shared" si="24"/>
        <v>142.88</v>
      </c>
      <c r="D33" s="437">
        <f t="shared" si="25"/>
        <v>216.88</v>
      </c>
      <c r="E33" s="437">
        <f t="shared" si="26"/>
        <v>571.52</v>
      </c>
      <c r="F33" s="438">
        <f t="shared" si="26"/>
        <v>867.52</v>
      </c>
      <c r="G33" s="439">
        <f t="shared" si="27"/>
        <v>296</v>
      </c>
      <c r="I33" s="469"/>
      <c r="J33" s="470" t="s">
        <v>608</v>
      </c>
      <c r="K33" s="471">
        <f>K25+K28+K32</f>
        <v>142.88</v>
      </c>
      <c r="L33" s="471">
        <f>L25+L28+L32</f>
        <v>216.88</v>
      </c>
      <c r="M33" s="402"/>
    </row>
    <row r="34" spans="1:13">
      <c r="A34" s="281" t="s">
        <v>300</v>
      </c>
      <c r="B34" s="436">
        <v>1</v>
      </c>
      <c r="C34" s="437">
        <f t="shared" si="24"/>
        <v>142.88</v>
      </c>
      <c r="D34" s="437">
        <f t="shared" si="25"/>
        <v>216.88</v>
      </c>
      <c r="E34" s="437">
        <f t="shared" si="26"/>
        <v>571.52</v>
      </c>
      <c r="F34" s="438">
        <f t="shared" si="26"/>
        <v>867.52</v>
      </c>
      <c r="G34" s="439">
        <f t="shared" si="27"/>
        <v>296</v>
      </c>
    </row>
    <row r="35" spans="1:13">
      <c r="A35" s="281" t="s">
        <v>300</v>
      </c>
      <c r="B35" s="436">
        <v>2</v>
      </c>
      <c r="C35" s="437">
        <f t="shared" si="24"/>
        <v>285.76</v>
      </c>
      <c r="D35" s="437">
        <f t="shared" si="25"/>
        <v>433.76</v>
      </c>
      <c r="E35" s="437">
        <f t="shared" si="26"/>
        <v>1143.04</v>
      </c>
      <c r="F35" s="438">
        <f t="shared" si="26"/>
        <v>1735.04</v>
      </c>
      <c r="G35" s="439">
        <f t="shared" si="27"/>
        <v>592</v>
      </c>
    </row>
    <row r="36" spans="1:13">
      <c r="A36" s="281" t="s">
        <v>300</v>
      </c>
      <c r="B36" s="436">
        <v>1</v>
      </c>
      <c r="C36" s="437">
        <f t="shared" si="24"/>
        <v>142.88</v>
      </c>
      <c r="D36" s="437">
        <f t="shared" si="25"/>
        <v>216.88</v>
      </c>
      <c r="E36" s="437">
        <f t="shared" si="26"/>
        <v>571.52</v>
      </c>
      <c r="F36" s="438">
        <f t="shared" si="26"/>
        <v>867.52</v>
      </c>
      <c r="G36" s="439">
        <f t="shared" si="27"/>
        <v>296</v>
      </c>
    </row>
    <row r="37" spans="1:13">
      <c r="A37" s="281" t="s">
        <v>300</v>
      </c>
      <c r="B37" s="436">
        <v>2</v>
      </c>
      <c r="C37" s="437">
        <f t="shared" ref="C37" si="28">B37*$C$4</f>
        <v>285.76</v>
      </c>
      <c r="D37" s="437">
        <f>B37*$D$4</f>
        <v>433.76</v>
      </c>
      <c r="E37" s="437">
        <f>C37*4</f>
        <v>1143.04</v>
      </c>
      <c r="F37" s="438">
        <f>D37*4</f>
        <v>1735.04</v>
      </c>
      <c r="G37" s="439">
        <f>F37-E37</f>
        <v>592</v>
      </c>
    </row>
    <row r="38" spans="1:13">
      <c r="A38" s="281" t="s">
        <v>301</v>
      </c>
      <c r="B38" s="436">
        <v>1</v>
      </c>
      <c r="C38" s="437">
        <f t="shared" ref="C38:C52" si="29">B38*$C$4</f>
        <v>142.88</v>
      </c>
      <c r="D38" s="437">
        <f>B38*$D$4</f>
        <v>216.88</v>
      </c>
      <c r="E38" s="437">
        <f>C38*4</f>
        <v>571.52</v>
      </c>
      <c r="F38" s="438">
        <f>D38*4</f>
        <v>867.52</v>
      </c>
      <c r="G38" s="439">
        <f>F38-E38</f>
        <v>296</v>
      </c>
    </row>
    <row r="39" spans="1:13">
      <c r="A39" s="281" t="s">
        <v>301</v>
      </c>
      <c r="B39" s="436">
        <v>1</v>
      </c>
      <c r="C39" s="437">
        <f t="shared" si="29"/>
        <v>142.88</v>
      </c>
      <c r="D39" s="437">
        <f t="shared" ref="D39:D40" si="30">B39*$D$4</f>
        <v>216.88</v>
      </c>
      <c r="E39" s="437">
        <f t="shared" ref="E39:F40" si="31">C39*4</f>
        <v>571.52</v>
      </c>
      <c r="F39" s="438">
        <f t="shared" si="31"/>
        <v>867.52</v>
      </c>
      <c r="G39" s="439">
        <f t="shared" ref="G39:G40" si="32">F39-E39</f>
        <v>296</v>
      </c>
    </row>
    <row r="40" spans="1:13">
      <c r="A40" s="281" t="s">
        <v>301</v>
      </c>
      <c r="B40" s="436">
        <v>1</v>
      </c>
      <c r="C40" s="437">
        <f t="shared" si="29"/>
        <v>142.88</v>
      </c>
      <c r="D40" s="437">
        <f t="shared" si="30"/>
        <v>216.88</v>
      </c>
      <c r="E40" s="437">
        <f t="shared" si="31"/>
        <v>571.52</v>
      </c>
      <c r="F40" s="438">
        <f t="shared" si="31"/>
        <v>867.52</v>
      </c>
      <c r="G40" s="439">
        <f t="shared" si="32"/>
        <v>296</v>
      </c>
    </row>
    <row r="41" spans="1:13">
      <c r="A41" s="281" t="s">
        <v>301</v>
      </c>
      <c r="B41" s="436">
        <v>1</v>
      </c>
      <c r="C41" s="437">
        <f t="shared" si="29"/>
        <v>142.88</v>
      </c>
      <c r="D41" s="437">
        <f>B41*$D$4</f>
        <v>216.88</v>
      </c>
      <c r="E41" s="437">
        <f t="shared" ref="E41:F45" si="33">C41*4</f>
        <v>571.52</v>
      </c>
      <c r="F41" s="438">
        <f t="shared" si="33"/>
        <v>867.52</v>
      </c>
      <c r="G41" s="439">
        <f>F41-E41</f>
        <v>296</v>
      </c>
    </row>
    <row r="42" spans="1:13">
      <c r="A42" s="281" t="s">
        <v>301</v>
      </c>
      <c r="B42" s="436">
        <v>1</v>
      </c>
      <c r="C42" s="437">
        <f t="shared" si="29"/>
        <v>142.88</v>
      </c>
      <c r="D42" s="437">
        <f>B42*$D$4</f>
        <v>216.88</v>
      </c>
      <c r="E42" s="437">
        <f t="shared" si="33"/>
        <v>571.52</v>
      </c>
      <c r="F42" s="438">
        <f t="shared" si="33"/>
        <v>867.52</v>
      </c>
      <c r="G42" s="439">
        <f>F42-E42</f>
        <v>296</v>
      </c>
    </row>
    <row r="43" spans="1:13">
      <c r="A43" s="281" t="s">
        <v>301</v>
      </c>
      <c r="B43" s="436">
        <v>1</v>
      </c>
      <c r="C43" s="437">
        <f t="shared" si="29"/>
        <v>142.88</v>
      </c>
      <c r="D43" s="437">
        <f>B43*$D$4</f>
        <v>216.88</v>
      </c>
      <c r="E43" s="437">
        <f t="shared" si="33"/>
        <v>571.52</v>
      </c>
      <c r="F43" s="438">
        <f t="shared" si="33"/>
        <v>867.52</v>
      </c>
      <c r="G43" s="439">
        <f>F43-E43</f>
        <v>296</v>
      </c>
    </row>
    <row r="44" spans="1:13">
      <c r="A44" s="281" t="s">
        <v>301</v>
      </c>
      <c r="B44" s="436">
        <v>1</v>
      </c>
      <c r="C44" s="437">
        <f t="shared" si="29"/>
        <v>142.88</v>
      </c>
      <c r="D44" s="437">
        <f>B44*$D$4</f>
        <v>216.88</v>
      </c>
      <c r="E44" s="437">
        <f t="shared" si="33"/>
        <v>571.52</v>
      </c>
      <c r="F44" s="438">
        <f t="shared" si="33"/>
        <v>867.52</v>
      </c>
      <c r="G44" s="439">
        <f>F44-E44</f>
        <v>296</v>
      </c>
    </row>
    <row r="45" spans="1:13">
      <c r="A45" s="281" t="s">
        <v>301</v>
      </c>
      <c r="B45" s="436">
        <v>1</v>
      </c>
      <c r="C45" s="437">
        <f t="shared" si="29"/>
        <v>142.88</v>
      </c>
      <c r="D45" s="437">
        <f>B45*$D$4</f>
        <v>216.88</v>
      </c>
      <c r="E45" s="437">
        <f t="shared" si="33"/>
        <v>571.52</v>
      </c>
      <c r="F45" s="438">
        <f t="shared" si="33"/>
        <v>867.52</v>
      </c>
      <c r="G45" s="439">
        <f>F45-E45</f>
        <v>296</v>
      </c>
    </row>
    <row r="46" spans="1:13">
      <c r="A46" s="281" t="s">
        <v>301</v>
      </c>
      <c r="B46" s="436">
        <v>1</v>
      </c>
      <c r="C46" s="437">
        <f t="shared" si="29"/>
        <v>142.88</v>
      </c>
      <c r="D46" s="437">
        <f t="shared" ref="D46:D47" si="34">B46*$D$4</f>
        <v>216.88</v>
      </c>
      <c r="E46" s="437">
        <f t="shared" ref="E46:F47" si="35">C46*4</f>
        <v>571.52</v>
      </c>
      <c r="F46" s="438">
        <f t="shared" si="35"/>
        <v>867.52</v>
      </c>
      <c r="G46" s="439">
        <f t="shared" ref="G46:G47" si="36">F46-E46</f>
        <v>296</v>
      </c>
    </row>
    <row r="47" spans="1:13">
      <c r="A47" s="281" t="s">
        <v>301</v>
      </c>
      <c r="B47" s="436">
        <v>1</v>
      </c>
      <c r="C47" s="437">
        <f t="shared" si="29"/>
        <v>142.88</v>
      </c>
      <c r="D47" s="437">
        <f t="shared" si="34"/>
        <v>216.88</v>
      </c>
      <c r="E47" s="437">
        <f t="shared" si="35"/>
        <v>571.52</v>
      </c>
      <c r="F47" s="438">
        <f t="shared" si="35"/>
        <v>867.52</v>
      </c>
      <c r="G47" s="439">
        <f t="shared" si="36"/>
        <v>296</v>
      </c>
    </row>
    <row r="48" spans="1:13">
      <c r="A48" s="281" t="s">
        <v>301</v>
      </c>
      <c r="B48" s="436">
        <v>2</v>
      </c>
      <c r="C48" s="437">
        <f t="shared" si="29"/>
        <v>285.76</v>
      </c>
      <c r="D48" s="437">
        <f>B48*$D$4</f>
        <v>433.76</v>
      </c>
      <c r="E48" s="437">
        <f>C48*4</f>
        <v>1143.04</v>
      </c>
      <c r="F48" s="438">
        <f>D48*4</f>
        <v>1735.04</v>
      </c>
      <c r="G48" s="439">
        <f>F48-E48</f>
        <v>592</v>
      </c>
    </row>
    <row r="49" spans="1:7">
      <c r="A49" s="281" t="s">
        <v>301</v>
      </c>
      <c r="B49" s="436">
        <v>1</v>
      </c>
      <c r="C49" s="437">
        <f t="shared" si="29"/>
        <v>142.88</v>
      </c>
      <c r="D49" s="437">
        <f>B49*$D$4</f>
        <v>216.88</v>
      </c>
      <c r="E49" s="437">
        <f>C49*4</f>
        <v>571.52</v>
      </c>
      <c r="F49" s="438">
        <f>D49*4</f>
        <v>867.52</v>
      </c>
      <c r="G49" s="439">
        <f>F49-E49</f>
        <v>296</v>
      </c>
    </row>
    <row r="50" spans="1:7">
      <c r="A50" s="281" t="s">
        <v>301</v>
      </c>
      <c r="B50" s="436">
        <v>1</v>
      </c>
      <c r="C50" s="437">
        <f t="shared" si="29"/>
        <v>142.88</v>
      </c>
      <c r="D50" s="437">
        <f t="shared" ref="D50:D51" si="37">B50*$D$4</f>
        <v>216.88</v>
      </c>
      <c r="E50" s="437">
        <f t="shared" ref="E50:F51" si="38">C50*4</f>
        <v>571.52</v>
      </c>
      <c r="F50" s="438">
        <f t="shared" si="38"/>
        <v>867.52</v>
      </c>
      <c r="G50" s="439">
        <f t="shared" ref="G50:G51" si="39">F50-E50</f>
        <v>296</v>
      </c>
    </row>
    <row r="51" spans="1:7">
      <c r="A51" s="281" t="s">
        <v>301</v>
      </c>
      <c r="B51" s="436">
        <v>1</v>
      </c>
      <c r="C51" s="437">
        <f t="shared" si="29"/>
        <v>142.88</v>
      </c>
      <c r="D51" s="437">
        <f t="shared" si="37"/>
        <v>216.88</v>
      </c>
      <c r="E51" s="437">
        <f t="shared" si="38"/>
        <v>571.52</v>
      </c>
      <c r="F51" s="438">
        <f t="shared" si="38"/>
        <v>867.52</v>
      </c>
      <c r="G51" s="439">
        <f t="shared" si="39"/>
        <v>296</v>
      </c>
    </row>
    <row r="52" spans="1:7">
      <c r="A52" s="281" t="s">
        <v>301</v>
      </c>
      <c r="B52" s="436">
        <v>1</v>
      </c>
      <c r="C52" s="437">
        <f t="shared" si="29"/>
        <v>142.88</v>
      </c>
      <c r="D52" s="437">
        <f>B52*$D$4</f>
        <v>216.88</v>
      </c>
      <c r="E52" s="437">
        <f>C52*4</f>
        <v>571.52</v>
      </c>
      <c r="F52" s="438">
        <f>D52*4</f>
        <v>867.52</v>
      </c>
      <c r="G52" s="439">
        <f>F52-E52</f>
        <v>296</v>
      </c>
    </row>
    <row r="53" spans="1:7">
      <c r="A53" s="281" t="s">
        <v>301</v>
      </c>
      <c r="B53" s="436">
        <v>1</v>
      </c>
      <c r="C53" s="437">
        <f t="shared" ref="C53:C63" si="40">B53*$C$4</f>
        <v>142.88</v>
      </c>
      <c r="D53" s="437">
        <f>B53*$D$4</f>
        <v>216.88</v>
      </c>
      <c r="E53" s="437">
        <f>C53*4</f>
        <v>571.52</v>
      </c>
      <c r="F53" s="438">
        <f>D53*4</f>
        <v>867.52</v>
      </c>
      <c r="G53" s="439">
        <f>F53-E53</f>
        <v>296</v>
      </c>
    </row>
    <row r="54" spans="1:7">
      <c r="A54" s="281" t="s">
        <v>301</v>
      </c>
      <c r="B54" s="436">
        <v>1</v>
      </c>
      <c r="C54" s="437">
        <f t="shared" si="40"/>
        <v>142.88</v>
      </c>
      <c r="D54" s="437">
        <f t="shared" ref="D54:D55" si="41">B54*$D$4</f>
        <v>216.88</v>
      </c>
      <c r="E54" s="437">
        <f t="shared" ref="E54:F55" si="42">C54*4</f>
        <v>571.52</v>
      </c>
      <c r="F54" s="438">
        <f t="shared" si="42"/>
        <v>867.52</v>
      </c>
      <c r="G54" s="439">
        <f t="shared" ref="G54:G55" si="43">F54-E54</f>
        <v>296</v>
      </c>
    </row>
    <row r="55" spans="1:7">
      <c r="A55" s="281" t="s">
        <v>301</v>
      </c>
      <c r="B55" s="436">
        <v>1</v>
      </c>
      <c r="C55" s="437">
        <f t="shared" si="40"/>
        <v>142.88</v>
      </c>
      <c r="D55" s="437">
        <f t="shared" si="41"/>
        <v>216.88</v>
      </c>
      <c r="E55" s="437">
        <f t="shared" si="42"/>
        <v>571.52</v>
      </c>
      <c r="F55" s="438">
        <f t="shared" si="42"/>
        <v>867.52</v>
      </c>
      <c r="G55" s="439">
        <f t="shared" si="43"/>
        <v>296</v>
      </c>
    </row>
    <row r="56" spans="1:7">
      <c r="A56" s="281" t="s">
        <v>301</v>
      </c>
      <c r="B56" s="436">
        <v>1</v>
      </c>
      <c r="C56" s="437">
        <f t="shared" si="40"/>
        <v>142.88</v>
      </c>
      <c r="D56" s="437">
        <f>B56*$D$4</f>
        <v>216.88</v>
      </c>
      <c r="E56" s="437">
        <f t="shared" ref="E56:F63" si="44">C56*4</f>
        <v>571.52</v>
      </c>
      <c r="F56" s="438">
        <f t="shared" si="44"/>
        <v>867.52</v>
      </c>
      <c r="G56" s="439">
        <f t="shared" ref="G56:G63" si="45">F56-E56</f>
        <v>296</v>
      </c>
    </row>
    <row r="57" spans="1:7">
      <c r="A57" s="281" t="s">
        <v>301</v>
      </c>
      <c r="B57" s="436">
        <v>1</v>
      </c>
      <c r="C57" s="437">
        <f t="shared" si="40"/>
        <v>142.88</v>
      </c>
      <c r="D57" s="437">
        <f>B57*$D$4</f>
        <v>216.88</v>
      </c>
      <c r="E57" s="437">
        <f t="shared" si="44"/>
        <v>571.52</v>
      </c>
      <c r="F57" s="438">
        <f t="shared" si="44"/>
        <v>867.52</v>
      </c>
      <c r="G57" s="439">
        <f t="shared" si="45"/>
        <v>296</v>
      </c>
    </row>
    <row r="58" spans="1:7">
      <c r="A58" s="281" t="s">
        <v>301</v>
      </c>
      <c r="B58" s="436">
        <v>1</v>
      </c>
      <c r="C58" s="437">
        <f t="shared" si="40"/>
        <v>142.88</v>
      </c>
      <c r="D58" s="437">
        <f>B58*$D$4</f>
        <v>216.88</v>
      </c>
      <c r="E58" s="437">
        <f t="shared" si="44"/>
        <v>571.52</v>
      </c>
      <c r="F58" s="438">
        <f t="shared" si="44"/>
        <v>867.52</v>
      </c>
      <c r="G58" s="439">
        <f t="shared" si="45"/>
        <v>296</v>
      </c>
    </row>
    <row r="59" spans="1:7">
      <c r="A59" s="281" t="s">
        <v>301</v>
      </c>
      <c r="B59" s="436">
        <v>1</v>
      </c>
      <c r="C59" s="437">
        <f t="shared" si="40"/>
        <v>142.88</v>
      </c>
      <c r="D59" s="437">
        <f t="shared" ref="D59" si="46">B59*$D$4</f>
        <v>216.88</v>
      </c>
      <c r="E59" s="437">
        <f t="shared" si="44"/>
        <v>571.52</v>
      </c>
      <c r="F59" s="438">
        <f t="shared" si="44"/>
        <v>867.52</v>
      </c>
      <c r="G59" s="439">
        <f t="shared" si="45"/>
        <v>296</v>
      </c>
    </row>
    <row r="60" spans="1:7">
      <c r="A60" s="281" t="s">
        <v>301</v>
      </c>
      <c r="B60" s="436">
        <v>1</v>
      </c>
      <c r="C60" s="437">
        <f t="shared" si="40"/>
        <v>142.88</v>
      </c>
      <c r="D60" s="437">
        <f>B60*$D$4</f>
        <v>216.88</v>
      </c>
      <c r="E60" s="437">
        <f t="shared" si="44"/>
        <v>571.52</v>
      </c>
      <c r="F60" s="438">
        <f t="shared" si="44"/>
        <v>867.52</v>
      </c>
      <c r="G60" s="439">
        <f t="shared" si="45"/>
        <v>296</v>
      </c>
    </row>
    <row r="61" spans="1:7">
      <c r="A61" s="281" t="s">
        <v>301</v>
      </c>
      <c r="B61" s="436">
        <v>1</v>
      </c>
      <c r="C61" s="437">
        <f t="shared" si="40"/>
        <v>142.88</v>
      </c>
      <c r="D61" s="437">
        <f>B61*$D$4</f>
        <v>216.88</v>
      </c>
      <c r="E61" s="437">
        <f t="shared" si="44"/>
        <v>571.52</v>
      </c>
      <c r="F61" s="438">
        <f t="shared" si="44"/>
        <v>867.52</v>
      </c>
      <c r="G61" s="439">
        <f t="shared" si="45"/>
        <v>296</v>
      </c>
    </row>
    <row r="62" spans="1:7">
      <c r="A62" s="281" t="s">
        <v>301</v>
      </c>
      <c r="B62" s="436">
        <v>1</v>
      </c>
      <c r="C62" s="437">
        <f t="shared" si="40"/>
        <v>142.88</v>
      </c>
      <c r="D62" s="437">
        <f>B62*$D$4</f>
        <v>216.88</v>
      </c>
      <c r="E62" s="437">
        <f t="shared" si="44"/>
        <v>571.52</v>
      </c>
      <c r="F62" s="438">
        <f t="shared" si="44"/>
        <v>867.52</v>
      </c>
      <c r="G62" s="439">
        <f t="shared" si="45"/>
        <v>296</v>
      </c>
    </row>
    <row r="63" spans="1:7">
      <c r="A63" s="281" t="s">
        <v>301</v>
      </c>
      <c r="B63" s="436">
        <v>2</v>
      </c>
      <c r="C63" s="437">
        <f t="shared" si="40"/>
        <v>285.76</v>
      </c>
      <c r="D63" s="437">
        <f>B63*$D$4</f>
        <v>433.76</v>
      </c>
      <c r="E63" s="437">
        <f t="shared" si="44"/>
        <v>1143.04</v>
      </c>
      <c r="F63" s="438">
        <f t="shared" si="44"/>
        <v>1735.04</v>
      </c>
      <c r="G63" s="439">
        <f t="shared" si="45"/>
        <v>592</v>
      </c>
    </row>
    <row r="64" spans="1:7">
      <c r="A64" s="281" t="s">
        <v>301</v>
      </c>
      <c r="B64" s="436">
        <v>1</v>
      </c>
      <c r="C64" s="437">
        <f t="shared" ref="C64:C68" si="47">B64*$C$4</f>
        <v>142.88</v>
      </c>
      <c r="D64" s="437">
        <f t="shared" ref="D64:D65" si="48">B64*$D$4</f>
        <v>216.88</v>
      </c>
      <c r="E64" s="437">
        <f t="shared" ref="E64:F65" si="49">C64*4</f>
        <v>571.52</v>
      </c>
      <c r="F64" s="438">
        <f t="shared" si="49"/>
        <v>867.52</v>
      </c>
      <c r="G64" s="439">
        <f t="shared" ref="G64:G65" si="50">F64-E64</f>
        <v>296</v>
      </c>
    </row>
    <row r="65" spans="1:7">
      <c r="A65" s="281" t="s">
        <v>301</v>
      </c>
      <c r="B65" s="436">
        <v>2</v>
      </c>
      <c r="C65" s="437">
        <f t="shared" si="47"/>
        <v>285.76</v>
      </c>
      <c r="D65" s="437">
        <f t="shared" si="48"/>
        <v>433.76</v>
      </c>
      <c r="E65" s="437">
        <f t="shared" si="49"/>
        <v>1143.04</v>
      </c>
      <c r="F65" s="438">
        <f t="shared" si="49"/>
        <v>1735.04</v>
      </c>
      <c r="G65" s="439">
        <f t="shared" si="50"/>
        <v>592</v>
      </c>
    </row>
    <row r="66" spans="1:7">
      <c r="A66" s="281" t="s">
        <v>301</v>
      </c>
      <c r="B66" s="436">
        <v>1</v>
      </c>
      <c r="C66" s="437">
        <f t="shared" si="47"/>
        <v>142.88</v>
      </c>
      <c r="D66" s="437">
        <f t="shared" ref="D66:D74" si="51">B66*$D$4</f>
        <v>216.88</v>
      </c>
      <c r="E66" s="437">
        <f t="shared" ref="E66:E74" si="52">C66*4</f>
        <v>571.52</v>
      </c>
      <c r="F66" s="438">
        <f t="shared" ref="F66:F74" si="53">D66*4</f>
        <v>867.52</v>
      </c>
      <c r="G66" s="439">
        <f t="shared" ref="G66:G74" si="54">F66-E66</f>
        <v>296</v>
      </c>
    </row>
    <row r="67" spans="1:7">
      <c r="A67" s="281" t="s">
        <v>301</v>
      </c>
      <c r="B67" s="436">
        <v>1</v>
      </c>
      <c r="C67" s="437">
        <f t="shared" si="47"/>
        <v>142.88</v>
      </c>
      <c r="D67" s="437">
        <f t="shared" si="51"/>
        <v>216.88</v>
      </c>
      <c r="E67" s="437">
        <f t="shared" si="52"/>
        <v>571.52</v>
      </c>
      <c r="F67" s="438">
        <f t="shared" si="53"/>
        <v>867.52</v>
      </c>
      <c r="G67" s="439">
        <f t="shared" si="54"/>
        <v>296</v>
      </c>
    </row>
    <row r="68" spans="1:7">
      <c r="A68" s="281" t="s">
        <v>302</v>
      </c>
      <c r="B68" s="436">
        <v>2</v>
      </c>
      <c r="C68" s="437">
        <f t="shared" si="47"/>
        <v>285.76</v>
      </c>
      <c r="D68" s="437">
        <f t="shared" si="51"/>
        <v>433.76</v>
      </c>
      <c r="E68" s="437">
        <f t="shared" si="52"/>
        <v>1143.04</v>
      </c>
      <c r="F68" s="438">
        <f t="shared" si="53"/>
        <v>1735.04</v>
      </c>
      <c r="G68" s="439">
        <f t="shared" si="54"/>
        <v>592</v>
      </c>
    </row>
    <row r="69" spans="1:7">
      <c r="A69" s="281" t="s">
        <v>302</v>
      </c>
      <c r="B69" s="436">
        <v>1</v>
      </c>
      <c r="C69" s="437">
        <f t="shared" ref="C69" si="55">B69*$C$4</f>
        <v>142.88</v>
      </c>
      <c r="D69" s="437">
        <f t="shared" si="51"/>
        <v>216.88</v>
      </c>
      <c r="E69" s="437">
        <f t="shared" si="52"/>
        <v>571.52</v>
      </c>
      <c r="F69" s="438">
        <f t="shared" si="53"/>
        <v>867.52</v>
      </c>
      <c r="G69" s="439">
        <f t="shared" si="54"/>
        <v>296</v>
      </c>
    </row>
    <row r="70" spans="1:7">
      <c r="A70" s="281" t="s">
        <v>302</v>
      </c>
      <c r="B70" s="436">
        <v>1</v>
      </c>
      <c r="C70" s="437">
        <f t="shared" ref="C70" si="56">B70*$C$4</f>
        <v>142.88</v>
      </c>
      <c r="D70" s="437">
        <f t="shared" si="51"/>
        <v>216.88</v>
      </c>
      <c r="E70" s="437">
        <f t="shared" si="52"/>
        <v>571.52</v>
      </c>
      <c r="F70" s="438">
        <f t="shared" si="53"/>
        <v>867.52</v>
      </c>
      <c r="G70" s="439">
        <f t="shared" si="54"/>
        <v>296</v>
      </c>
    </row>
    <row r="71" spans="1:7">
      <c r="A71" s="281" t="s">
        <v>302</v>
      </c>
      <c r="B71" s="436">
        <v>1</v>
      </c>
      <c r="C71" s="437">
        <f t="shared" ref="C71" si="57">B71*$C$4</f>
        <v>142.88</v>
      </c>
      <c r="D71" s="437">
        <f t="shared" si="51"/>
        <v>216.88</v>
      </c>
      <c r="E71" s="437">
        <f t="shared" si="52"/>
        <v>571.52</v>
      </c>
      <c r="F71" s="438">
        <f t="shared" si="53"/>
        <v>867.52</v>
      </c>
      <c r="G71" s="439">
        <f t="shared" si="54"/>
        <v>296</v>
      </c>
    </row>
    <row r="72" spans="1:7">
      <c r="A72" s="281" t="s">
        <v>302</v>
      </c>
      <c r="B72" s="436">
        <v>1</v>
      </c>
      <c r="C72" s="437">
        <f t="shared" ref="C72" si="58">B72*$C$4</f>
        <v>142.88</v>
      </c>
      <c r="D72" s="437">
        <f t="shared" si="51"/>
        <v>216.88</v>
      </c>
      <c r="E72" s="437">
        <f t="shared" si="52"/>
        <v>571.52</v>
      </c>
      <c r="F72" s="438">
        <f t="shared" si="53"/>
        <v>867.52</v>
      </c>
      <c r="G72" s="439">
        <f t="shared" si="54"/>
        <v>296</v>
      </c>
    </row>
    <row r="73" spans="1:7">
      <c r="A73" s="281" t="s">
        <v>303</v>
      </c>
      <c r="B73" s="436">
        <v>1</v>
      </c>
      <c r="C73" s="437">
        <f t="shared" ref="C73:C86" si="59">B73*$C$4</f>
        <v>142.88</v>
      </c>
      <c r="D73" s="437">
        <f t="shared" si="51"/>
        <v>216.88</v>
      </c>
      <c r="E73" s="437">
        <f t="shared" si="52"/>
        <v>571.52</v>
      </c>
      <c r="F73" s="438">
        <f t="shared" si="53"/>
        <v>867.52</v>
      </c>
      <c r="G73" s="439">
        <f t="shared" si="54"/>
        <v>296</v>
      </c>
    </row>
    <row r="74" spans="1:7">
      <c r="A74" s="281" t="s">
        <v>303</v>
      </c>
      <c r="B74" s="436">
        <v>1</v>
      </c>
      <c r="C74" s="437">
        <f t="shared" si="59"/>
        <v>142.88</v>
      </c>
      <c r="D74" s="437">
        <f t="shared" si="51"/>
        <v>216.88</v>
      </c>
      <c r="E74" s="437">
        <f t="shared" si="52"/>
        <v>571.52</v>
      </c>
      <c r="F74" s="438">
        <f t="shared" si="53"/>
        <v>867.52</v>
      </c>
      <c r="G74" s="439">
        <f t="shared" si="54"/>
        <v>296</v>
      </c>
    </row>
    <row r="75" spans="1:7">
      <c r="A75" s="281" t="s">
        <v>303</v>
      </c>
      <c r="B75" s="436">
        <v>1</v>
      </c>
      <c r="C75" s="437">
        <f t="shared" si="59"/>
        <v>142.88</v>
      </c>
      <c r="D75" s="437">
        <f t="shared" ref="D75:D76" si="60">B75*$D$4</f>
        <v>216.88</v>
      </c>
      <c r="E75" s="437">
        <f t="shared" ref="E75:F76" si="61">C75*4</f>
        <v>571.52</v>
      </c>
      <c r="F75" s="438">
        <f t="shared" si="61"/>
        <v>867.52</v>
      </c>
      <c r="G75" s="439">
        <f t="shared" ref="G75:G76" si="62">F75-E75</f>
        <v>296</v>
      </c>
    </row>
    <row r="76" spans="1:7">
      <c r="A76" s="281" t="s">
        <v>303</v>
      </c>
      <c r="B76" s="436">
        <v>1</v>
      </c>
      <c r="C76" s="437">
        <f t="shared" si="59"/>
        <v>142.88</v>
      </c>
      <c r="D76" s="437">
        <f t="shared" si="60"/>
        <v>216.88</v>
      </c>
      <c r="E76" s="437">
        <f t="shared" si="61"/>
        <v>571.52</v>
      </c>
      <c r="F76" s="438">
        <f t="shared" si="61"/>
        <v>867.52</v>
      </c>
      <c r="G76" s="439">
        <f t="shared" si="62"/>
        <v>296</v>
      </c>
    </row>
    <row r="77" spans="1:7">
      <c r="A77" s="281" t="s">
        <v>303</v>
      </c>
      <c r="B77" s="436">
        <v>1</v>
      </c>
      <c r="C77" s="437">
        <f t="shared" si="59"/>
        <v>142.88</v>
      </c>
      <c r="D77" s="437">
        <f>B77*$D$4</f>
        <v>216.88</v>
      </c>
      <c r="E77" s="437">
        <f t="shared" ref="E77:F80" si="63">C77*4</f>
        <v>571.52</v>
      </c>
      <c r="F77" s="438">
        <f t="shared" si="63"/>
        <v>867.52</v>
      </c>
      <c r="G77" s="439">
        <f>F77-E77</f>
        <v>296</v>
      </c>
    </row>
    <row r="78" spans="1:7">
      <c r="A78" s="281" t="s">
        <v>303</v>
      </c>
      <c r="B78" s="436">
        <v>1</v>
      </c>
      <c r="C78" s="437">
        <f t="shared" si="59"/>
        <v>142.88</v>
      </c>
      <c r="D78" s="437">
        <f t="shared" ref="D78" si="64">B78*$D$4</f>
        <v>216.88</v>
      </c>
      <c r="E78" s="437">
        <f t="shared" si="63"/>
        <v>571.52</v>
      </c>
      <c r="F78" s="438">
        <f t="shared" si="63"/>
        <v>867.52</v>
      </c>
      <c r="G78" s="439">
        <f>F78-E78</f>
        <v>296</v>
      </c>
    </row>
    <row r="79" spans="1:7">
      <c r="A79" s="281" t="s">
        <v>303</v>
      </c>
      <c r="B79" s="436">
        <v>2</v>
      </c>
      <c r="C79" s="437">
        <f t="shared" si="59"/>
        <v>285.76</v>
      </c>
      <c r="D79" s="437">
        <f>B79*$D$4</f>
        <v>433.76</v>
      </c>
      <c r="E79" s="437">
        <f t="shared" si="63"/>
        <v>1143.04</v>
      </c>
      <c r="F79" s="438">
        <f t="shared" si="63"/>
        <v>1735.04</v>
      </c>
      <c r="G79" s="439">
        <f>F79-E79</f>
        <v>592</v>
      </c>
    </row>
    <row r="80" spans="1:7">
      <c r="A80" s="281" t="s">
        <v>303</v>
      </c>
      <c r="B80" s="436">
        <v>1</v>
      </c>
      <c r="C80" s="437">
        <f t="shared" si="59"/>
        <v>142.88</v>
      </c>
      <c r="D80" s="437">
        <f>B80*$D$4</f>
        <v>216.88</v>
      </c>
      <c r="E80" s="437">
        <f t="shared" si="63"/>
        <v>571.52</v>
      </c>
      <c r="F80" s="438">
        <f t="shared" si="63"/>
        <v>867.52</v>
      </c>
      <c r="G80" s="439">
        <f>F80-E80</f>
        <v>296</v>
      </c>
    </row>
    <row r="81" spans="1:7">
      <c r="A81" s="281" t="s">
        <v>303</v>
      </c>
      <c r="B81" s="436">
        <v>1</v>
      </c>
      <c r="C81" s="437">
        <f t="shared" si="59"/>
        <v>142.88</v>
      </c>
      <c r="D81" s="437">
        <f t="shared" ref="D81:D82" si="65">B81*$D$4</f>
        <v>216.88</v>
      </c>
      <c r="E81" s="437">
        <f t="shared" ref="E81:F82" si="66">C81*4</f>
        <v>571.52</v>
      </c>
      <c r="F81" s="438">
        <f t="shared" si="66"/>
        <v>867.52</v>
      </c>
      <c r="G81" s="439">
        <f t="shared" ref="G81:G82" si="67">F81-E81</f>
        <v>296</v>
      </c>
    </row>
    <row r="82" spans="1:7">
      <c r="A82" s="281" t="s">
        <v>303</v>
      </c>
      <c r="B82" s="436">
        <v>2</v>
      </c>
      <c r="C82" s="437">
        <f t="shared" si="59"/>
        <v>285.76</v>
      </c>
      <c r="D82" s="437">
        <f t="shared" si="65"/>
        <v>433.76</v>
      </c>
      <c r="E82" s="437">
        <f t="shared" si="66"/>
        <v>1143.04</v>
      </c>
      <c r="F82" s="438">
        <f t="shared" si="66"/>
        <v>1735.04</v>
      </c>
      <c r="G82" s="439">
        <f t="shared" si="67"/>
        <v>592</v>
      </c>
    </row>
    <row r="83" spans="1:7">
      <c r="A83" s="281" t="s">
        <v>303</v>
      </c>
      <c r="B83" s="436">
        <v>1</v>
      </c>
      <c r="C83" s="437">
        <f t="shared" si="59"/>
        <v>142.88</v>
      </c>
      <c r="D83" s="437">
        <f t="shared" ref="D83:D88" si="68">B83*$D$4</f>
        <v>216.88</v>
      </c>
      <c r="E83" s="437">
        <f t="shared" ref="E83:F88" si="69">C83*4</f>
        <v>571.52</v>
      </c>
      <c r="F83" s="438">
        <f t="shared" si="69"/>
        <v>867.52</v>
      </c>
      <c r="G83" s="439">
        <f t="shared" ref="G83:G88" si="70">F83-E83</f>
        <v>296</v>
      </c>
    </row>
    <row r="84" spans="1:7">
      <c r="A84" s="281" t="s">
        <v>303</v>
      </c>
      <c r="B84" s="436">
        <v>1</v>
      </c>
      <c r="C84" s="437">
        <f t="shared" si="59"/>
        <v>142.88</v>
      </c>
      <c r="D84" s="437">
        <f t="shared" si="68"/>
        <v>216.88</v>
      </c>
      <c r="E84" s="437">
        <f t="shared" si="69"/>
        <v>571.52</v>
      </c>
      <c r="F84" s="438">
        <f t="shared" si="69"/>
        <v>867.52</v>
      </c>
      <c r="G84" s="439">
        <f t="shared" si="70"/>
        <v>296</v>
      </c>
    </row>
    <row r="85" spans="1:7">
      <c r="A85" s="281" t="s">
        <v>303</v>
      </c>
      <c r="B85" s="436">
        <v>1</v>
      </c>
      <c r="C85" s="437">
        <f t="shared" si="59"/>
        <v>142.88</v>
      </c>
      <c r="D85" s="437">
        <f t="shared" si="68"/>
        <v>216.88</v>
      </c>
      <c r="E85" s="437">
        <f t="shared" si="69"/>
        <v>571.52</v>
      </c>
      <c r="F85" s="438">
        <f t="shared" si="69"/>
        <v>867.52</v>
      </c>
      <c r="G85" s="439">
        <f t="shared" si="70"/>
        <v>296</v>
      </c>
    </row>
    <row r="86" spans="1:7">
      <c r="A86" s="281" t="s">
        <v>303</v>
      </c>
      <c r="B86" s="436">
        <v>1</v>
      </c>
      <c r="C86" s="437">
        <f t="shared" si="59"/>
        <v>142.88</v>
      </c>
      <c r="D86" s="437">
        <f t="shared" si="68"/>
        <v>216.88</v>
      </c>
      <c r="E86" s="437">
        <f t="shared" si="69"/>
        <v>571.52</v>
      </c>
      <c r="F86" s="438">
        <f t="shared" si="69"/>
        <v>867.52</v>
      </c>
      <c r="G86" s="439">
        <f t="shared" si="70"/>
        <v>296</v>
      </c>
    </row>
    <row r="87" spans="1:7">
      <c r="A87" s="281" t="s">
        <v>303</v>
      </c>
      <c r="B87" s="436">
        <v>1</v>
      </c>
      <c r="C87" s="437">
        <f t="shared" ref="C87:C100" si="71">B87*$C$4</f>
        <v>142.88</v>
      </c>
      <c r="D87" s="437">
        <f t="shared" si="68"/>
        <v>216.88</v>
      </c>
      <c r="E87" s="437">
        <f t="shared" si="69"/>
        <v>571.52</v>
      </c>
      <c r="F87" s="438">
        <f t="shared" si="69"/>
        <v>867.52</v>
      </c>
      <c r="G87" s="439">
        <f t="shared" si="70"/>
        <v>296</v>
      </c>
    </row>
    <row r="88" spans="1:7">
      <c r="A88" s="281" t="s">
        <v>303</v>
      </c>
      <c r="B88" s="436">
        <v>1</v>
      </c>
      <c r="C88" s="437">
        <f t="shared" si="71"/>
        <v>142.88</v>
      </c>
      <c r="D88" s="437">
        <f t="shared" si="68"/>
        <v>216.88</v>
      </c>
      <c r="E88" s="437">
        <f t="shared" si="69"/>
        <v>571.52</v>
      </c>
      <c r="F88" s="438">
        <f t="shared" si="69"/>
        <v>867.52</v>
      </c>
      <c r="G88" s="439">
        <f t="shared" si="70"/>
        <v>296</v>
      </c>
    </row>
    <row r="89" spans="1:7">
      <c r="A89" s="281" t="s">
        <v>303</v>
      </c>
      <c r="B89" s="436">
        <v>1</v>
      </c>
      <c r="C89" s="437">
        <f t="shared" si="71"/>
        <v>142.88</v>
      </c>
      <c r="D89" s="437">
        <f t="shared" ref="D89:D90" si="72">B89*$D$4</f>
        <v>216.88</v>
      </c>
      <c r="E89" s="437">
        <f t="shared" ref="E89:F90" si="73">C89*4</f>
        <v>571.52</v>
      </c>
      <c r="F89" s="438">
        <f t="shared" si="73"/>
        <v>867.52</v>
      </c>
      <c r="G89" s="439">
        <f t="shared" ref="G89:G90" si="74">F89-E89</f>
        <v>296</v>
      </c>
    </row>
    <row r="90" spans="1:7">
      <c r="A90" s="281" t="s">
        <v>303</v>
      </c>
      <c r="B90" s="436">
        <v>1</v>
      </c>
      <c r="C90" s="437">
        <f t="shared" si="71"/>
        <v>142.88</v>
      </c>
      <c r="D90" s="437">
        <f t="shared" si="72"/>
        <v>216.88</v>
      </c>
      <c r="E90" s="437">
        <f t="shared" si="73"/>
        <v>571.52</v>
      </c>
      <c r="F90" s="438">
        <f t="shared" si="73"/>
        <v>867.52</v>
      </c>
      <c r="G90" s="439">
        <f t="shared" si="74"/>
        <v>296</v>
      </c>
    </row>
    <row r="91" spans="1:7">
      <c r="A91" s="281" t="s">
        <v>303</v>
      </c>
      <c r="B91" s="436">
        <v>1</v>
      </c>
      <c r="C91" s="437">
        <f t="shared" si="71"/>
        <v>142.88</v>
      </c>
      <c r="D91" s="437">
        <f t="shared" ref="D91:D92" si="75">B91*$D$4</f>
        <v>216.88</v>
      </c>
      <c r="E91" s="437">
        <f t="shared" ref="E91:F92" si="76">C91*4</f>
        <v>571.52</v>
      </c>
      <c r="F91" s="438">
        <f t="shared" si="76"/>
        <v>867.52</v>
      </c>
      <c r="G91" s="439">
        <f t="shared" ref="G91:G92" si="77">F91-E91</f>
        <v>296</v>
      </c>
    </row>
    <row r="92" spans="1:7">
      <c r="A92" s="281" t="s">
        <v>303</v>
      </c>
      <c r="B92" s="436">
        <v>1</v>
      </c>
      <c r="C92" s="437">
        <f t="shared" si="71"/>
        <v>142.88</v>
      </c>
      <c r="D92" s="437">
        <f t="shared" si="75"/>
        <v>216.88</v>
      </c>
      <c r="E92" s="437">
        <f t="shared" si="76"/>
        <v>571.52</v>
      </c>
      <c r="F92" s="438">
        <f t="shared" si="76"/>
        <v>867.52</v>
      </c>
      <c r="G92" s="439">
        <f t="shared" si="77"/>
        <v>296</v>
      </c>
    </row>
    <row r="93" spans="1:7">
      <c r="A93" s="281" t="s">
        <v>303</v>
      </c>
      <c r="B93" s="436">
        <v>1</v>
      </c>
      <c r="C93" s="437">
        <f t="shared" si="71"/>
        <v>142.88</v>
      </c>
      <c r="D93" s="437">
        <f t="shared" ref="D93:D105" si="78">B93*$D$4</f>
        <v>216.88</v>
      </c>
      <c r="E93" s="437">
        <f t="shared" ref="E93:E105" si="79">C93*4</f>
        <v>571.52</v>
      </c>
      <c r="F93" s="438">
        <f t="shared" ref="F93:F105" si="80">D93*4</f>
        <v>867.52</v>
      </c>
      <c r="G93" s="439">
        <f t="shared" ref="G93:G105" si="81">F93-E93</f>
        <v>296</v>
      </c>
    </row>
    <row r="94" spans="1:7">
      <c r="A94" s="281" t="s">
        <v>303</v>
      </c>
      <c r="B94" s="436">
        <v>1</v>
      </c>
      <c r="C94" s="437">
        <f t="shared" si="71"/>
        <v>142.88</v>
      </c>
      <c r="D94" s="437">
        <f t="shared" si="78"/>
        <v>216.88</v>
      </c>
      <c r="E94" s="437">
        <f t="shared" si="79"/>
        <v>571.52</v>
      </c>
      <c r="F94" s="438">
        <f t="shared" si="80"/>
        <v>867.52</v>
      </c>
      <c r="G94" s="439">
        <f t="shared" si="81"/>
        <v>296</v>
      </c>
    </row>
    <row r="95" spans="1:7">
      <c r="A95" s="281" t="s">
        <v>303</v>
      </c>
      <c r="B95" s="436">
        <v>2</v>
      </c>
      <c r="C95" s="437">
        <f t="shared" si="71"/>
        <v>285.76</v>
      </c>
      <c r="D95" s="437">
        <f t="shared" si="78"/>
        <v>433.76</v>
      </c>
      <c r="E95" s="437">
        <f t="shared" si="79"/>
        <v>1143.04</v>
      </c>
      <c r="F95" s="438">
        <f t="shared" si="80"/>
        <v>1735.04</v>
      </c>
      <c r="G95" s="439">
        <f t="shared" si="81"/>
        <v>592</v>
      </c>
    </row>
    <row r="96" spans="1:7">
      <c r="A96" s="281" t="s">
        <v>303</v>
      </c>
      <c r="B96" s="436">
        <v>1</v>
      </c>
      <c r="C96" s="437">
        <f t="shared" si="71"/>
        <v>142.88</v>
      </c>
      <c r="D96" s="437">
        <f t="shared" si="78"/>
        <v>216.88</v>
      </c>
      <c r="E96" s="437">
        <f t="shared" si="79"/>
        <v>571.52</v>
      </c>
      <c r="F96" s="438">
        <f t="shared" si="80"/>
        <v>867.52</v>
      </c>
      <c r="G96" s="439">
        <f t="shared" si="81"/>
        <v>296</v>
      </c>
    </row>
    <row r="97" spans="1:7">
      <c r="A97" s="281" t="s">
        <v>303</v>
      </c>
      <c r="B97" s="436">
        <v>1</v>
      </c>
      <c r="C97" s="437">
        <f>B97*$C$4</f>
        <v>142.88</v>
      </c>
      <c r="D97" s="437">
        <f t="shared" si="78"/>
        <v>216.88</v>
      </c>
      <c r="E97" s="437">
        <f t="shared" si="79"/>
        <v>571.52</v>
      </c>
      <c r="F97" s="438">
        <f t="shared" si="80"/>
        <v>867.52</v>
      </c>
      <c r="G97" s="439">
        <f t="shared" si="81"/>
        <v>296</v>
      </c>
    </row>
    <row r="98" spans="1:7">
      <c r="A98" s="281" t="s">
        <v>303</v>
      </c>
      <c r="B98" s="436">
        <v>1</v>
      </c>
      <c r="C98" s="437">
        <f t="shared" si="71"/>
        <v>142.88</v>
      </c>
      <c r="D98" s="437">
        <f t="shared" si="78"/>
        <v>216.88</v>
      </c>
      <c r="E98" s="437">
        <f t="shared" si="79"/>
        <v>571.52</v>
      </c>
      <c r="F98" s="438">
        <f t="shared" si="80"/>
        <v>867.52</v>
      </c>
      <c r="G98" s="439">
        <f t="shared" si="81"/>
        <v>296</v>
      </c>
    </row>
    <row r="99" spans="1:7">
      <c r="A99" s="281" t="s">
        <v>303</v>
      </c>
      <c r="B99" s="436">
        <v>1</v>
      </c>
      <c r="C99" s="437">
        <f t="shared" si="71"/>
        <v>142.88</v>
      </c>
      <c r="D99" s="437">
        <f t="shared" si="78"/>
        <v>216.88</v>
      </c>
      <c r="E99" s="437">
        <f t="shared" si="79"/>
        <v>571.52</v>
      </c>
      <c r="F99" s="438">
        <f t="shared" si="80"/>
        <v>867.52</v>
      </c>
      <c r="G99" s="439">
        <f t="shared" si="81"/>
        <v>296</v>
      </c>
    </row>
    <row r="100" spans="1:7">
      <c r="A100" s="281" t="s">
        <v>303</v>
      </c>
      <c r="B100" s="436">
        <v>1</v>
      </c>
      <c r="C100" s="437">
        <f t="shared" si="71"/>
        <v>142.88</v>
      </c>
      <c r="D100" s="437">
        <f t="shared" si="78"/>
        <v>216.88</v>
      </c>
      <c r="E100" s="437">
        <f t="shared" si="79"/>
        <v>571.52</v>
      </c>
      <c r="F100" s="438">
        <f t="shared" si="80"/>
        <v>867.52</v>
      </c>
      <c r="G100" s="439">
        <f t="shared" si="81"/>
        <v>296</v>
      </c>
    </row>
    <row r="101" spans="1:7">
      <c r="A101" s="281" t="s">
        <v>303</v>
      </c>
      <c r="B101" s="436">
        <v>1</v>
      </c>
      <c r="C101" s="437">
        <f t="shared" ref="C101:C109" si="82">B101*$C$4</f>
        <v>142.88</v>
      </c>
      <c r="D101" s="437">
        <f t="shared" si="78"/>
        <v>216.88</v>
      </c>
      <c r="E101" s="437">
        <f t="shared" si="79"/>
        <v>571.52</v>
      </c>
      <c r="F101" s="438">
        <f t="shared" si="80"/>
        <v>867.52</v>
      </c>
      <c r="G101" s="439">
        <f t="shared" si="81"/>
        <v>296</v>
      </c>
    </row>
    <row r="102" spans="1:7">
      <c r="A102" s="281" t="s">
        <v>303</v>
      </c>
      <c r="B102" s="436">
        <v>1</v>
      </c>
      <c r="C102" s="437">
        <f t="shared" si="82"/>
        <v>142.88</v>
      </c>
      <c r="D102" s="437">
        <f t="shared" si="78"/>
        <v>216.88</v>
      </c>
      <c r="E102" s="437">
        <f t="shared" si="79"/>
        <v>571.52</v>
      </c>
      <c r="F102" s="438">
        <f t="shared" si="80"/>
        <v>867.52</v>
      </c>
      <c r="G102" s="439">
        <f t="shared" si="81"/>
        <v>296</v>
      </c>
    </row>
    <row r="103" spans="1:7">
      <c r="A103" s="281" t="s">
        <v>303</v>
      </c>
      <c r="B103" s="436">
        <v>1</v>
      </c>
      <c r="C103" s="437">
        <f t="shared" si="82"/>
        <v>142.88</v>
      </c>
      <c r="D103" s="437">
        <f t="shared" si="78"/>
        <v>216.88</v>
      </c>
      <c r="E103" s="437">
        <f t="shared" si="79"/>
        <v>571.52</v>
      </c>
      <c r="F103" s="438">
        <f t="shared" si="80"/>
        <v>867.52</v>
      </c>
      <c r="G103" s="439">
        <f t="shared" si="81"/>
        <v>296</v>
      </c>
    </row>
    <row r="104" spans="1:7">
      <c r="A104" s="281" t="s">
        <v>304</v>
      </c>
      <c r="B104" s="436">
        <v>1</v>
      </c>
      <c r="C104" s="437">
        <f t="shared" si="82"/>
        <v>142.88</v>
      </c>
      <c r="D104" s="437">
        <f t="shared" si="78"/>
        <v>216.88</v>
      </c>
      <c r="E104" s="437">
        <f t="shared" si="79"/>
        <v>571.52</v>
      </c>
      <c r="F104" s="438">
        <f t="shared" si="80"/>
        <v>867.52</v>
      </c>
      <c r="G104" s="439">
        <f t="shared" si="81"/>
        <v>296</v>
      </c>
    </row>
    <row r="105" spans="1:7">
      <c r="A105" s="281" t="s">
        <v>304</v>
      </c>
      <c r="B105" s="436">
        <v>1</v>
      </c>
      <c r="C105" s="437">
        <f t="shared" si="82"/>
        <v>142.88</v>
      </c>
      <c r="D105" s="437">
        <f t="shared" si="78"/>
        <v>216.88</v>
      </c>
      <c r="E105" s="437">
        <f t="shared" si="79"/>
        <v>571.52</v>
      </c>
      <c r="F105" s="438">
        <f t="shared" si="80"/>
        <v>867.52</v>
      </c>
      <c r="G105" s="439">
        <f t="shared" si="81"/>
        <v>296</v>
      </c>
    </row>
    <row r="106" spans="1:7">
      <c r="A106" s="281" t="s">
        <v>304</v>
      </c>
      <c r="B106" s="436">
        <v>1</v>
      </c>
      <c r="C106" s="437">
        <f t="shared" si="82"/>
        <v>142.88</v>
      </c>
      <c r="D106" s="437">
        <f t="shared" ref="D106:D107" si="83">B106*$D$4</f>
        <v>216.88</v>
      </c>
      <c r="E106" s="437">
        <f t="shared" ref="E106:F107" si="84">C106*4</f>
        <v>571.52</v>
      </c>
      <c r="F106" s="438">
        <f t="shared" si="84"/>
        <v>867.52</v>
      </c>
      <c r="G106" s="439">
        <f t="shared" ref="G106:G107" si="85">F106-E106</f>
        <v>296</v>
      </c>
    </row>
    <row r="107" spans="1:7">
      <c r="A107" s="281" t="s">
        <v>304</v>
      </c>
      <c r="B107" s="436">
        <v>1</v>
      </c>
      <c r="C107" s="437">
        <f t="shared" si="82"/>
        <v>142.88</v>
      </c>
      <c r="D107" s="437">
        <f t="shared" si="83"/>
        <v>216.88</v>
      </c>
      <c r="E107" s="437">
        <f t="shared" si="84"/>
        <v>571.52</v>
      </c>
      <c r="F107" s="438">
        <f t="shared" si="84"/>
        <v>867.52</v>
      </c>
      <c r="G107" s="439">
        <f t="shared" si="85"/>
        <v>296</v>
      </c>
    </row>
    <row r="108" spans="1:7">
      <c r="A108" s="281" t="s">
        <v>304</v>
      </c>
      <c r="B108" s="436">
        <v>1</v>
      </c>
      <c r="C108" s="437">
        <f t="shared" si="82"/>
        <v>142.88</v>
      </c>
      <c r="D108" s="437">
        <f>B108*$D$4</f>
        <v>216.88</v>
      </c>
      <c r="E108" s="437">
        <f t="shared" ref="E108:F110" si="86">C108*4</f>
        <v>571.52</v>
      </c>
      <c r="F108" s="438">
        <f t="shared" si="86"/>
        <v>867.52</v>
      </c>
      <c r="G108" s="439">
        <f>F108-E108</f>
        <v>296</v>
      </c>
    </row>
    <row r="109" spans="1:7">
      <c r="A109" s="281" t="s">
        <v>304</v>
      </c>
      <c r="B109" s="436">
        <v>1</v>
      </c>
      <c r="C109" s="437">
        <f t="shared" si="82"/>
        <v>142.88</v>
      </c>
      <c r="D109" s="437">
        <f>B109*$D$4</f>
        <v>216.88</v>
      </c>
      <c r="E109" s="437">
        <f t="shared" si="86"/>
        <v>571.52</v>
      </c>
      <c r="F109" s="438">
        <f t="shared" si="86"/>
        <v>867.52</v>
      </c>
      <c r="G109" s="439">
        <f>F109-E109</f>
        <v>296</v>
      </c>
    </row>
    <row r="110" spans="1:7">
      <c r="A110" s="281" t="s">
        <v>304</v>
      </c>
      <c r="B110" s="436">
        <v>1</v>
      </c>
      <c r="C110" s="437">
        <f t="shared" ref="C110:C131" si="87">B110*$C$4</f>
        <v>142.88</v>
      </c>
      <c r="D110" s="437">
        <f>B110*$D$4</f>
        <v>216.88</v>
      </c>
      <c r="E110" s="437">
        <f t="shared" si="86"/>
        <v>571.52</v>
      </c>
      <c r="F110" s="438">
        <f t="shared" si="86"/>
        <v>867.52</v>
      </c>
      <c r="G110" s="439">
        <f>F110-E110</f>
        <v>296</v>
      </c>
    </row>
    <row r="111" spans="1:7">
      <c r="A111" s="281" t="s">
        <v>304</v>
      </c>
      <c r="B111" s="436">
        <v>1</v>
      </c>
      <c r="C111" s="437">
        <f t="shared" si="87"/>
        <v>142.88</v>
      </c>
      <c r="D111" s="437">
        <f t="shared" ref="D111:D112" si="88">B111*$D$4</f>
        <v>216.88</v>
      </c>
      <c r="E111" s="437">
        <f t="shared" ref="E111:F112" si="89">C111*4</f>
        <v>571.52</v>
      </c>
      <c r="F111" s="438">
        <f t="shared" si="89"/>
        <v>867.52</v>
      </c>
      <c r="G111" s="439">
        <f t="shared" ref="G111:G112" si="90">F111-E111</f>
        <v>296</v>
      </c>
    </row>
    <row r="112" spans="1:7">
      <c r="A112" s="281" t="s">
        <v>304</v>
      </c>
      <c r="B112" s="436">
        <v>2</v>
      </c>
      <c r="C112" s="437">
        <f t="shared" si="87"/>
        <v>285.76</v>
      </c>
      <c r="D112" s="437">
        <f t="shared" si="88"/>
        <v>433.76</v>
      </c>
      <c r="E112" s="437">
        <f t="shared" si="89"/>
        <v>1143.04</v>
      </c>
      <c r="F112" s="438">
        <f t="shared" si="89"/>
        <v>1735.04</v>
      </c>
      <c r="G112" s="439">
        <f t="shared" si="90"/>
        <v>592</v>
      </c>
    </row>
    <row r="113" spans="1:7">
      <c r="A113" s="281" t="s">
        <v>304</v>
      </c>
      <c r="B113" s="436">
        <v>1</v>
      </c>
      <c r="C113" s="437">
        <f t="shared" si="87"/>
        <v>142.88</v>
      </c>
      <c r="D113" s="437">
        <f t="shared" ref="D113:D122" si="91">B113*$D$4</f>
        <v>216.88</v>
      </c>
      <c r="E113" s="437">
        <f t="shared" ref="E113:E122" si="92">C113*4</f>
        <v>571.52</v>
      </c>
      <c r="F113" s="438">
        <f t="shared" ref="F113:F122" si="93">D113*4</f>
        <v>867.52</v>
      </c>
      <c r="G113" s="439">
        <f t="shared" ref="G113:G122" si="94">F113-E113</f>
        <v>296</v>
      </c>
    </row>
    <row r="114" spans="1:7">
      <c r="A114" s="281" t="s">
        <v>304</v>
      </c>
      <c r="B114" s="436">
        <v>2</v>
      </c>
      <c r="C114" s="437">
        <f t="shared" si="87"/>
        <v>285.76</v>
      </c>
      <c r="D114" s="437">
        <f t="shared" si="91"/>
        <v>433.76</v>
      </c>
      <c r="E114" s="437">
        <f t="shared" si="92"/>
        <v>1143.04</v>
      </c>
      <c r="F114" s="438">
        <f t="shared" si="93"/>
        <v>1735.04</v>
      </c>
      <c r="G114" s="439">
        <f t="shared" si="94"/>
        <v>592</v>
      </c>
    </row>
    <row r="115" spans="1:7">
      <c r="A115" s="281" t="s">
        <v>304</v>
      </c>
      <c r="B115" s="436">
        <v>1</v>
      </c>
      <c r="C115" s="437">
        <f t="shared" si="87"/>
        <v>142.88</v>
      </c>
      <c r="D115" s="437">
        <f t="shared" si="91"/>
        <v>216.88</v>
      </c>
      <c r="E115" s="437">
        <f t="shared" si="92"/>
        <v>571.52</v>
      </c>
      <c r="F115" s="438">
        <f t="shared" si="93"/>
        <v>867.52</v>
      </c>
      <c r="G115" s="439">
        <f t="shared" si="94"/>
        <v>296</v>
      </c>
    </row>
    <row r="116" spans="1:7">
      <c r="A116" s="281" t="s">
        <v>304</v>
      </c>
      <c r="B116" s="436">
        <v>1</v>
      </c>
      <c r="C116" s="437">
        <f t="shared" si="87"/>
        <v>142.88</v>
      </c>
      <c r="D116" s="437">
        <f t="shared" si="91"/>
        <v>216.88</v>
      </c>
      <c r="E116" s="437">
        <f t="shared" si="92"/>
        <v>571.52</v>
      </c>
      <c r="F116" s="438">
        <f t="shared" si="93"/>
        <v>867.52</v>
      </c>
      <c r="G116" s="439">
        <f t="shared" si="94"/>
        <v>296</v>
      </c>
    </row>
    <row r="117" spans="1:7">
      <c r="A117" s="281" t="s">
        <v>304</v>
      </c>
      <c r="B117" s="436">
        <v>1</v>
      </c>
      <c r="C117" s="437">
        <v>142.88</v>
      </c>
      <c r="D117" s="437">
        <f t="shared" si="91"/>
        <v>216.88</v>
      </c>
      <c r="E117" s="437">
        <f t="shared" si="92"/>
        <v>571.52</v>
      </c>
      <c r="F117" s="438">
        <f t="shared" si="93"/>
        <v>867.52</v>
      </c>
      <c r="G117" s="439">
        <f t="shared" si="94"/>
        <v>296</v>
      </c>
    </row>
    <row r="118" spans="1:7">
      <c r="A118" s="281" t="s">
        <v>304</v>
      </c>
      <c r="B118" s="436">
        <v>1</v>
      </c>
      <c r="C118" s="437">
        <f t="shared" si="87"/>
        <v>142.88</v>
      </c>
      <c r="D118" s="437">
        <f t="shared" si="91"/>
        <v>216.88</v>
      </c>
      <c r="E118" s="437">
        <f t="shared" si="92"/>
        <v>571.52</v>
      </c>
      <c r="F118" s="438">
        <f t="shared" si="93"/>
        <v>867.52</v>
      </c>
      <c r="G118" s="439">
        <f t="shared" si="94"/>
        <v>296</v>
      </c>
    </row>
    <row r="119" spans="1:7">
      <c r="A119" s="281" t="s">
        <v>304</v>
      </c>
      <c r="B119" s="436">
        <v>1</v>
      </c>
      <c r="C119" s="437">
        <f t="shared" si="87"/>
        <v>142.88</v>
      </c>
      <c r="D119" s="437">
        <f t="shared" si="91"/>
        <v>216.88</v>
      </c>
      <c r="E119" s="437">
        <f t="shared" si="92"/>
        <v>571.52</v>
      </c>
      <c r="F119" s="438">
        <f t="shared" si="93"/>
        <v>867.52</v>
      </c>
      <c r="G119" s="439">
        <f t="shared" si="94"/>
        <v>296</v>
      </c>
    </row>
    <row r="120" spans="1:7">
      <c r="A120" s="281" t="s">
        <v>304</v>
      </c>
      <c r="B120" s="436">
        <v>1</v>
      </c>
      <c r="C120" s="437">
        <f t="shared" si="87"/>
        <v>142.88</v>
      </c>
      <c r="D120" s="437">
        <f t="shared" si="91"/>
        <v>216.88</v>
      </c>
      <c r="E120" s="437">
        <f t="shared" si="92"/>
        <v>571.52</v>
      </c>
      <c r="F120" s="438">
        <f t="shared" si="93"/>
        <v>867.52</v>
      </c>
      <c r="G120" s="439">
        <f t="shared" si="94"/>
        <v>296</v>
      </c>
    </row>
    <row r="121" spans="1:7">
      <c r="A121" s="281" t="s">
        <v>304</v>
      </c>
      <c r="B121" s="436">
        <v>1</v>
      </c>
      <c r="C121" s="437">
        <f t="shared" si="87"/>
        <v>142.88</v>
      </c>
      <c r="D121" s="437">
        <f t="shared" si="91"/>
        <v>216.88</v>
      </c>
      <c r="E121" s="437">
        <f t="shared" si="92"/>
        <v>571.52</v>
      </c>
      <c r="F121" s="438">
        <f t="shared" si="93"/>
        <v>867.52</v>
      </c>
      <c r="G121" s="439">
        <f t="shared" si="94"/>
        <v>296</v>
      </c>
    </row>
    <row r="122" spans="1:7">
      <c r="A122" s="281" t="s">
        <v>304</v>
      </c>
      <c r="B122" s="436">
        <v>1</v>
      </c>
      <c r="C122" s="437">
        <f t="shared" si="87"/>
        <v>142.88</v>
      </c>
      <c r="D122" s="437">
        <f t="shared" si="91"/>
        <v>216.88</v>
      </c>
      <c r="E122" s="437">
        <f t="shared" si="92"/>
        <v>571.52</v>
      </c>
      <c r="F122" s="438">
        <f t="shared" si="93"/>
        <v>867.52</v>
      </c>
      <c r="G122" s="439">
        <f t="shared" si="94"/>
        <v>296</v>
      </c>
    </row>
    <row r="123" spans="1:7">
      <c r="A123" s="281" t="s">
        <v>304</v>
      </c>
      <c r="B123" s="436">
        <v>2</v>
      </c>
      <c r="C123" s="437">
        <f t="shared" si="87"/>
        <v>285.76</v>
      </c>
      <c r="D123" s="437">
        <f t="shared" ref="D123:D125" si="95">B123*$D$4</f>
        <v>433.76</v>
      </c>
      <c r="E123" s="437">
        <f t="shared" ref="E123:F125" si="96">C123*4</f>
        <v>1143.04</v>
      </c>
      <c r="F123" s="438">
        <f t="shared" si="96"/>
        <v>1735.04</v>
      </c>
      <c r="G123" s="439">
        <f t="shared" ref="G123:G125" si="97">F123-E123</f>
        <v>592</v>
      </c>
    </row>
    <row r="124" spans="1:7">
      <c r="A124" s="281" t="s">
        <v>304</v>
      </c>
      <c r="B124" s="436">
        <v>2</v>
      </c>
      <c r="C124" s="437">
        <f t="shared" si="87"/>
        <v>285.76</v>
      </c>
      <c r="D124" s="437">
        <f t="shared" si="95"/>
        <v>433.76</v>
      </c>
      <c r="E124" s="437">
        <f t="shared" si="96"/>
        <v>1143.04</v>
      </c>
      <c r="F124" s="438">
        <f t="shared" si="96"/>
        <v>1735.04</v>
      </c>
      <c r="G124" s="439">
        <f t="shared" si="97"/>
        <v>592</v>
      </c>
    </row>
    <row r="125" spans="1:7">
      <c r="A125" s="281" t="s">
        <v>304</v>
      </c>
      <c r="B125" s="436">
        <v>1</v>
      </c>
      <c r="C125" s="437">
        <f t="shared" si="87"/>
        <v>142.88</v>
      </c>
      <c r="D125" s="437">
        <f t="shared" si="95"/>
        <v>216.88</v>
      </c>
      <c r="E125" s="437">
        <f t="shared" si="96"/>
        <v>571.52</v>
      </c>
      <c r="F125" s="438">
        <f t="shared" si="96"/>
        <v>867.52</v>
      </c>
      <c r="G125" s="439">
        <f t="shared" si="97"/>
        <v>296</v>
      </c>
    </row>
    <row r="126" spans="1:7">
      <c r="A126" s="281" t="s">
        <v>304</v>
      </c>
      <c r="B126" s="436">
        <v>1</v>
      </c>
      <c r="C126" s="437">
        <f t="shared" si="87"/>
        <v>142.88</v>
      </c>
      <c r="D126" s="437">
        <f>B126*$D$4</f>
        <v>216.88</v>
      </c>
      <c r="E126" s="437">
        <f>C126*4</f>
        <v>571.52</v>
      </c>
      <c r="F126" s="438">
        <f>D126*4</f>
        <v>867.52</v>
      </c>
      <c r="G126" s="439">
        <f>F126-E126</f>
        <v>296</v>
      </c>
    </row>
    <row r="127" spans="1:7">
      <c r="A127" s="281" t="s">
        <v>304</v>
      </c>
      <c r="B127" s="436">
        <v>2</v>
      </c>
      <c r="C127" s="437">
        <f t="shared" si="87"/>
        <v>285.76</v>
      </c>
      <c r="D127" s="437">
        <f t="shared" ref="D127:D131" si="98">B127*$D$4</f>
        <v>433.76</v>
      </c>
      <c r="E127" s="437">
        <f t="shared" ref="E127:F131" si="99">C127*4</f>
        <v>1143.04</v>
      </c>
      <c r="F127" s="438">
        <f t="shared" si="99"/>
        <v>1735.04</v>
      </c>
      <c r="G127" s="439">
        <f t="shared" ref="G127:G131" si="100">F127-E127</f>
        <v>592</v>
      </c>
    </row>
    <row r="128" spans="1:7">
      <c r="A128" s="281" t="s">
        <v>304</v>
      </c>
      <c r="B128" s="436">
        <v>1</v>
      </c>
      <c r="C128" s="437">
        <f t="shared" si="87"/>
        <v>142.88</v>
      </c>
      <c r="D128" s="437">
        <f t="shared" si="98"/>
        <v>216.88</v>
      </c>
      <c r="E128" s="437">
        <f t="shared" si="99"/>
        <v>571.52</v>
      </c>
      <c r="F128" s="438">
        <f t="shared" si="99"/>
        <v>867.52</v>
      </c>
      <c r="G128" s="439">
        <f t="shared" si="100"/>
        <v>296</v>
      </c>
    </row>
    <row r="129" spans="1:7">
      <c r="A129" s="281" t="s">
        <v>304</v>
      </c>
      <c r="B129" s="436">
        <v>1</v>
      </c>
      <c r="C129" s="437">
        <f t="shared" si="87"/>
        <v>142.88</v>
      </c>
      <c r="D129" s="437">
        <f t="shared" si="98"/>
        <v>216.88</v>
      </c>
      <c r="E129" s="437">
        <f t="shared" si="99"/>
        <v>571.52</v>
      </c>
      <c r="F129" s="438">
        <f t="shared" si="99"/>
        <v>867.52</v>
      </c>
      <c r="G129" s="439">
        <f t="shared" si="100"/>
        <v>296</v>
      </c>
    </row>
    <row r="130" spans="1:7">
      <c r="A130" s="281" t="s">
        <v>304</v>
      </c>
      <c r="B130" s="436">
        <v>1</v>
      </c>
      <c r="C130" s="437">
        <f t="shared" si="87"/>
        <v>142.88</v>
      </c>
      <c r="D130" s="437">
        <f t="shared" si="98"/>
        <v>216.88</v>
      </c>
      <c r="E130" s="437">
        <f t="shared" si="99"/>
        <v>571.52</v>
      </c>
      <c r="F130" s="438">
        <f t="shared" si="99"/>
        <v>867.52</v>
      </c>
      <c r="G130" s="439">
        <f t="shared" si="100"/>
        <v>296</v>
      </c>
    </row>
    <row r="131" spans="1:7">
      <c r="A131" s="281" t="s">
        <v>304</v>
      </c>
      <c r="B131" s="436">
        <v>1</v>
      </c>
      <c r="C131" s="437">
        <f t="shared" si="87"/>
        <v>142.88</v>
      </c>
      <c r="D131" s="437">
        <f t="shared" si="98"/>
        <v>216.88</v>
      </c>
      <c r="E131" s="437">
        <f t="shared" si="99"/>
        <v>571.52</v>
      </c>
      <c r="F131" s="438">
        <f t="shared" si="99"/>
        <v>867.52</v>
      </c>
      <c r="G131" s="439">
        <f t="shared" si="100"/>
        <v>296</v>
      </c>
    </row>
    <row r="132" spans="1:7">
      <c r="A132" s="281" t="s">
        <v>304</v>
      </c>
      <c r="B132" s="436">
        <v>1</v>
      </c>
      <c r="C132" s="437">
        <f t="shared" ref="C132:C146" si="101">B132*$C$4</f>
        <v>142.88</v>
      </c>
      <c r="D132" s="437">
        <f t="shared" ref="D132:D133" si="102">B132*$D$4</f>
        <v>216.88</v>
      </c>
      <c r="E132" s="437">
        <f t="shared" ref="E132:F133" si="103">C132*4</f>
        <v>571.52</v>
      </c>
      <c r="F132" s="438">
        <f t="shared" si="103"/>
        <v>867.52</v>
      </c>
      <c r="G132" s="439">
        <f t="shared" ref="G132:G133" si="104">F132-E132</f>
        <v>296</v>
      </c>
    </row>
    <row r="133" spans="1:7">
      <c r="A133" s="281" t="s">
        <v>304</v>
      </c>
      <c r="B133" s="436">
        <v>1</v>
      </c>
      <c r="C133" s="437">
        <f t="shared" si="101"/>
        <v>142.88</v>
      </c>
      <c r="D133" s="437">
        <f t="shared" si="102"/>
        <v>216.88</v>
      </c>
      <c r="E133" s="437">
        <f t="shared" si="103"/>
        <v>571.52</v>
      </c>
      <c r="F133" s="438">
        <f t="shared" si="103"/>
        <v>867.52</v>
      </c>
      <c r="G133" s="439">
        <f t="shared" si="104"/>
        <v>296</v>
      </c>
    </row>
    <row r="134" spans="1:7">
      <c r="A134" s="281" t="s">
        <v>304</v>
      </c>
      <c r="B134" s="436">
        <v>1</v>
      </c>
      <c r="C134" s="437">
        <f t="shared" si="101"/>
        <v>142.88</v>
      </c>
      <c r="D134" s="437">
        <f t="shared" ref="D134:D135" si="105">B134*$D$4</f>
        <v>216.88</v>
      </c>
      <c r="E134" s="437">
        <f t="shared" ref="E134:F135" si="106">C134*4</f>
        <v>571.52</v>
      </c>
      <c r="F134" s="438">
        <f t="shared" si="106"/>
        <v>867.52</v>
      </c>
      <c r="G134" s="439">
        <f t="shared" ref="G134:G135" si="107">F134-E134</f>
        <v>296</v>
      </c>
    </row>
    <row r="135" spans="1:7">
      <c r="A135" s="281" t="s">
        <v>304</v>
      </c>
      <c r="B135" s="436">
        <v>1</v>
      </c>
      <c r="C135" s="437">
        <f t="shared" si="101"/>
        <v>142.88</v>
      </c>
      <c r="D135" s="437">
        <f t="shared" si="105"/>
        <v>216.88</v>
      </c>
      <c r="E135" s="437">
        <f t="shared" si="106"/>
        <v>571.52</v>
      </c>
      <c r="F135" s="438">
        <f t="shared" si="106"/>
        <v>867.52</v>
      </c>
      <c r="G135" s="439">
        <f t="shared" si="107"/>
        <v>296</v>
      </c>
    </row>
    <row r="136" spans="1:7">
      <c r="A136" s="281" t="s">
        <v>304</v>
      </c>
      <c r="B136" s="436">
        <v>1</v>
      </c>
      <c r="C136" s="437">
        <f t="shared" si="101"/>
        <v>142.88</v>
      </c>
      <c r="D136" s="437">
        <f>B136*$D$4</f>
        <v>216.88</v>
      </c>
      <c r="E136" s="437">
        <f>C136*4</f>
        <v>571.52</v>
      </c>
      <c r="F136" s="438">
        <f>D136*4</f>
        <v>867.52</v>
      </c>
      <c r="G136" s="439">
        <f>F136-E136</f>
        <v>296</v>
      </c>
    </row>
    <row r="137" spans="1:7">
      <c r="A137" s="281" t="s">
        <v>304</v>
      </c>
      <c r="B137" s="436">
        <v>1</v>
      </c>
      <c r="C137" s="437">
        <f t="shared" si="101"/>
        <v>142.88</v>
      </c>
      <c r="D137" s="437">
        <f t="shared" ref="D137:D138" si="108">B137*$D$4</f>
        <v>216.88</v>
      </c>
      <c r="E137" s="437">
        <f t="shared" ref="E137:F138" si="109">C137*4</f>
        <v>571.52</v>
      </c>
      <c r="F137" s="438">
        <f t="shared" si="109"/>
        <v>867.52</v>
      </c>
      <c r="G137" s="439">
        <f t="shared" ref="G137:G138" si="110">F137-E137</f>
        <v>296</v>
      </c>
    </row>
    <row r="138" spans="1:7">
      <c r="A138" s="281" t="s">
        <v>304</v>
      </c>
      <c r="B138" s="436">
        <v>2</v>
      </c>
      <c r="C138" s="437">
        <f t="shared" si="101"/>
        <v>285.76</v>
      </c>
      <c r="D138" s="437">
        <f t="shared" si="108"/>
        <v>433.76</v>
      </c>
      <c r="E138" s="437">
        <f t="shared" si="109"/>
        <v>1143.04</v>
      </c>
      <c r="F138" s="438">
        <f t="shared" si="109"/>
        <v>1735.04</v>
      </c>
      <c r="G138" s="439">
        <f t="shared" si="110"/>
        <v>592</v>
      </c>
    </row>
    <row r="139" spans="1:7">
      <c r="A139" s="281" t="s">
        <v>304</v>
      </c>
      <c r="B139" s="436">
        <v>1</v>
      </c>
      <c r="C139" s="437">
        <f t="shared" si="101"/>
        <v>142.88</v>
      </c>
      <c r="D139" s="437">
        <f>B139*$D$4</f>
        <v>216.88</v>
      </c>
      <c r="E139" s="437">
        <f t="shared" ref="E139:F141" si="111">C139*4</f>
        <v>571.52</v>
      </c>
      <c r="F139" s="438">
        <f t="shared" si="111"/>
        <v>867.52</v>
      </c>
      <c r="G139" s="439">
        <f>F139-E139</f>
        <v>296</v>
      </c>
    </row>
    <row r="140" spans="1:7">
      <c r="A140" s="281" t="s">
        <v>304</v>
      </c>
      <c r="B140" s="436">
        <v>1</v>
      </c>
      <c r="C140" s="437">
        <f t="shared" si="101"/>
        <v>142.88</v>
      </c>
      <c r="D140" s="437">
        <f>B140*$D$4</f>
        <v>216.88</v>
      </c>
      <c r="E140" s="437">
        <f t="shared" si="111"/>
        <v>571.52</v>
      </c>
      <c r="F140" s="438">
        <f t="shared" si="111"/>
        <v>867.52</v>
      </c>
      <c r="G140" s="439">
        <f>F140-E140</f>
        <v>296</v>
      </c>
    </row>
    <row r="141" spans="1:7">
      <c r="A141" s="281" t="s">
        <v>304</v>
      </c>
      <c r="B141" s="436">
        <v>1</v>
      </c>
      <c r="C141" s="437">
        <f t="shared" si="101"/>
        <v>142.88</v>
      </c>
      <c r="D141" s="437">
        <f>B141*$D$4</f>
        <v>216.88</v>
      </c>
      <c r="E141" s="437">
        <f t="shared" si="111"/>
        <v>571.52</v>
      </c>
      <c r="F141" s="438">
        <f t="shared" si="111"/>
        <v>867.52</v>
      </c>
      <c r="G141" s="439">
        <f>F141-E141</f>
        <v>296</v>
      </c>
    </row>
    <row r="142" spans="1:7">
      <c r="A142" s="281" t="s">
        <v>304</v>
      </c>
      <c r="B142" s="436">
        <v>1</v>
      </c>
      <c r="C142" s="437">
        <f t="shared" si="101"/>
        <v>142.88</v>
      </c>
      <c r="D142" s="437">
        <f t="shared" ref="D142:D143" si="112">B142*$D$4</f>
        <v>216.88</v>
      </c>
      <c r="E142" s="437">
        <f t="shared" ref="E142:F143" si="113">C142*4</f>
        <v>571.52</v>
      </c>
      <c r="F142" s="438">
        <f t="shared" si="113"/>
        <v>867.52</v>
      </c>
      <c r="G142" s="439">
        <f t="shared" ref="G142:G143" si="114">F142-E142</f>
        <v>296</v>
      </c>
    </row>
    <row r="143" spans="1:7">
      <c r="A143" s="281" t="s">
        <v>304</v>
      </c>
      <c r="B143" s="436">
        <v>1</v>
      </c>
      <c r="C143" s="437">
        <f t="shared" si="101"/>
        <v>142.88</v>
      </c>
      <c r="D143" s="437">
        <f t="shared" si="112"/>
        <v>216.88</v>
      </c>
      <c r="E143" s="437">
        <f t="shared" si="113"/>
        <v>571.52</v>
      </c>
      <c r="F143" s="438">
        <f t="shared" si="113"/>
        <v>867.52</v>
      </c>
      <c r="G143" s="439">
        <f t="shared" si="114"/>
        <v>296</v>
      </c>
    </row>
    <row r="144" spans="1:7">
      <c r="A144" s="281" t="s">
        <v>304</v>
      </c>
      <c r="B144" s="436">
        <v>1</v>
      </c>
      <c r="C144" s="437">
        <f t="shared" si="101"/>
        <v>142.88</v>
      </c>
      <c r="D144" s="437">
        <f>B144*$D$4</f>
        <v>216.88</v>
      </c>
      <c r="E144" s="437">
        <f>C144*4</f>
        <v>571.52</v>
      </c>
      <c r="F144" s="438">
        <f>D144*4</f>
        <v>867.52</v>
      </c>
      <c r="G144" s="439">
        <f>F144-E144</f>
        <v>296</v>
      </c>
    </row>
    <row r="145" spans="1:7">
      <c r="A145" s="281" t="s">
        <v>304</v>
      </c>
      <c r="B145" s="436">
        <v>1</v>
      </c>
      <c r="C145" s="437">
        <f t="shared" si="101"/>
        <v>142.88</v>
      </c>
      <c r="D145" s="437">
        <f t="shared" ref="D145:D146" si="115">B145*$D$4</f>
        <v>216.88</v>
      </c>
      <c r="E145" s="437">
        <f t="shared" ref="E145:F146" si="116">C145*4</f>
        <v>571.52</v>
      </c>
      <c r="F145" s="438">
        <f t="shared" si="116"/>
        <v>867.52</v>
      </c>
      <c r="G145" s="439">
        <f t="shared" ref="G145:G146" si="117">F145-E145</f>
        <v>296</v>
      </c>
    </row>
    <row r="146" spans="1:7">
      <c r="A146" s="281" t="s">
        <v>304</v>
      </c>
      <c r="B146" s="436">
        <v>1</v>
      </c>
      <c r="C146" s="437">
        <f t="shared" si="101"/>
        <v>142.88</v>
      </c>
      <c r="D146" s="437">
        <f t="shared" si="115"/>
        <v>216.88</v>
      </c>
      <c r="E146" s="437">
        <f t="shared" si="116"/>
        <v>571.52</v>
      </c>
      <c r="F146" s="438">
        <f t="shared" si="116"/>
        <v>867.52</v>
      </c>
      <c r="G146" s="439">
        <f t="shared" si="117"/>
        <v>296</v>
      </c>
    </row>
    <row r="147" spans="1:7">
      <c r="A147" s="281" t="s">
        <v>304</v>
      </c>
      <c r="B147" s="436">
        <v>1</v>
      </c>
      <c r="C147" s="437">
        <f t="shared" ref="C147:C152" si="118">B147*$C$4</f>
        <v>142.88</v>
      </c>
      <c r="D147" s="437">
        <f>B147*$D$4</f>
        <v>216.88</v>
      </c>
      <c r="E147" s="437">
        <f t="shared" ref="E147:F149" si="119">C147*4</f>
        <v>571.52</v>
      </c>
      <c r="F147" s="438">
        <f t="shared" si="119"/>
        <v>867.52</v>
      </c>
      <c r="G147" s="439">
        <f>F147-E147</f>
        <v>296</v>
      </c>
    </row>
    <row r="148" spans="1:7">
      <c r="A148" s="281" t="s">
        <v>304</v>
      </c>
      <c r="B148" s="436">
        <v>1</v>
      </c>
      <c r="C148" s="437">
        <f t="shared" si="118"/>
        <v>142.88</v>
      </c>
      <c r="D148" s="437">
        <f>B148*$D$4</f>
        <v>216.88</v>
      </c>
      <c r="E148" s="437">
        <f t="shared" si="119"/>
        <v>571.52</v>
      </c>
      <c r="F148" s="438">
        <f t="shared" si="119"/>
        <v>867.52</v>
      </c>
      <c r="G148" s="439">
        <f>F148-E148</f>
        <v>296</v>
      </c>
    </row>
    <row r="149" spans="1:7">
      <c r="A149" s="281" t="s">
        <v>304</v>
      </c>
      <c r="B149" s="436">
        <v>1</v>
      </c>
      <c r="C149" s="437">
        <f t="shared" si="118"/>
        <v>142.88</v>
      </c>
      <c r="D149" s="437">
        <f>B149*$D$4</f>
        <v>216.88</v>
      </c>
      <c r="E149" s="437">
        <f t="shared" si="119"/>
        <v>571.52</v>
      </c>
      <c r="F149" s="438">
        <f t="shared" si="119"/>
        <v>867.52</v>
      </c>
      <c r="G149" s="439">
        <f>F149-E149</f>
        <v>296</v>
      </c>
    </row>
    <row r="150" spans="1:7">
      <c r="A150" s="281" t="s">
        <v>304</v>
      </c>
      <c r="B150" s="436">
        <v>1</v>
      </c>
      <c r="C150" s="437">
        <f t="shared" si="118"/>
        <v>142.88</v>
      </c>
      <c r="D150" s="437">
        <f t="shared" ref="D150:D151" si="120">B150*$D$4</f>
        <v>216.88</v>
      </c>
      <c r="E150" s="437">
        <f t="shared" ref="E150:F151" si="121">C150*4</f>
        <v>571.52</v>
      </c>
      <c r="F150" s="438">
        <f t="shared" si="121"/>
        <v>867.52</v>
      </c>
      <c r="G150" s="439">
        <f t="shared" ref="G150:G151" si="122">F150-E150</f>
        <v>296</v>
      </c>
    </row>
    <row r="151" spans="1:7">
      <c r="A151" s="281" t="s">
        <v>304</v>
      </c>
      <c r="B151" s="436">
        <v>1</v>
      </c>
      <c r="C151" s="437">
        <f t="shared" si="118"/>
        <v>142.88</v>
      </c>
      <c r="D151" s="437">
        <f t="shared" si="120"/>
        <v>216.88</v>
      </c>
      <c r="E151" s="437">
        <f t="shared" si="121"/>
        <v>571.52</v>
      </c>
      <c r="F151" s="438">
        <f t="shared" si="121"/>
        <v>867.52</v>
      </c>
      <c r="G151" s="439">
        <f t="shared" si="122"/>
        <v>296</v>
      </c>
    </row>
    <row r="152" spans="1:7">
      <c r="A152" s="281" t="s">
        <v>304</v>
      </c>
      <c r="B152" s="436">
        <v>1</v>
      </c>
      <c r="C152" s="437">
        <f t="shared" si="118"/>
        <v>142.88</v>
      </c>
      <c r="D152" s="437">
        <f>B152*$D$4</f>
        <v>216.88</v>
      </c>
      <c r="E152" s="437">
        <f>C152*4</f>
        <v>571.52</v>
      </c>
      <c r="F152" s="438">
        <f>D152*4</f>
        <v>867.52</v>
      </c>
      <c r="G152" s="439">
        <f>F152-E152</f>
        <v>296</v>
      </c>
    </row>
  </sheetData>
  <mergeCells count="3">
    <mergeCell ref="A2:G2"/>
    <mergeCell ref="J1:L1"/>
    <mergeCell ref="I4:K4"/>
  </mergeCells>
  <pageMargins left="0.7" right="0.7" top="0.75" bottom="0.75" header="0.3" footer="0.3"/>
  <pageSetup paperSize="9" scale="28"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22F00-1894-40F7-B1FD-895644F8FE22}">
  <sheetPr>
    <tabColor theme="9" tint="0.79998168889431442"/>
  </sheetPr>
  <dimension ref="A1:G129"/>
  <sheetViews>
    <sheetView view="pageBreakPreview" topLeftCell="A44" zoomScale="60" zoomScaleNormal="82" workbookViewId="0">
      <selection activeCell="A2" sqref="A2:G2"/>
    </sheetView>
  </sheetViews>
  <sheetFormatPr defaultColWidth="9.140625" defaultRowHeight="12.75"/>
  <cols>
    <col min="1" max="1" width="18.140625" style="1" customWidth="1"/>
    <col min="2" max="2" width="17.140625" style="1" customWidth="1"/>
    <col min="3" max="3" width="20.5703125" style="289" customWidth="1"/>
    <col min="4" max="4" width="24.5703125" style="291" customWidth="1"/>
    <col min="5" max="5" width="20.85546875" style="1" customWidth="1"/>
    <col min="6" max="6" width="26.140625" style="1" customWidth="1"/>
    <col min="7" max="7" width="100" style="1" customWidth="1"/>
    <col min="8" max="16384" width="9.140625" style="1"/>
  </cols>
  <sheetData>
    <row r="1" spans="1:7" ht="29.25" customHeight="1">
      <c r="G1" s="201" t="s">
        <v>555</v>
      </c>
    </row>
    <row r="2" spans="1:7">
      <c r="A2" s="599" t="s">
        <v>539</v>
      </c>
      <c r="B2" s="599"/>
      <c r="C2" s="599"/>
      <c r="D2" s="599"/>
      <c r="E2" s="599"/>
      <c r="F2" s="599"/>
      <c r="G2" s="599"/>
    </row>
    <row r="3" spans="1:7" s="289" customFormat="1">
      <c r="A3" s="1"/>
      <c r="D3" s="1"/>
      <c r="E3" s="1"/>
      <c r="F3" s="290">
        <v>142.88</v>
      </c>
      <c r="G3" s="181" t="s">
        <v>562</v>
      </c>
    </row>
    <row r="4" spans="1:7" s="289" customFormat="1">
      <c r="A4" s="1"/>
      <c r="D4" s="1"/>
      <c r="E4" s="1"/>
      <c r="F4" s="300">
        <v>216.88</v>
      </c>
      <c r="G4" s="181" t="s">
        <v>563</v>
      </c>
    </row>
    <row r="5" spans="1:7" s="289" customFormat="1" ht="65.25" customHeight="1">
      <c r="A5" s="1"/>
      <c r="D5" s="1"/>
      <c r="E5" s="301" t="s">
        <v>568</v>
      </c>
      <c r="F5" s="302" t="s">
        <v>549</v>
      </c>
      <c r="G5" s="294"/>
    </row>
    <row r="6" spans="1:7" ht="43.15" customHeight="1">
      <c r="A6" s="641" t="s">
        <v>548</v>
      </c>
      <c r="B6" s="641"/>
      <c r="C6" s="297">
        <f>SUM(C9:C129)</f>
        <v>69153.919999999867</v>
      </c>
      <c r="D6" s="297">
        <f>SUM(D9:D129)</f>
        <v>104969.92000000007</v>
      </c>
      <c r="E6" s="298">
        <f>SUM(E9:E129)</f>
        <v>35816</v>
      </c>
      <c r="F6" s="298">
        <f>(E6/4)*12</f>
        <v>107448</v>
      </c>
    </row>
    <row r="7" spans="1:7">
      <c r="A7" s="642"/>
      <c r="B7" s="642"/>
    </row>
    <row r="8" spans="1:7" ht="51">
      <c r="A8" s="323" t="s">
        <v>298</v>
      </c>
      <c r="B8" s="323" t="s">
        <v>308</v>
      </c>
      <c r="C8" s="323" t="s">
        <v>569</v>
      </c>
      <c r="D8" s="323" t="s">
        <v>570</v>
      </c>
      <c r="E8" s="293" t="s">
        <v>538</v>
      </c>
    </row>
    <row r="9" spans="1:7">
      <c r="A9" s="181" t="s">
        <v>300</v>
      </c>
      <c r="B9" s="181" t="s">
        <v>309</v>
      </c>
      <c r="C9" s="158">
        <f>$F$3*4</f>
        <v>571.52</v>
      </c>
      <c r="D9" s="292">
        <f>$F$4*4</f>
        <v>867.52</v>
      </c>
      <c r="E9" s="157">
        <f>D9-C9</f>
        <v>296</v>
      </c>
    </row>
    <row r="10" spans="1:7">
      <c r="A10" s="181" t="s">
        <v>300</v>
      </c>
      <c r="B10" s="181" t="s">
        <v>310</v>
      </c>
      <c r="C10" s="158">
        <f t="shared" ref="C10:C73" si="0">$F$3*4</f>
        <v>571.52</v>
      </c>
      <c r="D10" s="292">
        <f t="shared" ref="D10:D73" si="1">$F$4*4</f>
        <v>867.52</v>
      </c>
      <c r="E10" s="157">
        <f t="shared" ref="E10:E73" si="2">D10-C10</f>
        <v>296</v>
      </c>
    </row>
    <row r="11" spans="1:7">
      <c r="A11" s="181" t="s">
        <v>300</v>
      </c>
      <c r="B11" s="181" t="s">
        <v>311</v>
      </c>
      <c r="C11" s="158">
        <f t="shared" si="0"/>
        <v>571.52</v>
      </c>
      <c r="D11" s="292">
        <f t="shared" si="1"/>
        <v>867.52</v>
      </c>
      <c r="E11" s="157">
        <f t="shared" si="2"/>
        <v>296</v>
      </c>
    </row>
    <row r="12" spans="1:7">
      <c r="A12" s="181" t="s">
        <v>300</v>
      </c>
      <c r="B12" s="181" t="s">
        <v>312</v>
      </c>
      <c r="C12" s="158">
        <f t="shared" si="0"/>
        <v>571.52</v>
      </c>
      <c r="D12" s="292">
        <f t="shared" si="1"/>
        <v>867.52</v>
      </c>
      <c r="E12" s="157">
        <f t="shared" si="2"/>
        <v>296</v>
      </c>
    </row>
    <row r="13" spans="1:7">
      <c r="A13" s="181" t="s">
        <v>300</v>
      </c>
      <c r="B13" s="181" t="s">
        <v>309</v>
      </c>
      <c r="C13" s="158">
        <f t="shared" si="0"/>
        <v>571.52</v>
      </c>
      <c r="D13" s="292">
        <f t="shared" si="1"/>
        <v>867.52</v>
      </c>
      <c r="E13" s="157">
        <f t="shared" si="2"/>
        <v>296</v>
      </c>
    </row>
    <row r="14" spans="1:7">
      <c r="A14" s="181" t="s">
        <v>300</v>
      </c>
      <c r="B14" s="181" t="s">
        <v>313</v>
      </c>
      <c r="C14" s="158">
        <f t="shared" si="0"/>
        <v>571.52</v>
      </c>
      <c r="D14" s="292">
        <f t="shared" si="1"/>
        <v>867.52</v>
      </c>
      <c r="E14" s="157">
        <f t="shared" si="2"/>
        <v>296</v>
      </c>
    </row>
    <row r="15" spans="1:7">
      <c r="A15" s="181" t="s">
        <v>300</v>
      </c>
      <c r="B15" s="181" t="s">
        <v>314</v>
      </c>
      <c r="C15" s="158">
        <f t="shared" si="0"/>
        <v>571.52</v>
      </c>
      <c r="D15" s="292">
        <f t="shared" si="1"/>
        <v>867.52</v>
      </c>
      <c r="E15" s="157">
        <f t="shared" si="2"/>
        <v>296</v>
      </c>
    </row>
    <row r="16" spans="1:7">
      <c r="A16" s="181" t="s">
        <v>300</v>
      </c>
      <c r="B16" s="181" t="s">
        <v>315</v>
      </c>
      <c r="C16" s="158">
        <f t="shared" si="0"/>
        <v>571.52</v>
      </c>
      <c r="D16" s="292">
        <f t="shared" si="1"/>
        <v>867.52</v>
      </c>
      <c r="E16" s="157">
        <f t="shared" si="2"/>
        <v>296</v>
      </c>
    </row>
    <row r="17" spans="1:5">
      <c r="A17" s="181" t="s">
        <v>300</v>
      </c>
      <c r="B17" s="181" t="s">
        <v>316</v>
      </c>
      <c r="C17" s="158">
        <f t="shared" si="0"/>
        <v>571.52</v>
      </c>
      <c r="D17" s="292">
        <f t="shared" si="1"/>
        <v>867.52</v>
      </c>
      <c r="E17" s="157">
        <f t="shared" si="2"/>
        <v>296</v>
      </c>
    </row>
    <row r="18" spans="1:5">
      <c r="A18" s="181" t="s">
        <v>300</v>
      </c>
      <c r="B18" s="181" t="s">
        <v>317</v>
      </c>
      <c r="C18" s="158">
        <f t="shared" si="0"/>
        <v>571.52</v>
      </c>
      <c r="D18" s="292">
        <f t="shared" si="1"/>
        <v>867.52</v>
      </c>
      <c r="E18" s="157">
        <f t="shared" si="2"/>
        <v>296</v>
      </c>
    </row>
    <row r="19" spans="1:5">
      <c r="A19" s="181" t="s">
        <v>300</v>
      </c>
      <c r="B19" s="181" t="s">
        <v>318</v>
      </c>
      <c r="C19" s="158">
        <f t="shared" si="0"/>
        <v>571.52</v>
      </c>
      <c r="D19" s="292">
        <f t="shared" si="1"/>
        <v>867.52</v>
      </c>
      <c r="E19" s="157">
        <f t="shared" si="2"/>
        <v>296</v>
      </c>
    </row>
    <row r="20" spans="1:5">
      <c r="A20" s="181" t="s">
        <v>300</v>
      </c>
      <c r="B20" s="181" t="s">
        <v>319</v>
      </c>
      <c r="C20" s="158">
        <f t="shared" si="0"/>
        <v>571.52</v>
      </c>
      <c r="D20" s="292">
        <f t="shared" si="1"/>
        <v>867.52</v>
      </c>
      <c r="E20" s="157">
        <f t="shared" si="2"/>
        <v>296</v>
      </c>
    </row>
    <row r="21" spans="1:5">
      <c r="A21" s="181" t="s">
        <v>300</v>
      </c>
      <c r="B21" s="181" t="s">
        <v>320</v>
      </c>
      <c r="C21" s="158">
        <f t="shared" si="0"/>
        <v>571.52</v>
      </c>
      <c r="D21" s="292">
        <f t="shared" si="1"/>
        <v>867.52</v>
      </c>
      <c r="E21" s="157">
        <f t="shared" si="2"/>
        <v>296</v>
      </c>
    </row>
    <row r="22" spans="1:5">
      <c r="A22" s="181" t="s">
        <v>300</v>
      </c>
      <c r="B22" s="181" t="s">
        <v>321</v>
      </c>
      <c r="C22" s="158">
        <f t="shared" si="0"/>
        <v>571.52</v>
      </c>
      <c r="D22" s="292">
        <f t="shared" si="1"/>
        <v>867.52</v>
      </c>
      <c r="E22" s="157">
        <f t="shared" si="2"/>
        <v>296</v>
      </c>
    </row>
    <row r="23" spans="1:5">
      <c r="A23" s="181" t="s">
        <v>300</v>
      </c>
      <c r="B23" s="181" t="s">
        <v>322</v>
      </c>
      <c r="C23" s="158">
        <f t="shared" si="0"/>
        <v>571.52</v>
      </c>
      <c r="D23" s="292">
        <f t="shared" si="1"/>
        <v>867.52</v>
      </c>
      <c r="E23" s="157">
        <f t="shared" si="2"/>
        <v>296</v>
      </c>
    </row>
    <row r="24" spans="1:5">
      <c r="A24" s="181" t="s">
        <v>300</v>
      </c>
      <c r="B24" s="181" t="s">
        <v>323</v>
      </c>
      <c r="C24" s="158">
        <f t="shared" si="0"/>
        <v>571.52</v>
      </c>
      <c r="D24" s="292">
        <f t="shared" si="1"/>
        <v>867.52</v>
      </c>
      <c r="E24" s="157">
        <f t="shared" si="2"/>
        <v>296</v>
      </c>
    </row>
    <row r="25" spans="1:5">
      <c r="A25" s="181" t="s">
        <v>300</v>
      </c>
      <c r="B25" s="181" t="s">
        <v>324</v>
      </c>
      <c r="C25" s="158">
        <f t="shared" si="0"/>
        <v>571.52</v>
      </c>
      <c r="D25" s="292">
        <f t="shared" si="1"/>
        <v>867.52</v>
      </c>
      <c r="E25" s="157">
        <f t="shared" si="2"/>
        <v>296</v>
      </c>
    </row>
    <row r="26" spans="1:5">
      <c r="A26" s="181" t="s">
        <v>300</v>
      </c>
      <c r="B26" s="181" t="s">
        <v>325</v>
      </c>
      <c r="C26" s="158">
        <f t="shared" si="0"/>
        <v>571.52</v>
      </c>
      <c r="D26" s="292">
        <f t="shared" si="1"/>
        <v>867.52</v>
      </c>
      <c r="E26" s="157">
        <f t="shared" si="2"/>
        <v>296</v>
      </c>
    </row>
    <row r="27" spans="1:5">
      <c r="A27" s="181" t="s">
        <v>300</v>
      </c>
      <c r="B27" s="181" t="s">
        <v>326</v>
      </c>
      <c r="C27" s="158">
        <f t="shared" si="0"/>
        <v>571.52</v>
      </c>
      <c r="D27" s="292">
        <f t="shared" si="1"/>
        <v>867.52</v>
      </c>
      <c r="E27" s="157">
        <f t="shared" si="2"/>
        <v>296</v>
      </c>
    </row>
    <row r="28" spans="1:5">
      <c r="A28" s="181" t="s">
        <v>300</v>
      </c>
      <c r="B28" s="181" t="s">
        <v>327</v>
      </c>
      <c r="C28" s="158">
        <f t="shared" si="0"/>
        <v>571.52</v>
      </c>
      <c r="D28" s="292">
        <f t="shared" si="1"/>
        <v>867.52</v>
      </c>
      <c r="E28" s="157">
        <f t="shared" si="2"/>
        <v>296</v>
      </c>
    </row>
    <row r="29" spans="1:5">
      <c r="A29" s="181" t="s">
        <v>300</v>
      </c>
      <c r="B29" s="181" t="s">
        <v>328</v>
      </c>
      <c r="C29" s="158">
        <f t="shared" si="0"/>
        <v>571.52</v>
      </c>
      <c r="D29" s="292">
        <f t="shared" si="1"/>
        <v>867.52</v>
      </c>
      <c r="E29" s="157">
        <f t="shared" si="2"/>
        <v>296</v>
      </c>
    </row>
    <row r="30" spans="1:5">
      <c r="A30" s="181" t="s">
        <v>300</v>
      </c>
      <c r="B30" s="181" t="s">
        <v>329</v>
      </c>
      <c r="C30" s="158">
        <f t="shared" si="0"/>
        <v>571.52</v>
      </c>
      <c r="D30" s="292">
        <f t="shared" si="1"/>
        <v>867.52</v>
      </c>
      <c r="E30" s="157">
        <f t="shared" si="2"/>
        <v>296</v>
      </c>
    </row>
    <row r="31" spans="1:5">
      <c r="A31" s="181" t="s">
        <v>300</v>
      </c>
      <c r="B31" s="181" t="s">
        <v>330</v>
      </c>
      <c r="C31" s="158">
        <f t="shared" si="0"/>
        <v>571.52</v>
      </c>
      <c r="D31" s="292">
        <f t="shared" si="1"/>
        <v>867.52</v>
      </c>
      <c r="E31" s="157">
        <f t="shared" si="2"/>
        <v>296</v>
      </c>
    </row>
    <row r="32" spans="1:5">
      <c r="A32" s="181" t="s">
        <v>301</v>
      </c>
      <c r="B32" s="181" t="s">
        <v>331</v>
      </c>
      <c r="C32" s="158">
        <f t="shared" si="0"/>
        <v>571.52</v>
      </c>
      <c r="D32" s="292">
        <f t="shared" si="1"/>
        <v>867.52</v>
      </c>
      <c r="E32" s="157">
        <f t="shared" si="2"/>
        <v>296</v>
      </c>
    </row>
    <row r="33" spans="1:5">
      <c r="A33" s="181" t="s">
        <v>301</v>
      </c>
      <c r="B33" s="181" t="s">
        <v>332</v>
      </c>
      <c r="C33" s="158">
        <f t="shared" si="0"/>
        <v>571.52</v>
      </c>
      <c r="D33" s="292">
        <f t="shared" si="1"/>
        <v>867.52</v>
      </c>
      <c r="E33" s="157">
        <f t="shared" si="2"/>
        <v>296</v>
      </c>
    </row>
    <row r="34" spans="1:5">
      <c r="A34" s="181" t="s">
        <v>301</v>
      </c>
      <c r="B34" s="181" t="s">
        <v>333</v>
      </c>
      <c r="C34" s="158">
        <f t="shared" si="0"/>
        <v>571.52</v>
      </c>
      <c r="D34" s="292">
        <f t="shared" si="1"/>
        <v>867.52</v>
      </c>
      <c r="E34" s="157">
        <f t="shared" si="2"/>
        <v>296</v>
      </c>
    </row>
    <row r="35" spans="1:5">
      <c r="A35" s="181" t="s">
        <v>301</v>
      </c>
      <c r="B35" s="181" t="s">
        <v>334</v>
      </c>
      <c r="C35" s="158">
        <f t="shared" si="0"/>
        <v>571.52</v>
      </c>
      <c r="D35" s="292">
        <f t="shared" si="1"/>
        <v>867.52</v>
      </c>
      <c r="E35" s="157">
        <f t="shared" si="2"/>
        <v>296</v>
      </c>
    </row>
    <row r="36" spans="1:5">
      <c r="A36" s="181" t="s">
        <v>301</v>
      </c>
      <c r="B36" s="181" t="s">
        <v>335</v>
      </c>
      <c r="C36" s="158">
        <f t="shared" si="0"/>
        <v>571.52</v>
      </c>
      <c r="D36" s="292">
        <f t="shared" si="1"/>
        <v>867.52</v>
      </c>
      <c r="E36" s="157">
        <f t="shared" si="2"/>
        <v>296</v>
      </c>
    </row>
    <row r="37" spans="1:5">
      <c r="A37" s="181" t="s">
        <v>301</v>
      </c>
      <c r="B37" s="181" t="s">
        <v>336</v>
      </c>
      <c r="C37" s="158">
        <f t="shared" si="0"/>
        <v>571.52</v>
      </c>
      <c r="D37" s="292">
        <f t="shared" si="1"/>
        <v>867.52</v>
      </c>
      <c r="E37" s="157">
        <f t="shared" si="2"/>
        <v>296</v>
      </c>
    </row>
    <row r="38" spans="1:5">
      <c r="A38" s="181" t="s">
        <v>301</v>
      </c>
      <c r="B38" s="181" t="s">
        <v>337</v>
      </c>
      <c r="C38" s="158">
        <f t="shared" si="0"/>
        <v>571.52</v>
      </c>
      <c r="D38" s="292">
        <f t="shared" si="1"/>
        <v>867.52</v>
      </c>
      <c r="E38" s="157">
        <f t="shared" si="2"/>
        <v>296</v>
      </c>
    </row>
    <row r="39" spans="1:5">
      <c r="A39" s="181" t="s">
        <v>301</v>
      </c>
      <c r="B39" s="181" t="s">
        <v>338</v>
      </c>
      <c r="C39" s="158">
        <f t="shared" si="0"/>
        <v>571.52</v>
      </c>
      <c r="D39" s="292">
        <f t="shared" si="1"/>
        <v>867.52</v>
      </c>
      <c r="E39" s="157">
        <f t="shared" si="2"/>
        <v>296</v>
      </c>
    </row>
    <row r="40" spans="1:5">
      <c r="A40" s="181" t="s">
        <v>301</v>
      </c>
      <c r="B40" s="181" t="s">
        <v>339</v>
      </c>
      <c r="C40" s="158">
        <f t="shared" si="0"/>
        <v>571.52</v>
      </c>
      <c r="D40" s="292">
        <f t="shared" si="1"/>
        <v>867.52</v>
      </c>
      <c r="E40" s="157">
        <f t="shared" si="2"/>
        <v>296</v>
      </c>
    </row>
    <row r="41" spans="1:5">
      <c r="A41" s="181" t="s">
        <v>301</v>
      </c>
      <c r="B41" s="181" t="s">
        <v>340</v>
      </c>
      <c r="C41" s="158">
        <f t="shared" si="0"/>
        <v>571.52</v>
      </c>
      <c r="D41" s="292">
        <f t="shared" si="1"/>
        <v>867.52</v>
      </c>
      <c r="E41" s="157">
        <f t="shared" si="2"/>
        <v>296</v>
      </c>
    </row>
    <row r="42" spans="1:5">
      <c r="A42" s="181" t="s">
        <v>301</v>
      </c>
      <c r="B42" s="181" t="s">
        <v>341</v>
      </c>
      <c r="C42" s="158">
        <f t="shared" si="0"/>
        <v>571.52</v>
      </c>
      <c r="D42" s="292">
        <f t="shared" si="1"/>
        <v>867.52</v>
      </c>
      <c r="E42" s="157">
        <f t="shared" si="2"/>
        <v>296</v>
      </c>
    </row>
    <row r="43" spans="1:5">
      <c r="A43" s="181" t="s">
        <v>301</v>
      </c>
      <c r="B43" s="181" t="s">
        <v>342</v>
      </c>
      <c r="C43" s="158">
        <f t="shared" si="0"/>
        <v>571.52</v>
      </c>
      <c r="D43" s="292">
        <f t="shared" si="1"/>
        <v>867.52</v>
      </c>
      <c r="E43" s="157">
        <f t="shared" si="2"/>
        <v>296</v>
      </c>
    </row>
    <row r="44" spans="1:5">
      <c r="A44" s="181" t="s">
        <v>301</v>
      </c>
      <c r="B44" s="181" t="s">
        <v>343</v>
      </c>
      <c r="C44" s="158">
        <f t="shared" si="0"/>
        <v>571.52</v>
      </c>
      <c r="D44" s="292">
        <f t="shared" si="1"/>
        <v>867.52</v>
      </c>
      <c r="E44" s="157">
        <f t="shared" si="2"/>
        <v>296</v>
      </c>
    </row>
    <row r="45" spans="1:5">
      <c r="A45" s="181" t="s">
        <v>301</v>
      </c>
      <c r="B45" s="181" t="s">
        <v>344</v>
      </c>
      <c r="C45" s="158">
        <f t="shared" si="0"/>
        <v>571.52</v>
      </c>
      <c r="D45" s="292">
        <f t="shared" si="1"/>
        <v>867.52</v>
      </c>
      <c r="E45" s="157">
        <f t="shared" si="2"/>
        <v>296</v>
      </c>
    </row>
    <row r="46" spans="1:5">
      <c r="A46" s="181" t="s">
        <v>301</v>
      </c>
      <c r="B46" s="181" t="s">
        <v>345</v>
      </c>
      <c r="C46" s="158">
        <f t="shared" si="0"/>
        <v>571.52</v>
      </c>
      <c r="D46" s="292">
        <f t="shared" si="1"/>
        <v>867.52</v>
      </c>
      <c r="E46" s="157">
        <f t="shared" si="2"/>
        <v>296</v>
      </c>
    </row>
    <row r="47" spans="1:5">
      <c r="A47" s="181" t="s">
        <v>301</v>
      </c>
      <c r="B47" s="181" t="s">
        <v>346</v>
      </c>
      <c r="C47" s="158">
        <f t="shared" si="0"/>
        <v>571.52</v>
      </c>
      <c r="D47" s="292">
        <f t="shared" si="1"/>
        <v>867.52</v>
      </c>
      <c r="E47" s="157">
        <f t="shared" si="2"/>
        <v>296</v>
      </c>
    </row>
    <row r="48" spans="1:5">
      <c r="A48" s="181" t="s">
        <v>301</v>
      </c>
      <c r="B48" s="181" t="s">
        <v>347</v>
      </c>
      <c r="C48" s="158">
        <f t="shared" si="0"/>
        <v>571.52</v>
      </c>
      <c r="D48" s="292">
        <f t="shared" si="1"/>
        <v>867.52</v>
      </c>
      <c r="E48" s="157">
        <f t="shared" si="2"/>
        <v>296</v>
      </c>
    </row>
    <row r="49" spans="1:5">
      <c r="A49" s="181" t="s">
        <v>301</v>
      </c>
      <c r="B49" s="181" t="s">
        <v>348</v>
      </c>
      <c r="C49" s="158">
        <f t="shared" si="0"/>
        <v>571.52</v>
      </c>
      <c r="D49" s="292">
        <f t="shared" si="1"/>
        <v>867.52</v>
      </c>
      <c r="E49" s="157">
        <f t="shared" si="2"/>
        <v>296</v>
      </c>
    </row>
    <row r="50" spans="1:5">
      <c r="A50" s="181" t="s">
        <v>301</v>
      </c>
      <c r="B50" s="181" t="s">
        <v>349</v>
      </c>
      <c r="C50" s="158">
        <f t="shared" si="0"/>
        <v>571.52</v>
      </c>
      <c r="D50" s="292">
        <f t="shared" si="1"/>
        <v>867.52</v>
      </c>
      <c r="E50" s="157">
        <f t="shared" si="2"/>
        <v>296</v>
      </c>
    </row>
    <row r="51" spans="1:5">
      <c r="A51" s="181" t="s">
        <v>301</v>
      </c>
      <c r="B51" s="181" t="s">
        <v>350</v>
      </c>
      <c r="C51" s="158">
        <f t="shared" si="0"/>
        <v>571.52</v>
      </c>
      <c r="D51" s="292">
        <f t="shared" si="1"/>
        <v>867.52</v>
      </c>
      <c r="E51" s="157">
        <f t="shared" si="2"/>
        <v>296</v>
      </c>
    </row>
    <row r="52" spans="1:5">
      <c r="A52" s="181" t="s">
        <v>301</v>
      </c>
      <c r="B52" s="181" t="s">
        <v>351</v>
      </c>
      <c r="C52" s="158">
        <f t="shared" si="0"/>
        <v>571.52</v>
      </c>
      <c r="D52" s="292">
        <f t="shared" si="1"/>
        <v>867.52</v>
      </c>
      <c r="E52" s="157">
        <f t="shared" si="2"/>
        <v>296</v>
      </c>
    </row>
    <row r="53" spans="1:5">
      <c r="A53" s="181" t="s">
        <v>301</v>
      </c>
      <c r="B53" s="181" t="s">
        <v>352</v>
      </c>
      <c r="C53" s="158">
        <f t="shared" si="0"/>
        <v>571.52</v>
      </c>
      <c r="D53" s="292">
        <f t="shared" si="1"/>
        <v>867.52</v>
      </c>
      <c r="E53" s="157">
        <f t="shared" si="2"/>
        <v>296</v>
      </c>
    </row>
    <row r="54" spans="1:5">
      <c r="A54" s="181" t="s">
        <v>301</v>
      </c>
      <c r="B54" s="181" t="s">
        <v>353</v>
      </c>
      <c r="C54" s="158">
        <f t="shared" si="0"/>
        <v>571.52</v>
      </c>
      <c r="D54" s="292">
        <f t="shared" si="1"/>
        <v>867.52</v>
      </c>
      <c r="E54" s="157">
        <f t="shared" si="2"/>
        <v>296</v>
      </c>
    </row>
    <row r="55" spans="1:5">
      <c r="A55" s="181" t="s">
        <v>301</v>
      </c>
      <c r="B55" s="181" t="s">
        <v>354</v>
      </c>
      <c r="C55" s="158">
        <f t="shared" si="0"/>
        <v>571.52</v>
      </c>
      <c r="D55" s="292">
        <f t="shared" si="1"/>
        <v>867.52</v>
      </c>
      <c r="E55" s="157">
        <f t="shared" si="2"/>
        <v>296</v>
      </c>
    </row>
    <row r="56" spans="1:5">
      <c r="A56" s="181" t="s">
        <v>301</v>
      </c>
      <c r="B56" s="181" t="s">
        <v>355</v>
      </c>
      <c r="C56" s="158">
        <f t="shared" si="0"/>
        <v>571.52</v>
      </c>
      <c r="D56" s="292">
        <f t="shared" si="1"/>
        <v>867.52</v>
      </c>
      <c r="E56" s="157">
        <f t="shared" si="2"/>
        <v>296</v>
      </c>
    </row>
    <row r="57" spans="1:5">
      <c r="A57" s="181" t="s">
        <v>301</v>
      </c>
      <c r="B57" s="181" t="s">
        <v>356</v>
      </c>
      <c r="C57" s="158">
        <f t="shared" si="0"/>
        <v>571.52</v>
      </c>
      <c r="D57" s="292">
        <f t="shared" si="1"/>
        <v>867.52</v>
      </c>
      <c r="E57" s="157">
        <f t="shared" si="2"/>
        <v>296</v>
      </c>
    </row>
    <row r="58" spans="1:5">
      <c r="A58" s="181" t="s">
        <v>301</v>
      </c>
      <c r="B58" s="181" t="s">
        <v>357</v>
      </c>
      <c r="C58" s="158">
        <f t="shared" si="0"/>
        <v>571.52</v>
      </c>
      <c r="D58" s="292">
        <f t="shared" si="1"/>
        <v>867.52</v>
      </c>
      <c r="E58" s="157">
        <f t="shared" si="2"/>
        <v>296</v>
      </c>
    </row>
    <row r="59" spans="1:5">
      <c r="A59" s="181" t="s">
        <v>301</v>
      </c>
      <c r="B59" s="181" t="s">
        <v>358</v>
      </c>
      <c r="C59" s="158">
        <f t="shared" si="0"/>
        <v>571.52</v>
      </c>
      <c r="D59" s="292">
        <f t="shared" si="1"/>
        <v>867.52</v>
      </c>
      <c r="E59" s="157">
        <f t="shared" si="2"/>
        <v>296</v>
      </c>
    </row>
    <row r="60" spans="1:5">
      <c r="A60" s="181" t="s">
        <v>301</v>
      </c>
      <c r="B60" s="181" t="s">
        <v>359</v>
      </c>
      <c r="C60" s="158">
        <f t="shared" si="0"/>
        <v>571.52</v>
      </c>
      <c r="D60" s="292">
        <f t="shared" si="1"/>
        <v>867.52</v>
      </c>
      <c r="E60" s="157">
        <f t="shared" si="2"/>
        <v>296</v>
      </c>
    </row>
    <row r="61" spans="1:5">
      <c r="A61" s="181" t="s">
        <v>301</v>
      </c>
      <c r="B61" s="181" t="s">
        <v>360</v>
      </c>
      <c r="C61" s="158">
        <f t="shared" si="0"/>
        <v>571.52</v>
      </c>
      <c r="D61" s="292">
        <f t="shared" si="1"/>
        <v>867.52</v>
      </c>
      <c r="E61" s="157">
        <f t="shared" si="2"/>
        <v>296</v>
      </c>
    </row>
    <row r="62" spans="1:5">
      <c r="A62" s="181" t="s">
        <v>301</v>
      </c>
      <c r="B62" s="181" t="s">
        <v>361</v>
      </c>
      <c r="C62" s="158">
        <f t="shared" si="0"/>
        <v>571.52</v>
      </c>
      <c r="D62" s="292">
        <f t="shared" si="1"/>
        <v>867.52</v>
      </c>
      <c r="E62" s="157">
        <f t="shared" si="2"/>
        <v>296</v>
      </c>
    </row>
    <row r="63" spans="1:5">
      <c r="A63" s="181" t="s">
        <v>301</v>
      </c>
      <c r="B63" s="181" t="s">
        <v>356</v>
      </c>
      <c r="C63" s="158">
        <f t="shared" si="0"/>
        <v>571.52</v>
      </c>
      <c r="D63" s="292">
        <f t="shared" si="1"/>
        <v>867.52</v>
      </c>
      <c r="E63" s="157">
        <f t="shared" si="2"/>
        <v>296</v>
      </c>
    </row>
    <row r="64" spans="1:5">
      <c r="A64" s="181" t="s">
        <v>301</v>
      </c>
      <c r="B64" s="181" t="s">
        <v>362</v>
      </c>
      <c r="C64" s="158">
        <f t="shared" si="0"/>
        <v>571.52</v>
      </c>
      <c r="D64" s="292">
        <f t="shared" si="1"/>
        <v>867.52</v>
      </c>
      <c r="E64" s="157">
        <f t="shared" si="2"/>
        <v>296</v>
      </c>
    </row>
    <row r="65" spans="1:5">
      <c r="A65" s="181" t="s">
        <v>301</v>
      </c>
      <c r="B65" s="181" t="s">
        <v>363</v>
      </c>
      <c r="C65" s="158">
        <f t="shared" si="0"/>
        <v>571.52</v>
      </c>
      <c r="D65" s="292">
        <f t="shared" si="1"/>
        <v>867.52</v>
      </c>
      <c r="E65" s="157">
        <f t="shared" si="2"/>
        <v>296</v>
      </c>
    </row>
    <row r="66" spans="1:5">
      <c r="A66" s="181" t="s">
        <v>301</v>
      </c>
      <c r="B66" s="181" t="s">
        <v>364</v>
      </c>
      <c r="C66" s="158">
        <f t="shared" si="0"/>
        <v>571.52</v>
      </c>
      <c r="D66" s="292">
        <f t="shared" si="1"/>
        <v>867.52</v>
      </c>
      <c r="E66" s="157">
        <f t="shared" si="2"/>
        <v>296</v>
      </c>
    </row>
    <row r="67" spans="1:5">
      <c r="A67" s="181" t="s">
        <v>301</v>
      </c>
      <c r="B67" s="181" t="s">
        <v>365</v>
      </c>
      <c r="C67" s="158">
        <f t="shared" si="0"/>
        <v>571.52</v>
      </c>
      <c r="D67" s="292">
        <f t="shared" si="1"/>
        <v>867.52</v>
      </c>
      <c r="E67" s="157">
        <f t="shared" si="2"/>
        <v>296</v>
      </c>
    </row>
    <row r="68" spans="1:5">
      <c r="A68" s="181" t="s">
        <v>301</v>
      </c>
      <c r="B68" s="181" t="s">
        <v>366</v>
      </c>
      <c r="C68" s="158">
        <f t="shared" si="0"/>
        <v>571.52</v>
      </c>
      <c r="D68" s="292">
        <f t="shared" si="1"/>
        <v>867.52</v>
      </c>
      <c r="E68" s="157">
        <f t="shared" si="2"/>
        <v>296</v>
      </c>
    </row>
    <row r="69" spans="1:5">
      <c r="A69" s="181" t="s">
        <v>301</v>
      </c>
      <c r="B69" s="181" t="s">
        <v>367</v>
      </c>
      <c r="C69" s="158">
        <f t="shared" si="0"/>
        <v>571.52</v>
      </c>
      <c r="D69" s="292">
        <f t="shared" si="1"/>
        <v>867.52</v>
      </c>
      <c r="E69" s="157">
        <f t="shared" si="2"/>
        <v>296</v>
      </c>
    </row>
    <row r="70" spans="1:5">
      <c r="A70" s="181" t="s">
        <v>301</v>
      </c>
      <c r="B70" s="181" t="s">
        <v>368</v>
      </c>
      <c r="C70" s="158">
        <f t="shared" si="0"/>
        <v>571.52</v>
      </c>
      <c r="D70" s="292">
        <f t="shared" si="1"/>
        <v>867.52</v>
      </c>
      <c r="E70" s="157">
        <f t="shared" si="2"/>
        <v>296</v>
      </c>
    </row>
    <row r="71" spans="1:5">
      <c r="A71" s="181" t="s">
        <v>301</v>
      </c>
      <c r="B71" s="181" t="s">
        <v>368</v>
      </c>
      <c r="C71" s="158">
        <f t="shared" si="0"/>
        <v>571.52</v>
      </c>
      <c r="D71" s="292">
        <f t="shared" si="1"/>
        <v>867.52</v>
      </c>
      <c r="E71" s="157">
        <f t="shared" si="2"/>
        <v>296</v>
      </c>
    </row>
    <row r="72" spans="1:5">
      <c r="A72" s="181" t="s">
        <v>301</v>
      </c>
      <c r="B72" s="181" t="s">
        <v>369</v>
      </c>
      <c r="C72" s="158">
        <f t="shared" si="0"/>
        <v>571.52</v>
      </c>
      <c r="D72" s="292">
        <f t="shared" si="1"/>
        <v>867.52</v>
      </c>
      <c r="E72" s="157">
        <f t="shared" si="2"/>
        <v>296</v>
      </c>
    </row>
    <row r="73" spans="1:5">
      <c r="A73" s="181" t="s">
        <v>301</v>
      </c>
      <c r="B73" s="181" t="s">
        <v>370</v>
      </c>
      <c r="C73" s="158">
        <f t="shared" si="0"/>
        <v>571.52</v>
      </c>
      <c r="D73" s="292">
        <f t="shared" si="1"/>
        <v>867.52</v>
      </c>
      <c r="E73" s="157">
        <f t="shared" si="2"/>
        <v>296</v>
      </c>
    </row>
    <row r="74" spans="1:5">
      <c r="A74" s="181" t="s">
        <v>301</v>
      </c>
      <c r="B74" s="181" t="s">
        <v>371</v>
      </c>
      <c r="C74" s="158">
        <f t="shared" ref="C74:C129" si="3">$F$3*4</f>
        <v>571.52</v>
      </c>
      <c r="D74" s="292">
        <f t="shared" ref="D74:D129" si="4">$F$4*4</f>
        <v>867.52</v>
      </c>
      <c r="E74" s="157">
        <f t="shared" ref="E74:E129" si="5">D74-C74</f>
        <v>296</v>
      </c>
    </row>
    <row r="75" spans="1:5">
      <c r="A75" s="181" t="s">
        <v>301</v>
      </c>
      <c r="B75" s="181" t="s">
        <v>372</v>
      </c>
      <c r="C75" s="158">
        <f t="shared" si="3"/>
        <v>571.52</v>
      </c>
      <c r="D75" s="292">
        <f t="shared" si="4"/>
        <v>867.52</v>
      </c>
      <c r="E75" s="157">
        <f t="shared" si="5"/>
        <v>296</v>
      </c>
    </row>
    <row r="76" spans="1:5">
      <c r="A76" s="181" t="s">
        <v>301</v>
      </c>
      <c r="B76" s="181" t="s">
        <v>373</v>
      </c>
      <c r="C76" s="158">
        <f t="shared" si="3"/>
        <v>571.52</v>
      </c>
      <c r="D76" s="292">
        <f t="shared" si="4"/>
        <v>867.52</v>
      </c>
      <c r="E76" s="157">
        <f t="shared" si="5"/>
        <v>296</v>
      </c>
    </row>
    <row r="77" spans="1:5">
      <c r="A77" s="181" t="s">
        <v>301</v>
      </c>
      <c r="B77" s="181" t="s">
        <v>374</v>
      </c>
      <c r="C77" s="158">
        <f t="shared" si="3"/>
        <v>571.52</v>
      </c>
      <c r="D77" s="292">
        <f t="shared" si="4"/>
        <v>867.52</v>
      </c>
      <c r="E77" s="157">
        <f t="shared" si="5"/>
        <v>296</v>
      </c>
    </row>
    <row r="78" spans="1:5">
      <c r="A78" s="181" t="s">
        <v>301</v>
      </c>
      <c r="B78" s="181" t="s">
        <v>375</v>
      </c>
      <c r="C78" s="158">
        <f t="shared" si="3"/>
        <v>571.52</v>
      </c>
      <c r="D78" s="292">
        <f t="shared" si="4"/>
        <v>867.52</v>
      </c>
      <c r="E78" s="157">
        <f t="shared" si="5"/>
        <v>296</v>
      </c>
    </row>
    <row r="79" spans="1:5">
      <c r="A79" s="181" t="s">
        <v>301</v>
      </c>
      <c r="B79" s="181" t="s">
        <v>376</v>
      </c>
      <c r="C79" s="158">
        <f t="shared" si="3"/>
        <v>571.52</v>
      </c>
      <c r="D79" s="292">
        <f t="shared" si="4"/>
        <v>867.52</v>
      </c>
      <c r="E79" s="157">
        <f t="shared" si="5"/>
        <v>296</v>
      </c>
    </row>
    <row r="80" spans="1:5">
      <c r="A80" s="181" t="s">
        <v>303</v>
      </c>
      <c r="B80" s="181" t="s">
        <v>377</v>
      </c>
      <c r="C80" s="158">
        <f t="shared" si="3"/>
        <v>571.52</v>
      </c>
      <c r="D80" s="292">
        <f t="shared" si="4"/>
        <v>867.52</v>
      </c>
      <c r="E80" s="157">
        <f t="shared" si="5"/>
        <v>296</v>
      </c>
    </row>
    <row r="81" spans="1:5">
      <c r="A81" s="181" t="s">
        <v>303</v>
      </c>
      <c r="B81" s="181" t="s">
        <v>378</v>
      </c>
      <c r="C81" s="158">
        <f t="shared" si="3"/>
        <v>571.52</v>
      </c>
      <c r="D81" s="292">
        <f t="shared" si="4"/>
        <v>867.52</v>
      </c>
      <c r="E81" s="157">
        <f t="shared" si="5"/>
        <v>296</v>
      </c>
    </row>
    <row r="82" spans="1:5">
      <c r="A82" s="181" t="s">
        <v>303</v>
      </c>
      <c r="B82" s="181" t="s">
        <v>378</v>
      </c>
      <c r="C82" s="158">
        <f t="shared" si="3"/>
        <v>571.52</v>
      </c>
      <c r="D82" s="292">
        <f t="shared" si="4"/>
        <v>867.52</v>
      </c>
      <c r="E82" s="157">
        <f t="shared" si="5"/>
        <v>296</v>
      </c>
    </row>
    <row r="83" spans="1:5">
      <c r="A83" s="181" t="s">
        <v>303</v>
      </c>
      <c r="B83" s="181" t="s">
        <v>379</v>
      </c>
      <c r="C83" s="158">
        <f t="shared" si="3"/>
        <v>571.52</v>
      </c>
      <c r="D83" s="292">
        <f t="shared" si="4"/>
        <v>867.52</v>
      </c>
      <c r="E83" s="157">
        <f t="shared" si="5"/>
        <v>296</v>
      </c>
    </row>
    <row r="84" spans="1:5">
      <c r="A84" s="181" t="s">
        <v>303</v>
      </c>
      <c r="B84" s="181" t="s">
        <v>380</v>
      </c>
      <c r="C84" s="158">
        <f t="shared" si="3"/>
        <v>571.52</v>
      </c>
      <c r="D84" s="292">
        <f t="shared" si="4"/>
        <v>867.52</v>
      </c>
      <c r="E84" s="157">
        <f t="shared" si="5"/>
        <v>296</v>
      </c>
    </row>
    <row r="85" spans="1:5">
      <c r="A85" s="181" t="s">
        <v>303</v>
      </c>
      <c r="B85" s="181" t="s">
        <v>381</v>
      </c>
      <c r="C85" s="158">
        <f t="shared" si="3"/>
        <v>571.52</v>
      </c>
      <c r="D85" s="292">
        <f t="shared" si="4"/>
        <v>867.52</v>
      </c>
      <c r="E85" s="157">
        <f t="shared" si="5"/>
        <v>296</v>
      </c>
    </row>
    <row r="86" spans="1:5">
      <c r="A86" s="181" t="s">
        <v>303</v>
      </c>
      <c r="B86" s="181" t="s">
        <v>382</v>
      </c>
      <c r="C86" s="158">
        <f t="shared" si="3"/>
        <v>571.52</v>
      </c>
      <c r="D86" s="292">
        <f t="shared" si="4"/>
        <v>867.52</v>
      </c>
      <c r="E86" s="157">
        <f t="shared" si="5"/>
        <v>296</v>
      </c>
    </row>
    <row r="87" spans="1:5">
      <c r="A87" s="181" t="s">
        <v>303</v>
      </c>
      <c r="B87" s="181" t="s">
        <v>383</v>
      </c>
      <c r="C87" s="158">
        <f t="shared" si="3"/>
        <v>571.52</v>
      </c>
      <c r="D87" s="292">
        <f t="shared" si="4"/>
        <v>867.52</v>
      </c>
      <c r="E87" s="157">
        <f t="shared" si="5"/>
        <v>296</v>
      </c>
    </row>
    <row r="88" spans="1:5">
      <c r="A88" s="181" t="s">
        <v>303</v>
      </c>
      <c r="B88" s="181" t="s">
        <v>384</v>
      </c>
      <c r="C88" s="158">
        <f t="shared" si="3"/>
        <v>571.52</v>
      </c>
      <c r="D88" s="292">
        <f t="shared" si="4"/>
        <v>867.52</v>
      </c>
      <c r="E88" s="157">
        <f t="shared" si="5"/>
        <v>296</v>
      </c>
    </row>
    <row r="89" spans="1:5">
      <c r="A89" s="181" t="s">
        <v>303</v>
      </c>
      <c r="B89" s="181" t="s">
        <v>385</v>
      </c>
      <c r="C89" s="158">
        <f t="shared" si="3"/>
        <v>571.52</v>
      </c>
      <c r="D89" s="292">
        <f t="shared" si="4"/>
        <v>867.52</v>
      </c>
      <c r="E89" s="157">
        <f t="shared" si="5"/>
        <v>296</v>
      </c>
    </row>
    <row r="90" spans="1:5">
      <c r="A90" s="181" t="s">
        <v>303</v>
      </c>
      <c r="B90" s="181" t="s">
        <v>386</v>
      </c>
      <c r="C90" s="158">
        <f t="shared" si="3"/>
        <v>571.52</v>
      </c>
      <c r="D90" s="292">
        <f t="shared" si="4"/>
        <v>867.52</v>
      </c>
      <c r="E90" s="157">
        <f t="shared" si="5"/>
        <v>296</v>
      </c>
    </row>
    <row r="91" spans="1:5">
      <c r="A91" s="181" t="s">
        <v>303</v>
      </c>
      <c r="B91" s="181" t="s">
        <v>387</v>
      </c>
      <c r="C91" s="158">
        <f t="shared" si="3"/>
        <v>571.52</v>
      </c>
      <c r="D91" s="292">
        <f t="shared" si="4"/>
        <v>867.52</v>
      </c>
      <c r="E91" s="157">
        <f t="shared" si="5"/>
        <v>296</v>
      </c>
    </row>
    <row r="92" spans="1:5">
      <c r="A92" s="181" t="s">
        <v>303</v>
      </c>
      <c r="B92" s="181" t="s">
        <v>388</v>
      </c>
      <c r="C92" s="158">
        <f t="shared" si="3"/>
        <v>571.52</v>
      </c>
      <c r="D92" s="292">
        <f t="shared" si="4"/>
        <v>867.52</v>
      </c>
      <c r="E92" s="157">
        <f t="shared" si="5"/>
        <v>296</v>
      </c>
    </row>
    <row r="93" spans="1:5">
      <c r="A93" s="181" t="s">
        <v>303</v>
      </c>
      <c r="B93" s="181" t="s">
        <v>389</v>
      </c>
      <c r="C93" s="158">
        <f t="shared" si="3"/>
        <v>571.52</v>
      </c>
      <c r="D93" s="292">
        <f t="shared" si="4"/>
        <v>867.52</v>
      </c>
      <c r="E93" s="157">
        <f t="shared" si="5"/>
        <v>296</v>
      </c>
    </row>
    <row r="94" spans="1:5">
      <c r="A94" s="181" t="s">
        <v>303</v>
      </c>
      <c r="B94" s="181" t="s">
        <v>390</v>
      </c>
      <c r="C94" s="158">
        <f t="shared" si="3"/>
        <v>571.52</v>
      </c>
      <c r="D94" s="292">
        <f t="shared" si="4"/>
        <v>867.52</v>
      </c>
      <c r="E94" s="157">
        <f t="shared" si="5"/>
        <v>296</v>
      </c>
    </row>
    <row r="95" spans="1:5">
      <c r="A95" s="181" t="s">
        <v>303</v>
      </c>
      <c r="B95" s="181" t="s">
        <v>391</v>
      </c>
      <c r="C95" s="158">
        <f t="shared" si="3"/>
        <v>571.52</v>
      </c>
      <c r="D95" s="292">
        <f t="shared" si="4"/>
        <v>867.52</v>
      </c>
      <c r="E95" s="157">
        <f t="shared" si="5"/>
        <v>296</v>
      </c>
    </row>
    <row r="96" spans="1:5">
      <c r="A96" s="181" t="s">
        <v>303</v>
      </c>
      <c r="B96" s="181" t="s">
        <v>392</v>
      </c>
      <c r="C96" s="158">
        <f t="shared" si="3"/>
        <v>571.52</v>
      </c>
      <c r="D96" s="292">
        <f t="shared" si="4"/>
        <v>867.52</v>
      </c>
      <c r="E96" s="157">
        <f t="shared" si="5"/>
        <v>296</v>
      </c>
    </row>
    <row r="97" spans="1:5">
      <c r="A97" s="181" t="s">
        <v>303</v>
      </c>
      <c r="B97" s="181" t="s">
        <v>393</v>
      </c>
      <c r="C97" s="158">
        <f t="shared" si="3"/>
        <v>571.52</v>
      </c>
      <c r="D97" s="292">
        <f t="shared" si="4"/>
        <v>867.52</v>
      </c>
      <c r="E97" s="157">
        <f t="shared" si="5"/>
        <v>296</v>
      </c>
    </row>
    <row r="98" spans="1:5">
      <c r="A98" s="181" t="s">
        <v>303</v>
      </c>
      <c r="B98" s="181" t="s">
        <v>394</v>
      </c>
      <c r="C98" s="158">
        <f t="shared" si="3"/>
        <v>571.52</v>
      </c>
      <c r="D98" s="292">
        <f t="shared" si="4"/>
        <v>867.52</v>
      </c>
      <c r="E98" s="157">
        <f t="shared" si="5"/>
        <v>296</v>
      </c>
    </row>
    <row r="99" spans="1:5">
      <c r="A99" s="181" t="s">
        <v>303</v>
      </c>
      <c r="B99" s="181" t="s">
        <v>395</v>
      </c>
      <c r="C99" s="158">
        <f t="shared" si="3"/>
        <v>571.52</v>
      </c>
      <c r="D99" s="292">
        <f t="shared" si="4"/>
        <v>867.52</v>
      </c>
      <c r="E99" s="157">
        <f t="shared" si="5"/>
        <v>296</v>
      </c>
    </row>
    <row r="100" spans="1:5">
      <c r="A100" s="181" t="s">
        <v>303</v>
      </c>
      <c r="B100" s="181" t="s">
        <v>396</v>
      </c>
      <c r="C100" s="158">
        <f t="shared" si="3"/>
        <v>571.52</v>
      </c>
      <c r="D100" s="292">
        <f t="shared" si="4"/>
        <v>867.52</v>
      </c>
      <c r="E100" s="157">
        <f t="shared" si="5"/>
        <v>296</v>
      </c>
    </row>
    <row r="101" spans="1:5">
      <c r="A101" s="181" t="s">
        <v>303</v>
      </c>
      <c r="B101" s="181" t="s">
        <v>397</v>
      </c>
      <c r="C101" s="158">
        <f t="shared" si="3"/>
        <v>571.52</v>
      </c>
      <c r="D101" s="292">
        <f t="shared" si="4"/>
        <v>867.52</v>
      </c>
      <c r="E101" s="157">
        <f t="shared" si="5"/>
        <v>296</v>
      </c>
    </row>
    <row r="102" spans="1:5">
      <c r="A102" s="181" t="s">
        <v>303</v>
      </c>
      <c r="B102" s="181" t="s">
        <v>398</v>
      </c>
      <c r="C102" s="158">
        <f t="shared" si="3"/>
        <v>571.52</v>
      </c>
      <c r="D102" s="292">
        <f t="shared" si="4"/>
        <v>867.52</v>
      </c>
      <c r="E102" s="157">
        <f t="shared" si="5"/>
        <v>296</v>
      </c>
    </row>
    <row r="103" spans="1:5">
      <c r="A103" s="181" t="s">
        <v>303</v>
      </c>
      <c r="B103" s="181" t="s">
        <v>399</v>
      </c>
      <c r="C103" s="158">
        <f t="shared" si="3"/>
        <v>571.52</v>
      </c>
      <c r="D103" s="292">
        <f t="shared" si="4"/>
        <v>867.52</v>
      </c>
      <c r="E103" s="157">
        <f t="shared" si="5"/>
        <v>296</v>
      </c>
    </row>
    <row r="104" spans="1:5">
      <c r="A104" s="181" t="s">
        <v>303</v>
      </c>
      <c r="B104" s="181" t="s">
        <v>400</v>
      </c>
      <c r="C104" s="158">
        <f t="shared" si="3"/>
        <v>571.52</v>
      </c>
      <c r="D104" s="292">
        <f t="shared" si="4"/>
        <v>867.52</v>
      </c>
      <c r="E104" s="157">
        <f t="shared" si="5"/>
        <v>296</v>
      </c>
    </row>
    <row r="105" spans="1:5">
      <c r="A105" s="181" t="s">
        <v>303</v>
      </c>
      <c r="B105" s="181" t="s">
        <v>401</v>
      </c>
      <c r="C105" s="158">
        <f t="shared" si="3"/>
        <v>571.52</v>
      </c>
      <c r="D105" s="292">
        <f t="shared" si="4"/>
        <v>867.52</v>
      </c>
      <c r="E105" s="157">
        <f t="shared" si="5"/>
        <v>296</v>
      </c>
    </row>
    <row r="106" spans="1:5">
      <c r="A106" s="181" t="s">
        <v>303</v>
      </c>
      <c r="B106" s="181" t="s">
        <v>402</v>
      </c>
      <c r="C106" s="158">
        <f t="shared" si="3"/>
        <v>571.52</v>
      </c>
      <c r="D106" s="292">
        <f t="shared" si="4"/>
        <v>867.52</v>
      </c>
      <c r="E106" s="157">
        <f t="shared" si="5"/>
        <v>296</v>
      </c>
    </row>
    <row r="107" spans="1:5">
      <c r="A107" s="181" t="s">
        <v>303</v>
      </c>
      <c r="B107" s="181" t="s">
        <v>403</v>
      </c>
      <c r="C107" s="158">
        <f t="shared" si="3"/>
        <v>571.52</v>
      </c>
      <c r="D107" s="292">
        <f t="shared" si="4"/>
        <v>867.52</v>
      </c>
      <c r="E107" s="157">
        <f t="shared" si="5"/>
        <v>296</v>
      </c>
    </row>
    <row r="108" spans="1:5">
      <c r="A108" s="181" t="s">
        <v>303</v>
      </c>
      <c r="B108" s="181" t="s">
        <v>404</v>
      </c>
      <c r="C108" s="158">
        <f t="shared" si="3"/>
        <v>571.52</v>
      </c>
      <c r="D108" s="292">
        <f t="shared" si="4"/>
        <v>867.52</v>
      </c>
      <c r="E108" s="157">
        <f t="shared" si="5"/>
        <v>296</v>
      </c>
    </row>
    <row r="109" spans="1:5">
      <c r="A109" s="181" t="s">
        <v>303</v>
      </c>
      <c r="B109" s="181" t="s">
        <v>405</v>
      </c>
      <c r="C109" s="158">
        <f t="shared" si="3"/>
        <v>571.52</v>
      </c>
      <c r="D109" s="292">
        <f t="shared" si="4"/>
        <v>867.52</v>
      </c>
      <c r="E109" s="157">
        <f t="shared" si="5"/>
        <v>296</v>
      </c>
    </row>
    <row r="110" spans="1:5">
      <c r="A110" s="181" t="s">
        <v>303</v>
      </c>
      <c r="B110" s="181" t="s">
        <v>406</v>
      </c>
      <c r="C110" s="158">
        <f t="shared" si="3"/>
        <v>571.52</v>
      </c>
      <c r="D110" s="292">
        <f t="shared" si="4"/>
        <v>867.52</v>
      </c>
      <c r="E110" s="157">
        <f t="shared" si="5"/>
        <v>296</v>
      </c>
    </row>
    <row r="111" spans="1:5">
      <c r="A111" s="181" t="s">
        <v>303</v>
      </c>
      <c r="B111" s="181" t="s">
        <v>407</v>
      </c>
      <c r="C111" s="158">
        <f t="shared" si="3"/>
        <v>571.52</v>
      </c>
      <c r="D111" s="292">
        <f t="shared" si="4"/>
        <v>867.52</v>
      </c>
      <c r="E111" s="157">
        <f t="shared" si="5"/>
        <v>296</v>
      </c>
    </row>
    <row r="112" spans="1:5">
      <c r="A112" s="181" t="s">
        <v>303</v>
      </c>
      <c r="B112" s="181" t="s">
        <v>385</v>
      </c>
      <c r="C112" s="158">
        <f t="shared" si="3"/>
        <v>571.52</v>
      </c>
      <c r="D112" s="292">
        <f t="shared" si="4"/>
        <v>867.52</v>
      </c>
      <c r="E112" s="157">
        <f t="shared" si="5"/>
        <v>296</v>
      </c>
    </row>
    <row r="113" spans="1:5">
      <c r="A113" s="181" t="s">
        <v>303</v>
      </c>
      <c r="B113" s="181" t="s">
        <v>408</v>
      </c>
      <c r="C113" s="158">
        <f t="shared" si="3"/>
        <v>571.52</v>
      </c>
      <c r="D113" s="292">
        <f t="shared" si="4"/>
        <v>867.52</v>
      </c>
      <c r="E113" s="157">
        <f t="shared" si="5"/>
        <v>296</v>
      </c>
    </row>
    <row r="114" spans="1:5">
      <c r="A114" s="181" t="s">
        <v>303</v>
      </c>
      <c r="B114" s="181" t="s">
        <v>409</v>
      </c>
      <c r="C114" s="158">
        <f t="shared" si="3"/>
        <v>571.52</v>
      </c>
      <c r="D114" s="292">
        <f t="shared" si="4"/>
        <v>867.52</v>
      </c>
      <c r="E114" s="157">
        <f t="shared" si="5"/>
        <v>296</v>
      </c>
    </row>
    <row r="115" spans="1:5">
      <c r="A115" s="181" t="s">
        <v>303</v>
      </c>
      <c r="B115" s="181" t="s">
        <v>410</v>
      </c>
      <c r="C115" s="158">
        <f t="shared" si="3"/>
        <v>571.52</v>
      </c>
      <c r="D115" s="292">
        <f t="shared" si="4"/>
        <v>867.52</v>
      </c>
      <c r="E115" s="157">
        <f t="shared" si="5"/>
        <v>296</v>
      </c>
    </row>
    <row r="116" spans="1:5">
      <c r="A116" s="181" t="s">
        <v>303</v>
      </c>
      <c r="B116" s="181" t="s">
        <v>411</v>
      </c>
      <c r="C116" s="158">
        <f t="shared" si="3"/>
        <v>571.52</v>
      </c>
      <c r="D116" s="292">
        <f t="shared" si="4"/>
        <v>867.52</v>
      </c>
      <c r="E116" s="157">
        <f t="shared" si="5"/>
        <v>296</v>
      </c>
    </row>
    <row r="117" spans="1:5">
      <c r="A117" s="181" t="s">
        <v>303</v>
      </c>
      <c r="B117" s="181" t="s">
        <v>412</v>
      </c>
      <c r="C117" s="158">
        <f t="shared" si="3"/>
        <v>571.52</v>
      </c>
      <c r="D117" s="292">
        <f t="shared" si="4"/>
        <v>867.52</v>
      </c>
      <c r="E117" s="157">
        <f t="shared" si="5"/>
        <v>296</v>
      </c>
    </row>
    <row r="118" spans="1:5">
      <c r="A118" s="181" t="s">
        <v>303</v>
      </c>
      <c r="B118" s="181" t="s">
        <v>413</v>
      </c>
      <c r="C118" s="158">
        <f t="shared" si="3"/>
        <v>571.52</v>
      </c>
      <c r="D118" s="292">
        <f t="shared" si="4"/>
        <v>867.52</v>
      </c>
      <c r="E118" s="157">
        <f t="shared" si="5"/>
        <v>296</v>
      </c>
    </row>
    <row r="119" spans="1:5">
      <c r="A119" s="181" t="s">
        <v>303</v>
      </c>
      <c r="B119" s="181" t="s">
        <v>414</v>
      </c>
      <c r="C119" s="158">
        <f t="shared" si="3"/>
        <v>571.52</v>
      </c>
      <c r="D119" s="292">
        <f t="shared" si="4"/>
        <v>867.52</v>
      </c>
      <c r="E119" s="157">
        <f t="shared" si="5"/>
        <v>296</v>
      </c>
    </row>
    <row r="120" spans="1:5">
      <c r="A120" s="181" t="s">
        <v>303</v>
      </c>
      <c r="B120" s="181" t="s">
        <v>415</v>
      </c>
      <c r="C120" s="158">
        <f t="shared" si="3"/>
        <v>571.52</v>
      </c>
      <c r="D120" s="292">
        <f t="shared" si="4"/>
        <v>867.52</v>
      </c>
      <c r="E120" s="157">
        <f t="shared" si="5"/>
        <v>296</v>
      </c>
    </row>
    <row r="121" spans="1:5">
      <c r="A121" s="181" t="s">
        <v>303</v>
      </c>
      <c r="B121" s="181" t="s">
        <v>416</v>
      </c>
      <c r="C121" s="158">
        <f t="shared" si="3"/>
        <v>571.52</v>
      </c>
      <c r="D121" s="292">
        <f t="shared" si="4"/>
        <v>867.52</v>
      </c>
      <c r="E121" s="157">
        <f t="shared" si="5"/>
        <v>296</v>
      </c>
    </row>
    <row r="122" spans="1:5">
      <c r="A122" s="181" t="s">
        <v>303</v>
      </c>
      <c r="B122" s="181" t="s">
        <v>417</v>
      </c>
      <c r="C122" s="158">
        <f t="shared" si="3"/>
        <v>571.52</v>
      </c>
      <c r="D122" s="292">
        <f t="shared" si="4"/>
        <v>867.52</v>
      </c>
      <c r="E122" s="157">
        <f t="shared" si="5"/>
        <v>296</v>
      </c>
    </row>
    <row r="123" spans="1:5">
      <c r="A123" s="181" t="s">
        <v>303</v>
      </c>
      <c r="B123" s="181" t="s">
        <v>418</v>
      </c>
      <c r="C123" s="158">
        <f t="shared" si="3"/>
        <v>571.52</v>
      </c>
      <c r="D123" s="292">
        <f t="shared" si="4"/>
        <v>867.52</v>
      </c>
      <c r="E123" s="157">
        <f t="shared" si="5"/>
        <v>296</v>
      </c>
    </row>
    <row r="124" spans="1:5">
      <c r="A124" s="181" t="s">
        <v>303</v>
      </c>
      <c r="B124" s="181" t="s">
        <v>419</v>
      </c>
      <c r="C124" s="158">
        <f t="shared" si="3"/>
        <v>571.52</v>
      </c>
      <c r="D124" s="292">
        <f t="shared" si="4"/>
        <v>867.52</v>
      </c>
      <c r="E124" s="157">
        <f t="shared" si="5"/>
        <v>296</v>
      </c>
    </row>
    <row r="125" spans="1:5">
      <c r="A125" s="181" t="s">
        <v>304</v>
      </c>
      <c r="B125" s="181" t="s">
        <v>420</v>
      </c>
      <c r="C125" s="158">
        <f t="shared" si="3"/>
        <v>571.52</v>
      </c>
      <c r="D125" s="292">
        <f t="shared" si="4"/>
        <v>867.52</v>
      </c>
      <c r="E125" s="157">
        <f t="shared" si="5"/>
        <v>296</v>
      </c>
    </row>
    <row r="126" spans="1:5">
      <c r="A126" s="181" t="s">
        <v>304</v>
      </c>
      <c r="B126" s="181" t="s">
        <v>421</v>
      </c>
      <c r="C126" s="158">
        <f t="shared" si="3"/>
        <v>571.52</v>
      </c>
      <c r="D126" s="292">
        <f t="shared" si="4"/>
        <v>867.52</v>
      </c>
      <c r="E126" s="157">
        <f t="shared" si="5"/>
        <v>296</v>
      </c>
    </row>
    <row r="127" spans="1:5">
      <c r="A127" s="181" t="s">
        <v>304</v>
      </c>
      <c r="B127" s="181" t="s">
        <v>422</v>
      </c>
      <c r="C127" s="158">
        <f t="shared" si="3"/>
        <v>571.52</v>
      </c>
      <c r="D127" s="292">
        <f t="shared" si="4"/>
        <v>867.52</v>
      </c>
      <c r="E127" s="157">
        <f t="shared" si="5"/>
        <v>296</v>
      </c>
    </row>
    <row r="128" spans="1:5">
      <c r="A128" s="181" t="s">
        <v>304</v>
      </c>
      <c r="B128" s="181" t="s">
        <v>423</v>
      </c>
      <c r="C128" s="158">
        <f t="shared" si="3"/>
        <v>571.52</v>
      </c>
      <c r="D128" s="292">
        <f t="shared" si="4"/>
        <v>867.52</v>
      </c>
      <c r="E128" s="157">
        <f t="shared" si="5"/>
        <v>296</v>
      </c>
    </row>
    <row r="129" spans="1:5">
      <c r="A129" s="181" t="s">
        <v>304</v>
      </c>
      <c r="B129" s="181" t="s">
        <v>424</v>
      </c>
      <c r="C129" s="158">
        <f t="shared" si="3"/>
        <v>571.52</v>
      </c>
      <c r="D129" s="292">
        <f t="shared" si="4"/>
        <v>867.52</v>
      </c>
      <c r="E129" s="157">
        <f t="shared" si="5"/>
        <v>296</v>
      </c>
    </row>
  </sheetData>
  <mergeCells count="3">
    <mergeCell ref="A2:G2"/>
    <mergeCell ref="A6:B6"/>
    <mergeCell ref="A7:B7"/>
  </mergeCells>
  <pageMargins left="0.7" right="0.7" top="0.75" bottom="0.75" header="0.3" footer="0.3"/>
  <pageSetup paperSize="9" scale="37"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A4857-021C-498F-B82B-8CF757EDE4C7}">
  <sheetPr>
    <tabColor theme="9" tint="0.79998168889431442"/>
  </sheetPr>
  <dimension ref="A1:AD31"/>
  <sheetViews>
    <sheetView view="pageBreakPreview" zoomScale="60" zoomScaleNormal="68" workbookViewId="0">
      <selection activeCell="I5" sqref="I5"/>
    </sheetView>
  </sheetViews>
  <sheetFormatPr defaultColWidth="9.140625" defaultRowHeight="12.75"/>
  <cols>
    <col min="1" max="1" width="14.85546875" style="70" customWidth="1"/>
    <col min="2" max="2" width="30.28515625" style="70" customWidth="1"/>
    <col min="3" max="3" width="16.7109375" style="70" customWidth="1"/>
    <col min="4" max="4" width="21.85546875" style="70" customWidth="1"/>
    <col min="5" max="5" width="13.5703125" style="70" customWidth="1"/>
    <col min="6" max="6" width="18.28515625" style="70" customWidth="1"/>
    <col min="7" max="7" width="16" style="70" customWidth="1"/>
    <col min="8" max="8" width="14.85546875" style="70" customWidth="1"/>
    <col min="9" max="9" width="16" style="70" bestFit="1" customWidth="1"/>
    <col min="10" max="10" width="11.5703125" style="70" customWidth="1"/>
    <col min="11" max="11" width="13.140625" style="70" customWidth="1"/>
    <col min="12" max="12" width="13" style="70" customWidth="1"/>
    <col min="13" max="13" width="11.42578125" style="70" customWidth="1"/>
    <col min="14" max="14" width="12.5703125" style="70" bestFit="1" customWidth="1"/>
    <col min="15" max="15" width="14.85546875" style="70" bestFit="1" customWidth="1"/>
    <col min="16" max="16" width="15" style="70" customWidth="1"/>
    <col min="17" max="17" width="10.5703125" style="70" customWidth="1"/>
    <col min="18" max="18" width="13.28515625" style="70" customWidth="1"/>
    <col min="19" max="19" width="10.5703125" style="70" customWidth="1"/>
    <col min="20" max="20" width="10.140625" style="70" bestFit="1" customWidth="1"/>
    <col min="21" max="21" width="12.5703125" style="70" bestFit="1" customWidth="1"/>
    <col min="22" max="22" width="14.42578125" style="70" customWidth="1"/>
    <col min="23" max="16384" width="9.140625" style="70"/>
  </cols>
  <sheetData>
    <row r="1" spans="1:30" ht="51" customHeight="1">
      <c r="N1" s="650" t="s">
        <v>632</v>
      </c>
      <c r="O1" s="650"/>
      <c r="P1" s="650"/>
      <c r="Q1" s="650"/>
    </row>
    <row r="2" spans="1:30">
      <c r="F2" s="657" t="s">
        <v>557</v>
      </c>
      <c r="G2" s="657"/>
      <c r="H2" s="657"/>
      <c r="I2" s="657"/>
    </row>
    <row r="3" spans="1:30">
      <c r="F3" s="658" t="s">
        <v>543</v>
      </c>
      <c r="G3" s="658"/>
      <c r="H3" s="658"/>
      <c r="I3" s="658"/>
    </row>
    <row r="4" spans="1:30" ht="45" customHeight="1">
      <c r="A4" s="643" t="s">
        <v>558</v>
      </c>
      <c r="B4" s="643"/>
      <c r="C4" s="643"/>
      <c r="D4" s="643"/>
      <c r="F4" s="658"/>
      <c r="G4" s="658"/>
      <c r="H4" s="658"/>
      <c r="I4" s="658"/>
    </row>
    <row r="5" spans="1:30" ht="38.25">
      <c r="A5" s="200" t="s">
        <v>544</v>
      </c>
      <c r="B5" s="200" t="s">
        <v>564</v>
      </c>
      <c r="C5" s="200" t="s">
        <v>208</v>
      </c>
      <c r="D5" s="202" t="s">
        <v>209</v>
      </c>
      <c r="E5" s="321"/>
      <c r="F5" s="71" t="s">
        <v>544</v>
      </c>
      <c r="G5" s="71" t="s">
        <v>207</v>
      </c>
      <c r="H5" s="71" t="s">
        <v>208</v>
      </c>
      <c r="I5" s="72" t="s">
        <v>209</v>
      </c>
    </row>
    <row r="6" spans="1:30">
      <c r="A6" s="73" t="s">
        <v>210</v>
      </c>
      <c r="B6" s="182">
        <f>U29</f>
        <v>0</v>
      </c>
      <c r="C6" s="182">
        <f>B6</f>
        <v>0</v>
      </c>
      <c r="D6" s="182">
        <f>B6</f>
        <v>0</v>
      </c>
      <c r="F6" s="73" t="s">
        <v>210</v>
      </c>
      <c r="G6" s="182">
        <v>9935.5</v>
      </c>
      <c r="H6" s="182">
        <v>9935.5</v>
      </c>
      <c r="I6" s="182">
        <v>9935.5</v>
      </c>
    </row>
    <row r="7" spans="1:30">
      <c r="A7" s="73" t="s">
        <v>211</v>
      </c>
      <c r="B7" s="182" t="s">
        <v>566</v>
      </c>
      <c r="C7" s="182">
        <f>V29</f>
        <v>22503</v>
      </c>
      <c r="D7" s="182">
        <f>V29</f>
        <v>22503</v>
      </c>
      <c r="F7" s="73" t="s">
        <v>211</v>
      </c>
      <c r="G7" s="182">
        <v>85635</v>
      </c>
      <c r="H7" s="182">
        <v>85635</v>
      </c>
      <c r="I7" s="182">
        <v>85635</v>
      </c>
    </row>
    <row r="8" spans="1:30">
      <c r="A8" s="70" t="s">
        <v>565</v>
      </c>
      <c r="E8" s="306"/>
      <c r="F8" s="644"/>
      <c r="G8" s="644"/>
      <c r="H8" s="644"/>
      <c r="I8" s="644"/>
    </row>
    <row r="11" spans="1:30">
      <c r="F11" s="307" t="s">
        <v>275</v>
      </c>
      <c r="Q11" s="75"/>
      <c r="R11" s="75"/>
      <c r="S11" s="75"/>
    </row>
    <row r="12" spans="1:30">
      <c r="F12" s="73" t="s">
        <v>212</v>
      </c>
      <c r="G12" s="73" t="s">
        <v>213</v>
      </c>
      <c r="H12" s="73" t="s">
        <v>276</v>
      </c>
      <c r="I12" s="73" t="s">
        <v>214</v>
      </c>
      <c r="J12" s="74"/>
      <c r="N12" s="645" t="s">
        <v>215</v>
      </c>
      <c r="O12" s="645" t="s">
        <v>216</v>
      </c>
      <c r="P12" s="645" t="s">
        <v>217</v>
      </c>
    </row>
    <row r="13" spans="1:30">
      <c r="E13" s="75" t="s">
        <v>218</v>
      </c>
      <c r="F13" s="85">
        <v>2083</v>
      </c>
      <c r="G13" s="85">
        <v>1303</v>
      </c>
      <c r="H13" s="85">
        <v>865</v>
      </c>
      <c r="I13" s="73"/>
      <c r="N13" s="646"/>
      <c r="O13" s="646"/>
      <c r="P13" s="646"/>
    </row>
    <row r="14" spans="1:30">
      <c r="E14" s="75" t="s">
        <v>219</v>
      </c>
      <c r="F14" s="76">
        <f>ROUND(F13/9600,4)</f>
        <v>0.217</v>
      </c>
      <c r="G14" s="76">
        <f t="shared" ref="G14:H14" si="0">ROUND(G13/9600,4)</f>
        <v>0.13569999999999999</v>
      </c>
      <c r="H14" s="76">
        <f t="shared" si="0"/>
        <v>9.01E-2</v>
      </c>
      <c r="I14" s="77">
        <v>0.2359</v>
      </c>
      <c r="M14" s="75" t="s">
        <v>220</v>
      </c>
      <c r="N14" s="77">
        <v>0.28120000000000001</v>
      </c>
      <c r="O14" s="77">
        <v>2.1899999999999999E-2</v>
      </c>
      <c r="P14" s="77">
        <v>3.49E-2</v>
      </c>
    </row>
    <row r="16" spans="1:30" ht="15" customHeight="1">
      <c r="A16" s="647" t="s">
        <v>2</v>
      </c>
      <c r="B16" s="647" t="s">
        <v>1</v>
      </c>
      <c r="C16" s="647" t="s">
        <v>221</v>
      </c>
      <c r="D16" s="647"/>
      <c r="E16" s="647"/>
      <c r="F16" s="647"/>
      <c r="G16" s="647"/>
      <c r="H16" s="647"/>
      <c r="I16" s="647"/>
      <c r="J16" s="647"/>
      <c r="K16" s="647"/>
      <c r="L16" s="647"/>
      <c r="M16" s="647"/>
      <c r="N16" s="647"/>
      <c r="O16" s="647"/>
      <c r="P16" s="647"/>
      <c r="Q16" s="647" t="s">
        <v>277</v>
      </c>
      <c r="R16" s="647" t="s">
        <v>222</v>
      </c>
      <c r="S16" s="647" t="s">
        <v>278</v>
      </c>
      <c r="T16" s="310"/>
      <c r="U16" s="310"/>
      <c r="V16" s="310"/>
      <c r="W16" s="310"/>
      <c r="X16" s="310"/>
      <c r="Y16" s="310"/>
      <c r="Z16" s="310"/>
      <c r="AA16" s="310"/>
      <c r="AB16" s="310"/>
      <c r="AC16" s="310"/>
      <c r="AD16" s="310"/>
    </row>
    <row r="17" spans="1:30" ht="51">
      <c r="A17" s="647"/>
      <c r="B17" s="647"/>
      <c r="C17" s="647" t="s">
        <v>223</v>
      </c>
      <c r="D17" s="647"/>
      <c r="E17" s="647"/>
      <c r="F17" s="647" t="s">
        <v>224</v>
      </c>
      <c r="G17" s="647"/>
      <c r="H17" s="647"/>
      <c r="I17" s="309" t="s">
        <v>545</v>
      </c>
      <c r="J17" s="647" t="s">
        <v>226</v>
      </c>
      <c r="K17" s="647"/>
      <c r="L17" s="647"/>
      <c r="M17" s="647" t="s">
        <v>227</v>
      </c>
      <c r="N17" s="647" t="s">
        <v>228</v>
      </c>
      <c r="O17" s="647" t="s">
        <v>229</v>
      </c>
      <c r="P17" s="647" t="s">
        <v>230</v>
      </c>
      <c r="Q17" s="647"/>
      <c r="R17" s="647"/>
      <c r="S17" s="647"/>
      <c r="T17" s="310"/>
      <c r="U17" s="310"/>
      <c r="V17" s="310"/>
      <c r="W17" s="310"/>
      <c r="X17" s="310"/>
      <c r="Y17" s="310"/>
      <c r="Z17" s="311"/>
      <c r="AA17" s="311"/>
      <c r="AB17" s="311"/>
      <c r="AC17" s="311"/>
      <c r="AD17" s="311"/>
    </row>
    <row r="18" spans="1:30" ht="38.25">
      <c r="A18" s="647"/>
      <c r="B18" s="647"/>
      <c r="C18" s="309" t="s">
        <v>231</v>
      </c>
      <c r="D18" s="309" t="s">
        <v>232</v>
      </c>
      <c r="E18" s="309" t="s">
        <v>233</v>
      </c>
      <c r="F18" s="309" t="s">
        <v>231</v>
      </c>
      <c r="G18" s="309" t="s">
        <v>232</v>
      </c>
      <c r="H18" s="309" t="s">
        <v>234</v>
      </c>
      <c r="I18" s="309" t="s">
        <v>235</v>
      </c>
      <c r="J18" s="309" t="s">
        <v>236</v>
      </c>
      <c r="K18" s="312" t="s">
        <v>237</v>
      </c>
      <c r="L18" s="309" t="s">
        <v>238</v>
      </c>
      <c r="M18" s="647"/>
      <c r="N18" s="647"/>
      <c r="O18" s="647"/>
      <c r="P18" s="647"/>
      <c r="Q18" s="647"/>
      <c r="R18" s="647"/>
      <c r="S18" s="647"/>
      <c r="T18" s="311" t="s">
        <v>129</v>
      </c>
      <c r="U18" s="311" t="s">
        <v>130</v>
      </c>
      <c r="V18" s="311" t="s">
        <v>204</v>
      </c>
      <c r="W18" s="311" t="s">
        <v>132</v>
      </c>
      <c r="X18" s="311" t="s">
        <v>205</v>
      </c>
      <c r="Y18" s="311" t="s">
        <v>134</v>
      </c>
      <c r="Z18" s="311" t="s">
        <v>135</v>
      </c>
      <c r="AA18" s="311" t="s">
        <v>206</v>
      </c>
      <c r="AB18" s="313" t="s">
        <v>279</v>
      </c>
      <c r="AC18" s="313" t="s">
        <v>280</v>
      </c>
      <c r="AD18" s="311" t="s">
        <v>136</v>
      </c>
    </row>
    <row r="19" spans="1:30">
      <c r="A19" s="78">
        <v>1</v>
      </c>
      <c r="B19" s="78">
        <v>2</v>
      </c>
      <c r="C19" s="78">
        <v>3</v>
      </c>
      <c r="D19" s="78">
        <v>4</v>
      </c>
      <c r="E19" s="78">
        <v>5</v>
      </c>
      <c r="F19" s="78">
        <v>6</v>
      </c>
      <c r="G19" s="78">
        <v>7</v>
      </c>
      <c r="H19" s="78">
        <v>8</v>
      </c>
      <c r="I19" s="78">
        <v>9</v>
      </c>
      <c r="J19" s="78" t="s">
        <v>239</v>
      </c>
      <c r="K19" s="78">
        <v>11</v>
      </c>
      <c r="L19" s="78">
        <v>12</v>
      </c>
      <c r="M19" s="78">
        <v>13</v>
      </c>
      <c r="N19" s="78">
        <v>14</v>
      </c>
      <c r="O19" s="78">
        <v>15</v>
      </c>
      <c r="P19" s="78">
        <v>16</v>
      </c>
      <c r="Q19" s="78">
        <v>17</v>
      </c>
      <c r="R19" s="78">
        <v>18</v>
      </c>
      <c r="S19" s="78">
        <v>19</v>
      </c>
      <c r="T19" s="78">
        <v>20</v>
      </c>
      <c r="U19" s="78">
        <v>21</v>
      </c>
      <c r="V19" s="78">
        <v>22</v>
      </c>
      <c r="W19" s="78">
        <v>23</v>
      </c>
      <c r="X19" s="78">
        <v>24</v>
      </c>
      <c r="Y19" s="78">
        <v>25</v>
      </c>
      <c r="Z19" s="78">
        <v>26</v>
      </c>
      <c r="AA19" s="78">
        <v>27</v>
      </c>
      <c r="AB19" s="78">
        <v>28</v>
      </c>
      <c r="AC19" s="78">
        <v>29</v>
      </c>
      <c r="AD19" s="78">
        <v>30</v>
      </c>
    </row>
    <row r="20" spans="1:30" s="159" customFormat="1">
      <c r="A20" s="328" t="s">
        <v>294</v>
      </c>
      <c r="B20" s="329" t="s">
        <v>295</v>
      </c>
      <c r="C20" s="184">
        <v>30</v>
      </c>
      <c r="D20" s="184">
        <v>30</v>
      </c>
      <c r="E20" s="185">
        <v>0</v>
      </c>
      <c r="F20" s="79">
        <f>ROUND((C20*$F$14),2)</f>
        <v>6.51</v>
      </c>
      <c r="G20" s="185">
        <f>ROUND((D20*$G$14),2)</f>
        <v>4.07</v>
      </c>
      <c r="H20" s="185">
        <f>ROUND((E20*$H$14),2)</f>
        <v>0</v>
      </c>
      <c r="I20" s="79">
        <f>ROUND(((F20+G20+H20)*$I$14),2)</f>
        <v>2.5</v>
      </c>
      <c r="J20" s="330">
        <v>1.3399999999999999</v>
      </c>
      <c r="K20" s="330">
        <v>0.73</v>
      </c>
      <c r="L20" s="330">
        <v>0.61</v>
      </c>
      <c r="M20" s="79">
        <v>1.53</v>
      </c>
      <c r="N20" s="79">
        <f>ROUND((F20+G20+H20)*$N$14,2)</f>
        <v>2.98</v>
      </c>
      <c r="O20" s="79">
        <f>ROUND((F20+G20+H20)*$O$14,2)</f>
        <v>0.23</v>
      </c>
      <c r="P20" s="79">
        <f>ROUND((F20+G20+H20)*$P$14,2)</f>
        <v>0.37</v>
      </c>
      <c r="Q20" s="331">
        <f>ROUND((F20+G20+H20+I20+J20+M20+N20+O20+P20),2)</f>
        <v>19.53</v>
      </c>
      <c r="R20" s="331">
        <v>4</v>
      </c>
      <c r="S20" s="331">
        <f>Q20-R20</f>
        <v>15.530000000000001</v>
      </c>
      <c r="T20" s="330">
        <f>F20+G20+H20</f>
        <v>10.58</v>
      </c>
      <c r="U20" s="330">
        <f t="shared" ref="U20:V22" si="1">I20</f>
        <v>2.5</v>
      </c>
      <c r="V20" s="330">
        <f t="shared" si="1"/>
        <v>1.3399999999999999</v>
      </c>
      <c r="W20" s="78"/>
      <c r="X20" s="330">
        <f t="shared" ref="X20:Y22" si="2">N20</f>
        <v>2.98</v>
      </c>
      <c r="Y20" s="330">
        <f t="shared" si="2"/>
        <v>0.23</v>
      </c>
      <c r="Z20" s="330">
        <f>M20+P20</f>
        <v>1.9</v>
      </c>
      <c r="AA20" s="78"/>
      <c r="AB20" s="330">
        <f>SUM(T20:AA20)</f>
        <v>19.529999999999998</v>
      </c>
      <c r="AC20" s="330">
        <f>R20</f>
        <v>4</v>
      </c>
      <c r="AD20" s="330">
        <f>AB20-AC20</f>
        <v>15.529999999999998</v>
      </c>
    </row>
    <row r="21" spans="1:30">
      <c r="A21" s="328" t="s">
        <v>294</v>
      </c>
      <c r="B21" s="329" t="s">
        <v>296</v>
      </c>
      <c r="C21" s="184">
        <v>50</v>
      </c>
      <c r="D21" s="184">
        <v>50</v>
      </c>
      <c r="E21" s="185">
        <v>0</v>
      </c>
      <c r="F21" s="79">
        <f>ROUND((C21*$F$14),2)</f>
        <v>10.85</v>
      </c>
      <c r="G21" s="185">
        <f>ROUND((D21*$G$14),2)</f>
        <v>6.79</v>
      </c>
      <c r="H21" s="185">
        <f>ROUND((E21*$H$14),2)</f>
        <v>0</v>
      </c>
      <c r="I21" s="79">
        <f>ROUND(((F21+G21+H21)*$I$14),2)</f>
        <v>4.16</v>
      </c>
      <c r="J21" s="330">
        <v>8.5400000000000009</v>
      </c>
      <c r="K21" s="330">
        <v>2.81</v>
      </c>
      <c r="L21" s="330">
        <v>5.73</v>
      </c>
      <c r="M21" s="79">
        <v>3.41</v>
      </c>
      <c r="N21" s="79">
        <f>ROUND((F21+G21+H21)*$N$14,2)</f>
        <v>4.96</v>
      </c>
      <c r="O21" s="79">
        <f>ROUND((F21+G21+H21)*$O$14,2)</f>
        <v>0.39</v>
      </c>
      <c r="P21" s="79">
        <f>ROUND((F21+G21+H21)*$P$14,2)</f>
        <v>0.62</v>
      </c>
      <c r="Q21" s="331">
        <f>ROUND((F21+G21+H21+I21+J21+M21+N21+O21+P21),2)</f>
        <v>39.72</v>
      </c>
      <c r="R21" s="331"/>
      <c r="S21" s="331">
        <f>Q21-R21</f>
        <v>39.72</v>
      </c>
      <c r="T21" s="330">
        <f>F21+G21+H21</f>
        <v>17.64</v>
      </c>
      <c r="U21" s="330">
        <f t="shared" si="1"/>
        <v>4.16</v>
      </c>
      <c r="V21" s="330">
        <f t="shared" si="1"/>
        <v>8.5400000000000009</v>
      </c>
      <c r="W21" s="78"/>
      <c r="X21" s="330">
        <f t="shared" si="2"/>
        <v>4.96</v>
      </c>
      <c r="Y21" s="330">
        <f t="shared" si="2"/>
        <v>0.39</v>
      </c>
      <c r="Z21" s="330">
        <f>M21+P21</f>
        <v>4.03</v>
      </c>
      <c r="AA21" s="78"/>
      <c r="AB21" s="330">
        <f>SUM(T21:AA21)</f>
        <v>39.720000000000006</v>
      </c>
      <c r="AC21" s="330">
        <f>R21</f>
        <v>0</v>
      </c>
      <c r="AD21" s="330">
        <f>AB21-AC21</f>
        <v>39.720000000000006</v>
      </c>
    </row>
    <row r="22" spans="1:30">
      <c r="A22" s="328" t="s">
        <v>294</v>
      </c>
      <c r="B22" s="329" t="s">
        <v>297</v>
      </c>
      <c r="C22" s="184">
        <v>15</v>
      </c>
      <c r="D22" s="184">
        <v>15</v>
      </c>
      <c r="E22" s="185">
        <v>0</v>
      </c>
      <c r="F22" s="79">
        <f>ROUND((C22*$F$14),2)</f>
        <v>3.26</v>
      </c>
      <c r="G22" s="185">
        <f>ROUND((D22*$G$14),2)</f>
        <v>2.04</v>
      </c>
      <c r="H22" s="185">
        <f>ROUND((E22*$H$14),2)</f>
        <v>0</v>
      </c>
      <c r="I22" s="79">
        <f>ROUND(((F22+G22+H22)*$I$14),2)</f>
        <v>1.25</v>
      </c>
      <c r="J22" s="330">
        <v>10.99</v>
      </c>
      <c r="K22" s="330">
        <v>2.4300000000000002</v>
      </c>
      <c r="L22" s="330">
        <v>8.56</v>
      </c>
      <c r="M22" s="79">
        <v>3.41</v>
      </c>
      <c r="N22" s="79">
        <f>ROUND((F22+G22+H22)*$N$14,2)</f>
        <v>1.49</v>
      </c>
      <c r="O22" s="79">
        <f>ROUND((F22+G22+H22)*$O$14,2)</f>
        <v>0.12</v>
      </c>
      <c r="P22" s="79">
        <f>ROUND((F22+G22+H22)*$P$14,2)</f>
        <v>0.18</v>
      </c>
      <c r="Q22" s="331">
        <f>ROUND((F22+G22+H22+I22+J22+M22+N22+O22+P22),2)</f>
        <v>22.74</v>
      </c>
      <c r="R22" s="331">
        <v>4</v>
      </c>
      <c r="S22" s="331">
        <f>Q22-R22</f>
        <v>18.739999999999998</v>
      </c>
      <c r="T22" s="330">
        <f>F22+G22+H22</f>
        <v>5.3</v>
      </c>
      <c r="U22" s="330">
        <f t="shared" si="1"/>
        <v>1.25</v>
      </c>
      <c r="V22" s="330">
        <f t="shared" si="1"/>
        <v>10.99</v>
      </c>
      <c r="W22" s="78"/>
      <c r="X22" s="330">
        <f t="shared" si="2"/>
        <v>1.49</v>
      </c>
      <c r="Y22" s="330">
        <f t="shared" si="2"/>
        <v>0.12</v>
      </c>
      <c r="Z22" s="330">
        <f>M22+P22</f>
        <v>3.5900000000000003</v>
      </c>
      <c r="AA22" s="78"/>
      <c r="AB22" s="330">
        <f>SUM(T22:AA22)</f>
        <v>22.74</v>
      </c>
      <c r="AC22" s="330">
        <f>R22</f>
        <v>4</v>
      </c>
      <c r="AD22" s="330">
        <f>AB22-AC22</f>
        <v>18.739999999999998</v>
      </c>
    </row>
    <row r="24" spans="1:30">
      <c r="A24" s="649" t="s">
        <v>2</v>
      </c>
      <c r="B24" s="649" t="s">
        <v>244</v>
      </c>
      <c r="C24" s="649" t="s">
        <v>266</v>
      </c>
      <c r="D24" s="649" t="s">
        <v>267</v>
      </c>
      <c r="E24" s="649" t="s">
        <v>268</v>
      </c>
      <c r="F24" s="649" t="s">
        <v>269</v>
      </c>
      <c r="G24" s="649" t="s">
        <v>270</v>
      </c>
      <c r="H24" s="651" t="s">
        <v>248</v>
      </c>
      <c r="I24" s="652"/>
      <c r="J24" s="652"/>
      <c r="K24" s="653"/>
      <c r="L24" s="648" t="s">
        <v>271</v>
      </c>
      <c r="M24" s="654" t="s">
        <v>250</v>
      </c>
      <c r="N24" s="655"/>
      <c r="O24" s="656"/>
      <c r="P24" s="654" t="s">
        <v>251</v>
      </c>
      <c r="Q24" s="655"/>
      <c r="R24" s="656"/>
      <c r="S24" s="648" t="s">
        <v>252</v>
      </c>
      <c r="T24" s="659" t="s">
        <v>125</v>
      </c>
      <c r="U24" s="661" t="s">
        <v>253</v>
      </c>
      <c r="V24" s="661" t="s">
        <v>254</v>
      </c>
      <c r="W24" s="661" t="s">
        <v>255</v>
      </c>
      <c r="X24" s="661" t="s">
        <v>256</v>
      </c>
    </row>
    <row r="25" spans="1:30" ht="38.25">
      <c r="A25" s="649"/>
      <c r="B25" s="649"/>
      <c r="C25" s="649"/>
      <c r="D25" s="649"/>
      <c r="E25" s="649"/>
      <c r="F25" s="649"/>
      <c r="G25" s="649"/>
      <c r="H25" s="190" t="s">
        <v>257</v>
      </c>
      <c r="I25" s="189" t="s">
        <v>559</v>
      </c>
      <c r="J25" s="189" t="s">
        <v>259</v>
      </c>
      <c r="K25" s="189" t="s">
        <v>3</v>
      </c>
      <c r="L25" s="648"/>
      <c r="M25" s="189" t="s">
        <v>260</v>
      </c>
      <c r="N25" s="189" t="s">
        <v>261</v>
      </c>
      <c r="O25" s="189" t="s">
        <v>262</v>
      </c>
      <c r="P25" s="189" t="s">
        <v>260</v>
      </c>
      <c r="Q25" s="189" t="s">
        <v>261</v>
      </c>
      <c r="R25" s="189" t="s">
        <v>262</v>
      </c>
      <c r="S25" s="648"/>
      <c r="T25" s="660"/>
      <c r="U25" s="661"/>
      <c r="V25" s="661"/>
      <c r="W25" s="661"/>
      <c r="X25" s="661"/>
    </row>
    <row r="26" spans="1:30">
      <c r="A26" s="191" t="s">
        <v>294</v>
      </c>
      <c r="B26" s="183" t="s">
        <v>295</v>
      </c>
      <c r="C26" s="295" t="s">
        <v>263</v>
      </c>
      <c r="D26" s="187">
        <v>0</v>
      </c>
      <c r="E26" s="187">
        <f>S20</f>
        <v>15.530000000000001</v>
      </c>
      <c r="F26" s="296">
        <v>4</v>
      </c>
      <c r="G26" s="187">
        <f>E26-D26</f>
        <v>15.530000000000001</v>
      </c>
      <c r="H26" s="193">
        <v>0</v>
      </c>
      <c r="I26" s="192">
        <v>100</v>
      </c>
      <c r="J26" s="193">
        <v>0</v>
      </c>
      <c r="K26" s="193">
        <f>H26+J26+I26</f>
        <v>100</v>
      </c>
      <c r="L26" s="194">
        <f>G26*K26</f>
        <v>1553</v>
      </c>
      <c r="M26" s="195" t="s">
        <v>272</v>
      </c>
      <c r="N26" s="195" t="s">
        <v>264</v>
      </c>
      <c r="O26" s="195" t="s">
        <v>264</v>
      </c>
      <c r="P26" s="195" t="s">
        <v>264</v>
      </c>
      <c r="Q26" s="195" t="s">
        <v>264</v>
      </c>
      <c r="R26" s="195" t="s">
        <v>264</v>
      </c>
      <c r="S26" s="196" t="s">
        <v>264</v>
      </c>
      <c r="T26" s="197"/>
      <c r="U26" s="308">
        <f>G26*J26</f>
        <v>0</v>
      </c>
      <c r="V26" s="308">
        <f>G26*I26</f>
        <v>1553</v>
      </c>
      <c r="W26" s="186">
        <v>0</v>
      </c>
      <c r="X26" s="186">
        <v>0</v>
      </c>
    </row>
    <row r="27" spans="1:30">
      <c r="A27" s="187" t="s">
        <v>294</v>
      </c>
      <c r="B27" s="188" t="s">
        <v>296</v>
      </c>
      <c r="C27" s="295" t="s">
        <v>263</v>
      </c>
      <c r="D27" s="187">
        <v>0</v>
      </c>
      <c r="E27" s="187">
        <f>S21</f>
        <v>39.72</v>
      </c>
      <c r="F27" s="296">
        <v>4</v>
      </c>
      <c r="G27" s="187">
        <f t="shared" ref="G27:G28" si="3">E27-D27</f>
        <v>39.72</v>
      </c>
      <c r="H27" s="193">
        <v>0</v>
      </c>
      <c r="I27" s="192">
        <v>150</v>
      </c>
      <c r="J27" s="193">
        <v>0</v>
      </c>
      <c r="K27" s="193">
        <f t="shared" ref="K27:K28" si="4">H27+J27+I27</f>
        <v>150</v>
      </c>
      <c r="L27" s="194">
        <f t="shared" ref="L27:L28" si="5">G27*K27</f>
        <v>5958</v>
      </c>
      <c r="M27" s="195" t="s">
        <v>272</v>
      </c>
      <c r="N27" s="195" t="s">
        <v>264</v>
      </c>
      <c r="O27" s="195" t="s">
        <v>264</v>
      </c>
      <c r="P27" s="195" t="s">
        <v>264</v>
      </c>
      <c r="Q27" s="195" t="s">
        <v>264</v>
      </c>
      <c r="R27" s="195" t="s">
        <v>264</v>
      </c>
      <c r="S27" s="196" t="s">
        <v>264</v>
      </c>
      <c r="T27" s="197"/>
      <c r="U27" s="308">
        <f t="shared" ref="U27:U28" si="6">G27*J27</f>
        <v>0</v>
      </c>
      <c r="V27" s="308">
        <f t="shared" ref="V27:V28" si="7">G27*I27</f>
        <v>5958</v>
      </c>
      <c r="W27" s="186">
        <v>0</v>
      </c>
      <c r="X27" s="186">
        <v>0</v>
      </c>
    </row>
    <row r="28" spans="1:30">
      <c r="A28" s="187" t="s">
        <v>294</v>
      </c>
      <c r="B28" s="183" t="s">
        <v>297</v>
      </c>
      <c r="C28" s="295" t="s">
        <v>263</v>
      </c>
      <c r="D28" s="187">
        <v>0</v>
      </c>
      <c r="E28" s="187">
        <f>S22</f>
        <v>18.739999999999998</v>
      </c>
      <c r="F28" s="296">
        <v>4</v>
      </c>
      <c r="G28" s="187">
        <f t="shared" si="3"/>
        <v>18.739999999999998</v>
      </c>
      <c r="H28" s="198">
        <v>0</v>
      </c>
      <c r="I28" s="192">
        <v>800</v>
      </c>
      <c r="J28" s="198">
        <v>0</v>
      </c>
      <c r="K28" s="198">
        <f t="shared" si="4"/>
        <v>800</v>
      </c>
      <c r="L28" s="194">
        <f t="shared" si="5"/>
        <v>14991.999999999998</v>
      </c>
      <c r="M28" s="195" t="s">
        <v>272</v>
      </c>
      <c r="N28" s="195" t="s">
        <v>264</v>
      </c>
      <c r="O28" s="195" t="s">
        <v>264</v>
      </c>
      <c r="P28" s="195" t="s">
        <v>264</v>
      </c>
      <c r="Q28" s="195" t="s">
        <v>264</v>
      </c>
      <c r="R28" s="195" t="s">
        <v>264</v>
      </c>
      <c r="S28" s="196" t="s">
        <v>264</v>
      </c>
      <c r="T28" s="197"/>
      <c r="U28" s="308">
        <f t="shared" si="6"/>
        <v>0</v>
      </c>
      <c r="V28" s="308">
        <f t="shared" si="7"/>
        <v>14991.999999999998</v>
      </c>
      <c r="W28" s="186">
        <v>0</v>
      </c>
      <c r="X28" s="186">
        <v>0</v>
      </c>
    </row>
    <row r="29" spans="1:30">
      <c r="L29" s="194">
        <f>SUM(L26:L28)</f>
        <v>22503</v>
      </c>
      <c r="U29" s="308">
        <f>SUM(U26:U28)</f>
        <v>0</v>
      </c>
      <c r="V29" s="308">
        <f>SUM(V26:V28)</f>
        <v>22503</v>
      </c>
    </row>
    <row r="31" spans="1:30">
      <c r="A31" s="70" t="s">
        <v>560</v>
      </c>
    </row>
  </sheetData>
  <mergeCells count="39">
    <mergeCell ref="T24:T25"/>
    <mergeCell ref="U24:U25"/>
    <mergeCell ref="V24:V25"/>
    <mergeCell ref="W24:W25"/>
    <mergeCell ref="X24:X25"/>
    <mergeCell ref="N1:Q1"/>
    <mergeCell ref="G24:G25"/>
    <mergeCell ref="H24:K24"/>
    <mergeCell ref="L24:L25"/>
    <mergeCell ref="M24:O24"/>
    <mergeCell ref="P24:R24"/>
    <mergeCell ref="R16:R18"/>
    <mergeCell ref="P12:P13"/>
    <mergeCell ref="F2:I2"/>
    <mergeCell ref="F3:I4"/>
    <mergeCell ref="Q16:Q18"/>
    <mergeCell ref="S24:S25"/>
    <mergeCell ref="A24:A25"/>
    <mergeCell ref="B24:B25"/>
    <mergeCell ref="C24:C25"/>
    <mergeCell ref="D24:D25"/>
    <mergeCell ref="E24:E25"/>
    <mergeCell ref="F24:F25"/>
    <mergeCell ref="S16:S18"/>
    <mergeCell ref="C17:E17"/>
    <mergeCell ref="F17:H17"/>
    <mergeCell ref="J17:L17"/>
    <mergeCell ref="M17:M18"/>
    <mergeCell ref="N17:N18"/>
    <mergeCell ref="O17:O18"/>
    <mergeCell ref="P17:P18"/>
    <mergeCell ref="A4:D4"/>
    <mergeCell ref="F8:I8"/>
    <mergeCell ref="N12:N13"/>
    <mergeCell ref="O12:O13"/>
    <mergeCell ref="A16:A18"/>
    <mergeCell ref="B16:B18"/>
    <mergeCell ref="C16:L16"/>
    <mergeCell ref="M16:P16"/>
  </mergeCells>
  <pageMargins left="0.7" right="0.7" top="0.75" bottom="0.75" header="0.3" footer="0.3"/>
  <pageSetup paperSize="9" scale="21"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2F90B-579E-4915-860A-E26D02CE9A85}">
  <sheetPr>
    <tabColor theme="9" tint="0.79998168889431442"/>
  </sheetPr>
  <dimension ref="A1:AV50"/>
  <sheetViews>
    <sheetView view="pageBreakPreview" topLeftCell="A7" zoomScale="60" zoomScaleNormal="70" workbookViewId="0">
      <selection activeCell="Q1" sqref="Q1:T1"/>
    </sheetView>
  </sheetViews>
  <sheetFormatPr defaultColWidth="17.140625" defaultRowHeight="12.75"/>
  <cols>
    <col min="1" max="4" width="17.140625" style="105"/>
    <col min="5" max="5" width="40.140625" style="105" customWidth="1"/>
    <col min="6" max="16" width="17.140625" style="105"/>
    <col min="17" max="17" width="40.85546875" style="105" customWidth="1"/>
    <col min="18" max="16384" width="17.140625" style="105"/>
  </cols>
  <sheetData>
    <row r="1" spans="1:34" ht="33.75" customHeight="1">
      <c r="Q1" s="684" t="s">
        <v>631</v>
      </c>
      <c r="R1" s="684"/>
      <c r="S1" s="684"/>
      <c r="T1" s="684"/>
    </row>
    <row r="2" spans="1:34">
      <c r="A2" s="685" t="s">
        <v>241</v>
      </c>
      <c r="B2" s="685"/>
      <c r="C2" s="685"/>
      <c r="D2" s="685"/>
      <c r="E2" s="685"/>
      <c r="F2" s="685"/>
      <c r="G2" s="685"/>
      <c r="H2" s="685"/>
    </row>
    <row r="3" spans="1:34" ht="57" customHeight="1">
      <c r="F3" s="690" t="s">
        <v>281</v>
      </c>
      <c r="G3" s="690"/>
      <c r="H3" s="690"/>
      <c r="I3" s="691"/>
    </row>
    <row r="4" spans="1:34" ht="25.5">
      <c r="A4" s="106"/>
      <c r="B4" s="98" t="s">
        <v>207</v>
      </c>
      <c r="C4" s="99" t="s">
        <v>16</v>
      </c>
      <c r="D4" s="102"/>
      <c r="E4" s="107"/>
      <c r="F4" s="97"/>
      <c r="G4" s="98" t="s">
        <v>207</v>
      </c>
      <c r="H4" s="99" t="s">
        <v>16</v>
      </c>
      <c r="I4" s="102"/>
      <c r="J4" s="107"/>
      <c r="K4" s="97"/>
      <c r="L4" s="98" t="s">
        <v>207</v>
      </c>
      <c r="M4" s="99" t="s">
        <v>16</v>
      </c>
      <c r="N4" s="102"/>
      <c r="O4" s="107"/>
      <c r="P4" s="107"/>
      <c r="Q4" s="315" t="s">
        <v>282</v>
      </c>
      <c r="R4" s="101"/>
      <c r="S4" s="101"/>
      <c r="T4" s="102"/>
      <c r="U4" s="108"/>
      <c r="V4" s="108"/>
      <c r="W4" s="108"/>
      <c r="X4" s="107"/>
      <c r="Y4" s="107"/>
      <c r="Z4" s="107"/>
      <c r="AA4" s="107"/>
      <c r="AB4" s="107"/>
      <c r="AC4" s="107"/>
      <c r="AD4" s="107"/>
      <c r="AE4" s="107"/>
      <c r="AF4" s="107"/>
      <c r="AG4" s="107"/>
      <c r="AH4" s="107"/>
    </row>
    <row r="5" spans="1:34">
      <c r="A5" s="84" t="s">
        <v>210</v>
      </c>
      <c r="B5" s="109">
        <f>ROUND(U27,0)</f>
        <v>50800</v>
      </c>
      <c r="C5" s="109">
        <f>B5</f>
        <v>50800</v>
      </c>
      <c r="D5" s="563"/>
      <c r="E5" s="107"/>
      <c r="F5" s="84" t="s">
        <v>210</v>
      </c>
      <c r="G5" s="83">
        <v>50347</v>
      </c>
      <c r="H5" s="83">
        <v>50347</v>
      </c>
      <c r="I5" s="103"/>
      <c r="J5" s="107"/>
      <c r="K5" s="84" t="s">
        <v>210</v>
      </c>
      <c r="L5" s="83">
        <f t="shared" ref="L5:M6" si="0">B5-G5</f>
        <v>453</v>
      </c>
      <c r="M5" s="83">
        <f t="shared" si="0"/>
        <v>453</v>
      </c>
      <c r="N5" s="103"/>
      <c r="O5" s="107"/>
      <c r="P5" s="107"/>
      <c r="Q5" s="160">
        <f>B7-G7</f>
        <v>629</v>
      </c>
      <c r="R5" s="103"/>
      <c r="S5" s="103"/>
      <c r="T5" s="103"/>
      <c r="U5" s="108"/>
      <c r="V5" s="110"/>
      <c r="W5" s="111"/>
      <c r="X5" s="107"/>
      <c r="Y5" s="107"/>
      <c r="Z5" s="107"/>
      <c r="AA5" s="107"/>
      <c r="AB5" s="107"/>
      <c r="AC5" s="107"/>
      <c r="AD5" s="107"/>
      <c r="AE5" s="107"/>
      <c r="AF5" s="107"/>
      <c r="AG5" s="107"/>
      <c r="AH5" s="107"/>
    </row>
    <row r="6" spans="1:34" ht="67.5" customHeight="1">
      <c r="A6" s="84" t="s">
        <v>211</v>
      </c>
      <c r="B6" s="562">
        <f>ROUND(V27,0)</f>
        <v>19750</v>
      </c>
      <c r="C6" s="562">
        <f>B6</f>
        <v>19750</v>
      </c>
      <c r="D6" s="326" t="s">
        <v>573</v>
      </c>
      <c r="F6" s="84" t="s">
        <v>211</v>
      </c>
      <c r="G6" s="304">
        <v>19574</v>
      </c>
      <c r="H6" s="304">
        <v>19574</v>
      </c>
      <c r="I6" s="560"/>
      <c r="J6" s="107"/>
      <c r="K6" s="84" t="s">
        <v>211</v>
      </c>
      <c r="L6" s="304">
        <f t="shared" si="0"/>
        <v>176</v>
      </c>
      <c r="M6" s="304">
        <f t="shared" si="0"/>
        <v>176</v>
      </c>
      <c r="N6" s="560"/>
      <c r="O6" s="107"/>
      <c r="P6" s="107"/>
      <c r="Q6" s="687" t="s">
        <v>574</v>
      </c>
      <c r="R6" s="104"/>
      <c r="S6" s="104"/>
      <c r="T6" s="104"/>
      <c r="U6" s="108"/>
      <c r="V6" s="112"/>
      <c r="W6" s="112"/>
      <c r="X6" s="107"/>
      <c r="Y6" s="107"/>
      <c r="Z6" s="107"/>
      <c r="AA6" s="107"/>
      <c r="AB6" s="107"/>
      <c r="AC6" s="107"/>
      <c r="AD6" s="107"/>
      <c r="AE6" s="107"/>
      <c r="AF6" s="107"/>
      <c r="AG6" s="107"/>
      <c r="AH6" s="107"/>
    </row>
    <row r="7" spans="1:34" ht="31.5" customHeight="1">
      <c r="A7" s="113"/>
      <c r="B7" s="114">
        <f>B5+B6</f>
        <v>70550</v>
      </c>
      <c r="C7" s="114">
        <f t="shared" ref="C7" si="1">C5+C6</f>
        <v>70550</v>
      </c>
      <c r="D7" s="116"/>
      <c r="E7" s="107"/>
      <c r="F7" s="84"/>
      <c r="G7" s="561">
        <v>69921</v>
      </c>
      <c r="H7" s="561">
        <v>69921</v>
      </c>
      <c r="I7" s="564"/>
      <c r="J7" s="107"/>
      <c r="K7" s="84"/>
      <c r="L7" s="100">
        <f>L5+L6</f>
        <v>629</v>
      </c>
      <c r="M7" s="100">
        <f>M5+M6</f>
        <v>629</v>
      </c>
      <c r="N7" s="305"/>
      <c r="O7" s="107"/>
      <c r="P7" s="107"/>
      <c r="Q7" s="687"/>
      <c r="R7" s="96"/>
      <c r="S7" s="96"/>
      <c r="T7" s="96"/>
      <c r="U7" s="108"/>
      <c r="V7" s="110"/>
      <c r="W7" s="110"/>
      <c r="X7" s="107"/>
      <c r="Y7" s="107"/>
      <c r="Z7" s="107"/>
      <c r="AA7" s="107"/>
      <c r="AB7" s="107"/>
      <c r="AC7" s="107"/>
      <c r="AD7" s="107"/>
      <c r="AE7" s="107"/>
      <c r="AF7" s="107"/>
      <c r="AG7" s="107"/>
      <c r="AH7" s="107"/>
    </row>
    <row r="8" spans="1:34" ht="42" customHeight="1">
      <c r="A8" s="688" t="s">
        <v>575</v>
      </c>
      <c r="B8" s="688"/>
      <c r="C8" s="688"/>
      <c r="D8" s="689"/>
      <c r="E8" s="107"/>
      <c r="F8" s="95"/>
      <c r="G8" s="96"/>
      <c r="H8" s="96"/>
      <c r="I8" s="96"/>
      <c r="J8" s="107"/>
      <c r="K8" s="95"/>
      <c r="L8" s="305"/>
      <c r="M8" s="305"/>
      <c r="N8" s="305"/>
      <c r="O8" s="107"/>
      <c r="P8" s="107"/>
      <c r="Q8" s="95"/>
      <c r="R8" s="96"/>
      <c r="S8" s="96"/>
      <c r="T8" s="96"/>
      <c r="U8" s="108"/>
      <c r="V8" s="110"/>
      <c r="W8" s="110"/>
      <c r="X8" s="107"/>
      <c r="Y8" s="107"/>
      <c r="Z8" s="107"/>
      <c r="AA8" s="107"/>
      <c r="AB8" s="107"/>
      <c r="AC8" s="107"/>
      <c r="AD8" s="107"/>
      <c r="AE8" s="107"/>
      <c r="AF8" s="107"/>
      <c r="AG8" s="107"/>
      <c r="AH8" s="107"/>
    </row>
    <row r="9" spans="1:34" ht="15.75">
      <c r="A9" s="327"/>
      <c r="B9" s="116"/>
      <c r="C9" s="116"/>
      <c r="D9" s="116"/>
      <c r="E9" s="107"/>
      <c r="F9" s="95"/>
      <c r="G9" s="96"/>
      <c r="H9" s="96"/>
      <c r="I9" s="96"/>
      <c r="J9" s="107"/>
      <c r="K9" s="95"/>
      <c r="L9" s="305"/>
      <c r="M9" s="305"/>
      <c r="N9" s="305"/>
      <c r="O9" s="107"/>
      <c r="P9" s="107"/>
      <c r="Q9" s="95"/>
      <c r="R9" s="96"/>
      <c r="S9" s="96"/>
      <c r="T9" s="96"/>
      <c r="U9" s="108"/>
      <c r="V9" s="110"/>
      <c r="W9" s="110"/>
      <c r="X9" s="107"/>
      <c r="Y9" s="107"/>
      <c r="Z9" s="107"/>
      <c r="AA9" s="107"/>
      <c r="AB9" s="107"/>
      <c r="AC9" s="107"/>
      <c r="AD9" s="107"/>
      <c r="AE9" s="107"/>
      <c r="AF9" s="107"/>
      <c r="AG9" s="107"/>
      <c r="AH9" s="107"/>
    </row>
    <row r="10" spans="1:34">
      <c r="A10" s="115"/>
      <c r="B10" s="116"/>
      <c r="C10" s="116"/>
      <c r="D10" s="116"/>
      <c r="E10" s="107"/>
      <c r="F10" s="95"/>
      <c r="G10" s="96"/>
      <c r="H10" s="96"/>
      <c r="I10" s="96"/>
      <c r="J10" s="107"/>
      <c r="K10" s="107"/>
      <c r="L10" s="107"/>
      <c r="M10" s="107"/>
      <c r="N10" s="107"/>
      <c r="O10" s="107"/>
      <c r="P10" s="107"/>
      <c r="Q10" s="95"/>
      <c r="R10" s="96"/>
      <c r="S10" s="96"/>
      <c r="T10" s="96"/>
      <c r="U10" s="108"/>
      <c r="V10" s="110"/>
      <c r="W10" s="110"/>
      <c r="X10" s="107"/>
      <c r="Y10" s="107"/>
      <c r="Z10" s="107"/>
      <c r="AA10" s="107"/>
      <c r="AB10" s="107"/>
      <c r="AC10" s="107"/>
      <c r="AD10" s="107"/>
      <c r="AE10" s="107"/>
      <c r="AF10" s="107"/>
      <c r="AG10" s="107"/>
      <c r="AH10" s="107"/>
    </row>
    <row r="11" spans="1:34">
      <c r="A11" s="115"/>
      <c r="B11" s="115"/>
      <c r="C11" s="115"/>
      <c r="D11" s="115"/>
      <c r="E11" s="107"/>
      <c r="F11" s="665" t="s">
        <v>275</v>
      </c>
      <c r="G11" s="665"/>
      <c r="H11" s="665"/>
      <c r="I11" s="665"/>
      <c r="J11" s="665"/>
      <c r="K11" s="665"/>
      <c r="L11" s="665"/>
      <c r="M11" s="107"/>
      <c r="N11" s="107"/>
      <c r="O11" s="107"/>
      <c r="P11" s="107"/>
      <c r="Q11" s="107"/>
      <c r="R11" s="107"/>
      <c r="S11" s="107"/>
      <c r="T11" s="117"/>
      <c r="U11" s="117"/>
      <c r="V11" s="117"/>
      <c r="W11" s="107"/>
      <c r="X11" s="107"/>
      <c r="Y11" s="107"/>
      <c r="Z11" s="107"/>
      <c r="AA11" s="107"/>
      <c r="AB11" s="107"/>
      <c r="AC11" s="107"/>
      <c r="AD11" s="107"/>
      <c r="AE11" s="107"/>
      <c r="AF11" s="107"/>
      <c r="AG11" s="107"/>
      <c r="AH11" s="107"/>
    </row>
    <row r="12" spans="1:34" ht="39.75" customHeight="1">
      <c r="A12" s="118"/>
      <c r="B12" s="119">
        <f>B5+B6</f>
        <v>70550</v>
      </c>
      <c r="C12" s="119">
        <f t="shared" ref="C12" si="2">C5+C6</f>
        <v>70550</v>
      </c>
      <c r="D12" s="119"/>
      <c r="E12" s="118"/>
      <c r="F12" s="120" t="s">
        <v>212</v>
      </c>
      <c r="G12" s="120" t="s">
        <v>213</v>
      </c>
      <c r="H12" s="120" t="s">
        <v>276</v>
      </c>
      <c r="I12" s="120" t="s">
        <v>214</v>
      </c>
      <c r="J12" s="121"/>
      <c r="K12" s="118"/>
      <c r="L12" s="118"/>
      <c r="M12" s="118"/>
      <c r="N12" s="666" t="s">
        <v>215</v>
      </c>
      <c r="O12" s="666" t="s">
        <v>216</v>
      </c>
      <c r="P12" s="666" t="s">
        <v>217</v>
      </c>
      <c r="Q12" s="118"/>
      <c r="R12" s="118"/>
      <c r="S12" s="118"/>
      <c r="T12" s="118"/>
      <c r="U12" s="118"/>
      <c r="V12" s="118"/>
      <c r="W12" s="118"/>
      <c r="X12" s="118"/>
      <c r="Y12" s="118"/>
      <c r="Z12" s="118"/>
      <c r="AA12" s="118"/>
      <c r="AB12" s="118"/>
      <c r="AC12" s="118"/>
      <c r="AD12" s="118"/>
    </row>
    <row r="13" spans="1:34" ht="48" customHeight="1">
      <c r="A13" s="118"/>
      <c r="B13" s="118"/>
      <c r="C13" s="118"/>
      <c r="D13" s="118"/>
      <c r="E13" s="122" t="s">
        <v>218</v>
      </c>
      <c r="F13" s="85">
        <v>2083</v>
      </c>
      <c r="G13" s="85">
        <v>1303</v>
      </c>
      <c r="H13" s="85">
        <v>865</v>
      </c>
      <c r="I13" s="120"/>
      <c r="J13" s="118"/>
      <c r="K13" s="118"/>
      <c r="L13" s="118"/>
      <c r="M13" s="118"/>
      <c r="N13" s="667"/>
      <c r="O13" s="667"/>
      <c r="P13" s="667"/>
      <c r="Q13" s="118"/>
      <c r="R13" s="118"/>
      <c r="S13" s="118"/>
      <c r="T13" s="118"/>
      <c r="U13" s="118"/>
      <c r="V13" s="118"/>
      <c r="W13" s="118"/>
      <c r="X13" s="118"/>
      <c r="Y13" s="118"/>
      <c r="Z13" s="118"/>
      <c r="AA13" s="118"/>
      <c r="AB13" s="118"/>
      <c r="AC13" s="118"/>
      <c r="AD13" s="118"/>
    </row>
    <row r="14" spans="1:34">
      <c r="A14" s="118"/>
      <c r="B14" s="118"/>
      <c r="C14" s="118"/>
      <c r="D14" s="118"/>
      <c r="E14" s="122" t="s">
        <v>219</v>
      </c>
      <c r="F14" s="76">
        <f>ROUND(F13/9600,4)</f>
        <v>0.217</v>
      </c>
      <c r="G14" s="76">
        <f t="shared" ref="G14:H14" si="3">ROUND(G13/9600,4)</f>
        <v>0.13569999999999999</v>
      </c>
      <c r="H14" s="76">
        <f t="shared" si="3"/>
        <v>9.01E-2</v>
      </c>
      <c r="I14" s="123">
        <v>0.2359</v>
      </c>
      <c r="J14" s="118"/>
      <c r="K14" s="118"/>
      <c r="L14" s="118"/>
      <c r="M14" s="122" t="s">
        <v>220</v>
      </c>
      <c r="N14" s="123">
        <v>0.28120000000000001</v>
      </c>
      <c r="O14" s="123">
        <v>2.1899999999999999E-2</v>
      </c>
      <c r="P14" s="123">
        <v>3.49E-2</v>
      </c>
      <c r="Q14" s="118"/>
      <c r="R14" s="118"/>
      <c r="S14" s="118"/>
      <c r="T14" s="118"/>
      <c r="U14" s="118"/>
      <c r="V14" s="118"/>
      <c r="W14" s="118"/>
      <c r="X14" s="118"/>
      <c r="Y14" s="118"/>
      <c r="Z14" s="118"/>
      <c r="AA14" s="118"/>
      <c r="AB14" s="118"/>
      <c r="AC14" s="118"/>
      <c r="AD14" s="118"/>
    </row>
    <row r="15" spans="1:34">
      <c r="A15" s="118"/>
      <c r="B15" s="118"/>
      <c r="C15" s="118"/>
      <c r="D15" s="118"/>
      <c r="E15" s="118"/>
      <c r="F15" s="118"/>
      <c r="G15" s="118"/>
      <c r="H15" s="118"/>
      <c r="I15" s="118"/>
      <c r="J15" s="118"/>
      <c r="K15" s="118"/>
      <c r="L15" s="118"/>
      <c r="M15" s="118"/>
      <c r="N15" s="118"/>
      <c r="O15" s="118"/>
      <c r="P15" s="118"/>
      <c r="Q15" s="118"/>
      <c r="R15" s="118"/>
      <c r="S15" s="118"/>
      <c r="T15" s="118"/>
      <c r="U15" s="118"/>
      <c r="V15" s="118"/>
      <c r="W15" s="118"/>
      <c r="X15" s="118"/>
      <c r="Y15" s="118"/>
      <c r="Z15" s="118"/>
      <c r="AA15" s="118"/>
      <c r="AB15" s="118"/>
      <c r="AC15" s="118"/>
      <c r="AD15" s="118"/>
    </row>
    <row r="16" spans="1:34">
      <c r="A16" s="662" t="s">
        <v>2</v>
      </c>
      <c r="B16" s="662" t="s">
        <v>1</v>
      </c>
      <c r="C16" s="662" t="s">
        <v>221</v>
      </c>
      <c r="D16" s="662"/>
      <c r="E16" s="662"/>
      <c r="F16" s="662"/>
      <c r="G16" s="662"/>
      <c r="H16" s="662"/>
      <c r="I16" s="662"/>
      <c r="J16" s="662"/>
      <c r="K16" s="662"/>
      <c r="L16" s="662"/>
      <c r="M16" s="662"/>
      <c r="N16" s="662"/>
      <c r="O16" s="662"/>
      <c r="P16" s="662"/>
      <c r="Q16" s="662" t="s">
        <v>277</v>
      </c>
      <c r="R16" s="662" t="s">
        <v>222</v>
      </c>
      <c r="S16" s="662" t="s">
        <v>278</v>
      </c>
      <c r="T16" s="125"/>
      <c r="U16" s="125"/>
      <c r="V16" s="125"/>
      <c r="W16" s="125"/>
      <c r="X16" s="125"/>
      <c r="Y16" s="125"/>
      <c r="Z16" s="125"/>
      <c r="AA16" s="125"/>
      <c r="AB16" s="125"/>
      <c r="AC16" s="125"/>
      <c r="AD16" s="125"/>
    </row>
    <row r="17" spans="1:48" ht="53.25" customHeight="1">
      <c r="A17" s="662"/>
      <c r="B17" s="662"/>
      <c r="C17" s="662" t="s">
        <v>223</v>
      </c>
      <c r="D17" s="662"/>
      <c r="E17" s="662"/>
      <c r="F17" s="662" t="s">
        <v>224</v>
      </c>
      <c r="G17" s="662"/>
      <c r="H17" s="662"/>
      <c r="I17" s="124" t="s">
        <v>225</v>
      </c>
      <c r="J17" s="662" t="s">
        <v>226</v>
      </c>
      <c r="K17" s="662"/>
      <c r="L17" s="662"/>
      <c r="M17" s="662" t="s">
        <v>227</v>
      </c>
      <c r="N17" s="662" t="s">
        <v>228</v>
      </c>
      <c r="O17" s="662" t="s">
        <v>229</v>
      </c>
      <c r="P17" s="662" t="s">
        <v>230</v>
      </c>
      <c r="Q17" s="662"/>
      <c r="R17" s="662"/>
      <c r="S17" s="662"/>
      <c r="T17" s="125"/>
      <c r="U17" s="125"/>
      <c r="V17" s="125"/>
      <c r="W17" s="125"/>
      <c r="X17" s="125"/>
      <c r="Y17" s="125"/>
      <c r="Z17" s="126"/>
      <c r="AA17" s="126"/>
      <c r="AB17" s="126"/>
      <c r="AC17" s="126"/>
      <c r="AD17" s="126"/>
    </row>
    <row r="18" spans="1:48" ht="45" customHeight="1">
      <c r="A18" s="662"/>
      <c r="B18" s="662"/>
      <c r="C18" s="124" t="s">
        <v>231</v>
      </c>
      <c r="D18" s="124" t="s">
        <v>232</v>
      </c>
      <c r="E18" s="124" t="s">
        <v>233</v>
      </c>
      <c r="F18" s="124" t="s">
        <v>231</v>
      </c>
      <c r="G18" s="124" t="s">
        <v>232</v>
      </c>
      <c r="H18" s="124" t="s">
        <v>234</v>
      </c>
      <c r="I18" s="124" t="s">
        <v>235</v>
      </c>
      <c r="J18" s="124" t="s">
        <v>236</v>
      </c>
      <c r="K18" s="127" t="s">
        <v>237</v>
      </c>
      <c r="L18" s="124" t="s">
        <v>238</v>
      </c>
      <c r="M18" s="662"/>
      <c r="N18" s="662"/>
      <c r="O18" s="662"/>
      <c r="P18" s="662"/>
      <c r="Q18" s="662"/>
      <c r="R18" s="662"/>
      <c r="S18" s="662"/>
      <c r="T18" s="126" t="s">
        <v>129</v>
      </c>
      <c r="U18" s="126" t="s">
        <v>130</v>
      </c>
      <c r="V18" s="126" t="s">
        <v>204</v>
      </c>
      <c r="W18" s="126" t="s">
        <v>132</v>
      </c>
      <c r="X18" s="126" t="s">
        <v>205</v>
      </c>
      <c r="Y18" s="126" t="s">
        <v>134</v>
      </c>
      <c r="Z18" s="126" t="s">
        <v>135</v>
      </c>
      <c r="AA18" s="126" t="s">
        <v>206</v>
      </c>
      <c r="AB18" s="128" t="s">
        <v>279</v>
      </c>
      <c r="AC18" s="128" t="s">
        <v>280</v>
      </c>
      <c r="AD18" s="126" t="s">
        <v>136</v>
      </c>
    </row>
    <row r="19" spans="1:48">
      <c r="A19" s="129">
        <v>1</v>
      </c>
      <c r="B19" s="129">
        <v>2</v>
      </c>
      <c r="C19" s="129">
        <v>3</v>
      </c>
      <c r="D19" s="129">
        <v>4</v>
      </c>
      <c r="E19" s="129">
        <v>5</v>
      </c>
      <c r="F19" s="129">
        <v>6</v>
      </c>
      <c r="G19" s="129">
        <v>7</v>
      </c>
      <c r="H19" s="129">
        <v>8</v>
      </c>
      <c r="I19" s="129">
        <v>9</v>
      </c>
      <c r="J19" s="129" t="s">
        <v>239</v>
      </c>
      <c r="K19" s="129">
        <v>11</v>
      </c>
      <c r="L19" s="129">
        <v>12</v>
      </c>
      <c r="M19" s="129">
        <v>13</v>
      </c>
      <c r="N19" s="129">
        <v>14</v>
      </c>
      <c r="O19" s="129">
        <v>15</v>
      </c>
      <c r="P19" s="129">
        <v>16</v>
      </c>
      <c r="Q19" s="129">
        <v>17</v>
      </c>
      <c r="R19" s="129">
        <v>18</v>
      </c>
      <c r="S19" s="129">
        <v>19</v>
      </c>
      <c r="T19" s="129">
        <v>20</v>
      </c>
      <c r="U19" s="129">
        <v>21</v>
      </c>
      <c r="V19" s="129">
        <v>22</v>
      </c>
      <c r="W19" s="129">
        <v>23</v>
      </c>
      <c r="X19" s="129">
        <v>24</v>
      </c>
      <c r="Y19" s="129">
        <v>25</v>
      </c>
      <c r="Z19" s="129">
        <v>26</v>
      </c>
      <c r="AA19" s="129">
        <v>27</v>
      </c>
      <c r="AB19" s="129">
        <v>28</v>
      </c>
      <c r="AC19" s="129">
        <v>29</v>
      </c>
      <c r="AD19" s="129">
        <v>30</v>
      </c>
    </row>
    <row r="20" spans="1:48" ht="51">
      <c r="A20" s="81" t="s">
        <v>240</v>
      </c>
      <c r="B20" s="130" t="s">
        <v>241</v>
      </c>
      <c r="C20" s="89">
        <v>180</v>
      </c>
      <c r="D20" s="89">
        <v>60</v>
      </c>
      <c r="E20" s="89">
        <v>0</v>
      </c>
      <c r="F20" s="131">
        <f>ROUND((C20*F14),2)</f>
        <v>39.06</v>
      </c>
      <c r="G20" s="132">
        <f>ROUND((D20*G14),2)</f>
        <v>8.14</v>
      </c>
      <c r="H20" s="132">
        <f>ROUND((E20*$H$11),2)</f>
        <v>0</v>
      </c>
      <c r="I20" s="131">
        <f>ROUND(((F20+G20+H20)*I14),2)</f>
        <v>11.13</v>
      </c>
      <c r="J20" s="90">
        <f t="shared" ref="J20:J21" si="4">K20+L20</f>
        <v>405.89</v>
      </c>
      <c r="K20" s="91">
        <v>1.02</v>
      </c>
      <c r="L20" s="91">
        <v>404.87</v>
      </c>
      <c r="M20" s="92">
        <v>64.06</v>
      </c>
      <c r="N20" s="131">
        <f>ROUND((F20+G20+H20)*N14,2)</f>
        <v>13.27</v>
      </c>
      <c r="O20" s="131">
        <f>ROUND((F20+G20+H20)*O14,2)</f>
        <v>1.03</v>
      </c>
      <c r="P20" s="131">
        <f>ROUND((F20+G20+H20)*P14,2)</f>
        <v>1.65</v>
      </c>
      <c r="Q20" s="133">
        <f>ROUND((F20+G20+H20+I20+J20+M20+N20+O20+P20),2)</f>
        <v>544.23</v>
      </c>
      <c r="R20" s="133">
        <v>4</v>
      </c>
      <c r="S20" s="133">
        <f>Q20-R20</f>
        <v>540.23</v>
      </c>
      <c r="T20" s="134">
        <f>F20+G20+H20</f>
        <v>47.2</v>
      </c>
      <c r="U20" s="134">
        <f>I20</f>
        <v>11.13</v>
      </c>
      <c r="V20" s="134">
        <f>J20</f>
        <v>405.89</v>
      </c>
      <c r="W20" s="135"/>
      <c r="X20" s="134">
        <f>N20</f>
        <v>13.27</v>
      </c>
      <c r="Y20" s="134">
        <f>O20</f>
        <v>1.03</v>
      </c>
      <c r="Z20" s="134">
        <f>M20+P20</f>
        <v>65.710000000000008</v>
      </c>
      <c r="AA20" s="135"/>
      <c r="AB20" s="134">
        <f>SUM(T20:AA20)</f>
        <v>544.2299999999999</v>
      </c>
      <c r="AC20" s="134">
        <f>R20</f>
        <v>4</v>
      </c>
      <c r="AD20" s="134">
        <f>AB20-AC20</f>
        <v>540.2299999999999</v>
      </c>
    </row>
    <row r="21" spans="1:48" ht="51">
      <c r="A21" s="81" t="s">
        <v>242</v>
      </c>
      <c r="B21" s="82" t="s">
        <v>243</v>
      </c>
      <c r="C21" s="89">
        <v>300</v>
      </c>
      <c r="D21" s="89">
        <v>100</v>
      </c>
      <c r="E21" s="89">
        <v>0</v>
      </c>
      <c r="F21" s="131">
        <f>ROUND((C21*F14),2)</f>
        <v>65.099999999999994</v>
      </c>
      <c r="G21" s="132">
        <f>ROUND((D21*G14),2)</f>
        <v>13.57</v>
      </c>
      <c r="H21" s="132">
        <f>ROUND((E21*$H$11),2)</f>
        <v>0</v>
      </c>
      <c r="I21" s="131">
        <f>ROUND(((F21+G21+H21)*I14),2)</f>
        <v>18.559999999999999</v>
      </c>
      <c r="J21" s="90">
        <f t="shared" si="4"/>
        <v>405.89</v>
      </c>
      <c r="K21" s="91">
        <v>1.02</v>
      </c>
      <c r="L21" s="91">
        <v>404.87</v>
      </c>
      <c r="M21" s="92">
        <v>64.06</v>
      </c>
      <c r="N21" s="131">
        <f>ROUND((F21+G21+H21)*N14,2)</f>
        <v>22.12</v>
      </c>
      <c r="O21" s="131">
        <f>ROUND((F21+G21+H21)*O14,2)</f>
        <v>1.72</v>
      </c>
      <c r="P21" s="131">
        <f>ROUND((F21+G21+H21)*P14,2)</f>
        <v>2.75</v>
      </c>
      <c r="Q21" s="133">
        <f>ROUND((F21+G21+H21+I21+J21+M21+N21+O21+P21),2)</f>
        <v>593.77</v>
      </c>
      <c r="R21" s="133">
        <v>4</v>
      </c>
      <c r="S21" s="133">
        <f>Q21-R21</f>
        <v>589.77</v>
      </c>
      <c r="T21" s="134">
        <f>F21+G21+H21</f>
        <v>78.669999999999987</v>
      </c>
      <c r="U21" s="134">
        <f>I21</f>
        <v>18.559999999999999</v>
      </c>
      <c r="V21" s="134">
        <f>J21</f>
        <v>405.89</v>
      </c>
      <c r="W21" s="135"/>
      <c r="X21" s="134">
        <f>N21</f>
        <v>22.12</v>
      </c>
      <c r="Y21" s="134">
        <f>O21</f>
        <v>1.72</v>
      </c>
      <c r="Z21" s="134">
        <f>M21+P21</f>
        <v>66.81</v>
      </c>
      <c r="AA21" s="135"/>
      <c r="AB21" s="134">
        <f>SUM(T21:AA21)</f>
        <v>593.77</v>
      </c>
      <c r="AC21" s="134">
        <f>R21</f>
        <v>4</v>
      </c>
      <c r="AD21" s="134">
        <f>AB21-AC21</f>
        <v>589.77</v>
      </c>
    </row>
    <row r="22" spans="1:48">
      <c r="A22" s="136"/>
      <c r="B22" s="137"/>
      <c r="C22" s="137"/>
      <c r="D22" s="137"/>
      <c r="E22" s="137"/>
      <c r="F22" s="137"/>
      <c r="G22" s="137"/>
      <c r="H22" s="137"/>
      <c r="I22" s="137"/>
      <c r="J22" s="137"/>
      <c r="K22" s="137"/>
      <c r="L22" s="137"/>
      <c r="M22" s="137"/>
      <c r="N22" s="137"/>
      <c r="O22" s="137"/>
      <c r="P22" s="137"/>
      <c r="Q22" s="137"/>
      <c r="R22" s="137"/>
      <c r="S22" s="137"/>
      <c r="T22" s="137"/>
      <c r="U22" s="137"/>
      <c r="V22" s="137"/>
      <c r="W22" s="137"/>
      <c r="X22" s="137"/>
      <c r="Y22" s="137"/>
      <c r="Z22" s="137"/>
      <c r="AA22" s="137"/>
      <c r="AB22" s="137"/>
      <c r="AC22" s="137"/>
      <c r="AD22" s="137"/>
      <c r="AE22" s="137"/>
      <c r="AF22" s="137"/>
      <c r="AG22" s="137"/>
      <c r="AH22" s="107"/>
    </row>
    <row r="23" spans="1:48" ht="30.75" customHeight="1">
      <c r="A23" s="686" t="s">
        <v>2</v>
      </c>
      <c r="B23" s="686" t="s">
        <v>244</v>
      </c>
      <c r="C23" s="686" t="s">
        <v>274</v>
      </c>
      <c r="D23" s="686" t="s">
        <v>245</v>
      </c>
      <c r="E23" s="686" t="s">
        <v>246</v>
      </c>
      <c r="F23" s="686" t="s">
        <v>222</v>
      </c>
      <c r="G23" s="686" t="s">
        <v>247</v>
      </c>
      <c r="H23" s="668" t="s">
        <v>248</v>
      </c>
      <c r="I23" s="669"/>
      <c r="J23" s="669"/>
      <c r="K23" s="670"/>
      <c r="L23" s="671" t="s">
        <v>249</v>
      </c>
      <c r="M23" s="672" t="s">
        <v>250</v>
      </c>
      <c r="N23" s="673"/>
      <c r="O23" s="674"/>
      <c r="P23" s="672" t="s">
        <v>251</v>
      </c>
      <c r="Q23" s="673"/>
      <c r="R23" s="674"/>
      <c r="S23" s="671" t="s">
        <v>252</v>
      </c>
      <c r="T23" s="681" t="s">
        <v>125</v>
      </c>
      <c r="U23" s="683" t="s">
        <v>253</v>
      </c>
      <c r="V23" s="683" t="s">
        <v>254</v>
      </c>
      <c r="W23" s="683" t="s">
        <v>255</v>
      </c>
      <c r="X23" s="683" t="s">
        <v>256</v>
      </c>
      <c r="Y23" s="107"/>
      <c r="Z23" s="107"/>
      <c r="AA23" s="107"/>
      <c r="AB23" s="107"/>
      <c r="AC23" s="107"/>
      <c r="AD23" s="107"/>
      <c r="AE23" s="107"/>
      <c r="AF23" s="107"/>
      <c r="AG23" s="107"/>
      <c r="AH23" s="107"/>
    </row>
    <row r="24" spans="1:48" ht="68.25" customHeight="1">
      <c r="A24" s="686"/>
      <c r="B24" s="686"/>
      <c r="C24" s="686"/>
      <c r="D24" s="686"/>
      <c r="E24" s="686"/>
      <c r="F24" s="686"/>
      <c r="G24" s="686"/>
      <c r="H24" s="139" t="s">
        <v>257</v>
      </c>
      <c r="I24" s="138" t="s">
        <v>258</v>
      </c>
      <c r="J24" s="138" t="s">
        <v>259</v>
      </c>
      <c r="K24" s="138" t="s">
        <v>3</v>
      </c>
      <c r="L24" s="671"/>
      <c r="M24" s="138" t="s">
        <v>260</v>
      </c>
      <c r="N24" s="138" t="s">
        <v>261</v>
      </c>
      <c r="O24" s="138" t="s">
        <v>262</v>
      </c>
      <c r="P24" s="138" t="s">
        <v>260</v>
      </c>
      <c r="Q24" s="138" t="s">
        <v>261</v>
      </c>
      <c r="R24" s="138" t="s">
        <v>262</v>
      </c>
      <c r="S24" s="671"/>
      <c r="T24" s="682"/>
      <c r="U24" s="683"/>
      <c r="V24" s="683"/>
      <c r="W24" s="683"/>
      <c r="X24" s="683"/>
      <c r="Y24" s="107"/>
      <c r="Z24" s="107"/>
      <c r="AA24" s="107"/>
      <c r="AB24" s="107"/>
      <c r="AC24" s="678"/>
      <c r="AD24" s="678"/>
      <c r="AE24" s="678"/>
      <c r="AF24" s="678"/>
      <c r="AG24" s="678"/>
      <c r="AH24" s="678"/>
      <c r="AI24" s="167"/>
      <c r="AJ24" s="167"/>
      <c r="AK24" s="167"/>
      <c r="AL24" s="168"/>
      <c r="AM24" s="168"/>
      <c r="AN24" s="168"/>
      <c r="AO24" s="168"/>
      <c r="AP24" s="663"/>
      <c r="AQ24" s="663"/>
      <c r="AR24" s="663"/>
      <c r="AS24" s="663"/>
      <c r="AT24" s="663"/>
      <c r="AU24" s="663"/>
      <c r="AV24" s="168"/>
    </row>
    <row r="25" spans="1:48" ht="51">
      <c r="A25" s="81" t="s">
        <v>240</v>
      </c>
      <c r="B25" s="130" t="s">
        <v>241</v>
      </c>
      <c r="C25" s="140" t="s">
        <v>263</v>
      </c>
      <c r="D25" s="86">
        <v>0</v>
      </c>
      <c r="E25" s="141">
        <f>S20</f>
        <v>540.23</v>
      </c>
      <c r="F25" s="142">
        <f>R20</f>
        <v>4</v>
      </c>
      <c r="G25" s="142">
        <f>E25-D25</f>
        <v>540.23</v>
      </c>
      <c r="H25" s="679">
        <v>18</v>
      </c>
      <c r="I25" s="680"/>
      <c r="J25" s="143">
        <v>46</v>
      </c>
      <c r="K25" s="144">
        <f t="shared" ref="K25:K26" si="5">H25+J25</f>
        <v>64</v>
      </c>
      <c r="L25" s="145">
        <f>K25*G25</f>
        <v>34574.720000000001</v>
      </c>
      <c r="M25" s="146" t="s">
        <v>264</v>
      </c>
      <c r="N25" s="146" t="s">
        <v>264</v>
      </c>
      <c r="O25" s="146" t="s">
        <v>264</v>
      </c>
      <c r="P25" s="146" t="s">
        <v>265</v>
      </c>
      <c r="Q25" s="146" t="s">
        <v>264</v>
      </c>
      <c r="R25" s="146" t="s">
        <v>264</v>
      </c>
      <c r="S25" s="147"/>
      <c r="T25" s="148"/>
      <c r="U25" s="149">
        <f>G25*J25</f>
        <v>24850.58</v>
      </c>
      <c r="V25" s="150">
        <f>H25*G25</f>
        <v>9724.14</v>
      </c>
      <c r="W25" s="87">
        <v>0</v>
      </c>
      <c r="X25" s="87">
        <v>0</v>
      </c>
      <c r="Y25" s="137"/>
      <c r="Z25" s="137"/>
      <c r="AA25" s="137"/>
      <c r="AB25" s="137"/>
      <c r="AC25" s="166"/>
      <c r="AD25" s="166"/>
      <c r="AE25" s="166"/>
      <c r="AF25" s="166"/>
      <c r="AG25" s="166"/>
      <c r="AH25" s="166"/>
      <c r="AI25" s="167"/>
      <c r="AJ25" s="167"/>
      <c r="AK25" s="167"/>
      <c r="AL25" s="168"/>
      <c r="AM25" s="168"/>
      <c r="AN25" s="168"/>
      <c r="AO25" s="168"/>
      <c r="AP25" s="169"/>
      <c r="AQ25" s="169"/>
      <c r="AR25" s="169"/>
      <c r="AS25" s="169"/>
      <c r="AT25" s="169"/>
      <c r="AU25" s="169"/>
      <c r="AV25" s="168"/>
    </row>
    <row r="26" spans="1:48" ht="51">
      <c r="A26" s="81" t="s">
        <v>242</v>
      </c>
      <c r="B26" s="82" t="s">
        <v>243</v>
      </c>
      <c r="C26" s="140" t="s">
        <v>263</v>
      </c>
      <c r="D26" s="86">
        <v>0</v>
      </c>
      <c r="E26" s="141">
        <f>S21</f>
        <v>589.77</v>
      </c>
      <c r="F26" s="142">
        <f>R21</f>
        <v>4</v>
      </c>
      <c r="G26" s="142">
        <f t="shared" ref="G26" si="6">E26-D26</f>
        <v>589.77</v>
      </c>
      <c r="H26" s="679">
        <v>17</v>
      </c>
      <c r="I26" s="680"/>
      <c r="J26" s="143">
        <v>44</v>
      </c>
      <c r="K26" s="144">
        <f t="shared" si="5"/>
        <v>61</v>
      </c>
      <c r="L26" s="145">
        <f>K26*G26</f>
        <v>35975.97</v>
      </c>
      <c r="M26" s="146" t="s">
        <v>264</v>
      </c>
      <c r="N26" s="146" t="s">
        <v>264</v>
      </c>
      <c r="O26" s="146" t="s">
        <v>264</v>
      </c>
      <c r="P26" s="146" t="s">
        <v>265</v>
      </c>
      <c r="Q26" s="146" t="s">
        <v>264</v>
      </c>
      <c r="R26" s="146" t="s">
        <v>264</v>
      </c>
      <c r="S26" s="147"/>
      <c r="T26" s="148"/>
      <c r="U26" s="149">
        <f>G26*J26</f>
        <v>25949.879999999997</v>
      </c>
      <c r="V26" s="150">
        <f>H26*G26</f>
        <v>10026.09</v>
      </c>
      <c r="W26" s="87">
        <v>0</v>
      </c>
      <c r="X26" s="87">
        <v>0</v>
      </c>
      <c r="Y26" s="137"/>
      <c r="Z26" s="137"/>
      <c r="AA26" s="137"/>
      <c r="AB26" s="137"/>
      <c r="AC26" s="664"/>
      <c r="AD26" s="664"/>
      <c r="AE26" s="664"/>
      <c r="AF26" s="664"/>
      <c r="AG26" s="664"/>
      <c r="AH26" s="664"/>
      <c r="AI26" s="163"/>
      <c r="AJ26" s="163"/>
      <c r="AK26" s="163"/>
      <c r="AL26" s="170"/>
      <c r="AM26" s="170"/>
      <c r="AN26" s="170"/>
      <c r="AO26" s="170"/>
      <c r="AP26" s="171"/>
      <c r="AQ26" s="172"/>
      <c r="AR26" s="173"/>
      <c r="AS26" s="173"/>
      <c r="AT26" s="173"/>
      <c r="AU26" s="173"/>
      <c r="AV26" s="173"/>
    </row>
    <row r="27" spans="1:48" ht="38.25" customHeight="1">
      <c r="A27" s="93"/>
      <c r="B27" s="93"/>
      <c r="C27" s="93"/>
      <c r="D27" s="93"/>
      <c r="E27" s="93"/>
      <c r="F27" s="93"/>
      <c r="G27" s="93"/>
      <c r="H27" s="675">
        <f>H25+H26</f>
        <v>35</v>
      </c>
      <c r="I27" s="676"/>
      <c r="J27" s="151">
        <f>J25+J26</f>
        <v>90</v>
      </c>
      <c r="K27" s="152">
        <f>SUM(K25:K26)</f>
        <v>125</v>
      </c>
      <c r="L27" s="94">
        <f>SUM(L25:L26)</f>
        <v>70550.69</v>
      </c>
      <c r="M27" s="93"/>
      <c r="N27" s="93"/>
      <c r="O27" s="93"/>
      <c r="P27" s="93"/>
      <c r="Q27" s="93"/>
      <c r="R27" s="93"/>
      <c r="S27" s="93"/>
      <c r="T27" s="93"/>
      <c r="U27" s="88">
        <f>SUM(U25:U26)</f>
        <v>50800.46</v>
      </c>
      <c r="V27" s="88">
        <f>SUM(V25:V26)</f>
        <v>19750.23</v>
      </c>
      <c r="W27" s="137"/>
      <c r="X27" s="137"/>
      <c r="Y27" s="137"/>
      <c r="Z27" s="107"/>
      <c r="AA27" s="107"/>
      <c r="AB27" s="107"/>
      <c r="AC27" s="677"/>
      <c r="AD27" s="677"/>
      <c r="AE27" s="677"/>
      <c r="AF27" s="677"/>
      <c r="AG27" s="677"/>
      <c r="AH27" s="677"/>
      <c r="AI27" s="174"/>
      <c r="AJ27" s="174"/>
      <c r="AK27" s="174"/>
      <c r="AL27" s="170"/>
      <c r="AM27" s="170"/>
      <c r="AN27" s="170"/>
      <c r="AO27" s="170"/>
      <c r="AP27" s="173"/>
      <c r="AQ27" s="164"/>
      <c r="AR27" s="170"/>
      <c r="AS27" s="170"/>
      <c r="AT27" s="165"/>
      <c r="AU27" s="173"/>
      <c r="AV27" s="173"/>
    </row>
    <row r="28" spans="1:48">
      <c r="A28" s="107"/>
      <c r="B28" s="107"/>
      <c r="C28" s="107"/>
      <c r="D28" s="107"/>
      <c r="E28" s="107"/>
      <c r="F28" s="107"/>
      <c r="G28" s="107"/>
      <c r="H28" s="153"/>
      <c r="I28" s="154" t="s">
        <v>211</v>
      </c>
      <c r="J28" s="154" t="s">
        <v>210</v>
      </c>
      <c r="K28" s="107"/>
      <c r="L28" s="107"/>
      <c r="M28" s="107"/>
      <c r="N28" s="107"/>
      <c r="O28" s="107"/>
      <c r="P28" s="107"/>
      <c r="Q28" s="107"/>
      <c r="R28" s="107"/>
      <c r="S28" s="137"/>
      <c r="T28" s="137"/>
      <c r="U28" s="137"/>
      <c r="V28" s="137"/>
      <c r="W28" s="137"/>
      <c r="X28" s="137"/>
      <c r="Y28" s="137"/>
      <c r="Z28" s="107"/>
      <c r="AA28" s="107"/>
      <c r="AB28" s="107"/>
      <c r="AC28" s="107"/>
      <c r="AD28" s="107"/>
      <c r="AE28" s="107"/>
      <c r="AF28" s="107"/>
      <c r="AG28" s="107"/>
      <c r="AH28" s="107"/>
    </row>
    <row r="29" spans="1:48">
      <c r="A29" s="107"/>
      <c r="B29" s="107"/>
      <c r="C29" s="107"/>
      <c r="D29" s="107"/>
      <c r="E29" s="107"/>
      <c r="F29" s="107"/>
      <c r="G29" s="107"/>
      <c r="H29" s="155"/>
      <c r="I29" s="155"/>
      <c r="J29" s="156"/>
      <c r="K29" s="107"/>
      <c r="L29" s="107"/>
      <c r="M29" s="107"/>
      <c r="N29" s="107"/>
      <c r="O29" s="107"/>
      <c r="P29" s="107"/>
      <c r="Q29" s="107"/>
      <c r="R29" s="107"/>
      <c r="S29" s="107"/>
      <c r="T29" s="107"/>
      <c r="U29" s="107"/>
      <c r="V29" s="107"/>
      <c r="W29" s="107"/>
      <c r="X29" s="107"/>
      <c r="Y29" s="107"/>
      <c r="Z29" s="107"/>
      <c r="AA29" s="107"/>
      <c r="AB29" s="107"/>
      <c r="AC29" s="107"/>
      <c r="AD29" s="107"/>
      <c r="AE29" s="107"/>
      <c r="AF29" s="107"/>
      <c r="AG29" s="107"/>
      <c r="AH29" s="107"/>
    </row>
    <row r="30" spans="1:48">
      <c r="A30" s="107"/>
      <c r="B30" s="107"/>
      <c r="C30" s="107"/>
      <c r="D30" s="107"/>
      <c r="E30" s="107"/>
      <c r="F30" s="107"/>
      <c r="G30" s="107"/>
      <c r="H30" s="107"/>
      <c r="I30" s="107"/>
      <c r="J30" s="107"/>
      <c r="K30" s="107"/>
      <c r="L30" s="107"/>
      <c r="M30" s="107"/>
      <c r="N30" s="107"/>
      <c r="O30" s="107"/>
      <c r="P30" s="107"/>
      <c r="Q30" s="107"/>
      <c r="R30" s="107"/>
      <c r="S30" s="107"/>
      <c r="T30" s="107"/>
      <c r="U30" s="107"/>
      <c r="V30" s="107"/>
      <c r="W30" s="107"/>
      <c r="X30" s="107"/>
      <c r="Y30" s="107"/>
      <c r="Z30" s="107"/>
      <c r="AA30" s="107"/>
      <c r="AB30" s="107"/>
      <c r="AC30" s="107"/>
      <c r="AD30" s="107"/>
      <c r="AE30" s="107"/>
      <c r="AF30" s="107"/>
      <c r="AG30" s="107"/>
      <c r="AH30" s="107"/>
    </row>
    <row r="31" spans="1:48">
      <c r="A31" s="118"/>
      <c r="B31" s="118"/>
      <c r="C31" s="118"/>
      <c r="D31" s="118"/>
      <c r="E31" s="118"/>
      <c r="F31" s="118"/>
      <c r="G31" s="118"/>
      <c r="H31" s="118"/>
      <c r="I31" s="118"/>
      <c r="J31" s="118"/>
      <c r="K31" s="118"/>
      <c r="L31" s="118"/>
      <c r="M31" s="118"/>
      <c r="N31" s="118"/>
      <c r="O31" s="118"/>
      <c r="P31" s="118"/>
      <c r="Q31" s="122"/>
      <c r="R31" s="122"/>
      <c r="S31" s="122"/>
      <c r="T31" s="118"/>
      <c r="U31" s="118"/>
      <c r="V31" s="118"/>
      <c r="W31" s="118"/>
      <c r="X31" s="118"/>
      <c r="Y31" s="118"/>
      <c r="Z31" s="118"/>
      <c r="AA31" s="118"/>
      <c r="AB31" s="118"/>
      <c r="AC31" s="118"/>
      <c r="AD31" s="118"/>
    </row>
    <row r="32" spans="1:48">
      <c r="Q32" s="178" t="s">
        <v>290</v>
      </c>
      <c r="R32" s="4"/>
      <c r="S32" s="4"/>
      <c r="T32" s="4"/>
      <c r="U32" s="175"/>
      <c r="V32" s="175"/>
      <c r="W32" s="175"/>
    </row>
    <row r="33" spans="17:23">
      <c r="Q33" s="4" t="s">
        <v>288</v>
      </c>
      <c r="R33" s="4"/>
      <c r="S33" s="4"/>
      <c r="T33" s="4"/>
      <c r="U33" s="175"/>
      <c r="V33" s="175"/>
      <c r="W33" s="175"/>
    </row>
    <row r="34" spans="17:23">
      <c r="Q34" s="316" t="s">
        <v>0</v>
      </c>
      <c r="R34" s="316" t="s">
        <v>571</v>
      </c>
      <c r="S34" s="316" t="s">
        <v>572</v>
      </c>
      <c r="T34" s="316" t="s">
        <v>273</v>
      </c>
      <c r="U34" s="175" t="s">
        <v>210</v>
      </c>
      <c r="V34" s="175"/>
      <c r="W34" s="175"/>
    </row>
    <row r="35" spans="17:23">
      <c r="Q35" s="10" t="s">
        <v>289</v>
      </c>
      <c r="R35" s="161">
        <v>1464865.4</v>
      </c>
      <c r="S35" s="161">
        <v>970009.4</v>
      </c>
      <c r="T35" s="317">
        <f>R35-S35</f>
        <v>494855.99999999988</v>
      </c>
      <c r="U35" s="175"/>
      <c r="V35" s="175"/>
      <c r="W35" s="175"/>
    </row>
    <row r="36" spans="17:23">
      <c r="Q36" s="4"/>
      <c r="R36" s="4"/>
      <c r="S36" s="4"/>
      <c r="T36" s="4"/>
      <c r="U36" s="175"/>
      <c r="V36" s="175"/>
      <c r="W36" s="175"/>
    </row>
    <row r="37" spans="17:23">
      <c r="Q37" s="178" t="s">
        <v>291</v>
      </c>
      <c r="R37" s="4"/>
      <c r="S37" s="4"/>
      <c r="T37" s="4"/>
      <c r="U37" s="175"/>
      <c r="V37" s="175"/>
      <c r="W37" s="175"/>
    </row>
    <row r="38" spans="17:23">
      <c r="Q38" s="9" t="s">
        <v>286</v>
      </c>
      <c r="R38" s="317">
        <f>T35</f>
        <v>494855.99999999988</v>
      </c>
      <c r="S38" s="4"/>
      <c r="T38" s="4"/>
      <c r="U38" s="175"/>
      <c r="V38" s="175"/>
      <c r="W38" s="175"/>
    </row>
    <row r="39" spans="17:23" ht="25.5">
      <c r="Q39" s="7" t="s">
        <v>287</v>
      </c>
      <c r="R39" s="161">
        <v>453</v>
      </c>
      <c r="S39" s="4"/>
      <c r="T39" s="4"/>
      <c r="U39" s="175"/>
      <c r="V39" s="175"/>
      <c r="W39" s="175"/>
    </row>
    <row r="40" spans="17:23">
      <c r="Q40" s="176" t="s">
        <v>283</v>
      </c>
      <c r="R40" s="318">
        <f>R38-R39</f>
        <v>494402.99999999988</v>
      </c>
      <c r="S40" s="4" t="s">
        <v>293</v>
      </c>
      <c r="T40" s="4"/>
      <c r="U40" s="175"/>
      <c r="V40" s="175"/>
      <c r="W40" s="175"/>
    </row>
    <row r="41" spans="17:23">
      <c r="Q41" s="4"/>
      <c r="R41" s="4"/>
      <c r="S41" s="4"/>
      <c r="T41" s="177"/>
      <c r="U41" s="175"/>
      <c r="V41" s="175"/>
      <c r="W41" s="175"/>
    </row>
    <row r="42" spans="17:23">
      <c r="Q42" s="175"/>
      <c r="R42" s="175"/>
      <c r="S42" s="175"/>
      <c r="T42" s="175"/>
      <c r="U42" s="175"/>
      <c r="V42" s="175"/>
      <c r="W42" s="175"/>
    </row>
    <row r="43" spans="17:23">
      <c r="Q43" s="178" t="s">
        <v>292</v>
      </c>
      <c r="R43" s="4"/>
      <c r="S43" s="4"/>
      <c r="T43" s="4"/>
      <c r="U43" s="4"/>
      <c r="V43" s="175"/>
      <c r="W43" s="175"/>
    </row>
    <row r="44" spans="17:23">
      <c r="Q44" s="325" t="s">
        <v>0</v>
      </c>
      <c r="R44" s="325" t="s">
        <v>571</v>
      </c>
      <c r="S44" s="325" t="s">
        <v>572</v>
      </c>
      <c r="T44" s="325" t="s">
        <v>273</v>
      </c>
      <c r="U44" s="4" t="s">
        <v>211</v>
      </c>
      <c r="V44" s="175"/>
      <c r="W44" s="175"/>
    </row>
    <row r="45" spans="17:23">
      <c r="Q45" s="9" t="s">
        <v>284</v>
      </c>
      <c r="R45" s="9">
        <v>925303</v>
      </c>
      <c r="S45" s="9">
        <v>839836</v>
      </c>
      <c r="T45" s="9">
        <f>R45-S45</f>
        <v>85467</v>
      </c>
      <c r="U45" s="4"/>
      <c r="V45" s="175"/>
      <c r="W45" s="175"/>
    </row>
    <row r="46" spans="17:23">
      <c r="Q46" s="8" t="s">
        <v>285</v>
      </c>
      <c r="R46" s="161"/>
      <c r="S46" s="161">
        <v>176</v>
      </c>
      <c r="T46" s="317">
        <f>R46-S46</f>
        <v>-176</v>
      </c>
      <c r="U46" s="319"/>
      <c r="V46" s="175"/>
      <c r="W46" s="175"/>
    </row>
    <row r="47" spans="17:23">
      <c r="Q47" s="10" t="s">
        <v>4</v>
      </c>
      <c r="R47" s="162"/>
      <c r="S47" s="162"/>
      <c r="T47" s="320">
        <f>T45+T46</f>
        <v>85291</v>
      </c>
      <c r="U47" s="4" t="s">
        <v>556</v>
      </c>
      <c r="V47" s="175"/>
      <c r="W47" s="175"/>
    </row>
    <row r="48" spans="17:23">
      <c r="Q48" s="175"/>
      <c r="R48" s="175"/>
      <c r="S48" s="175"/>
      <c r="T48" s="175"/>
      <c r="U48" s="175"/>
      <c r="V48" s="175"/>
      <c r="W48" s="175"/>
    </row>
    <row r="49" spans="17:23">
      <c r="Q49" s="175"/>
      <c r="R49" s="175"/>
      <c r="S49" s="175"/>
      <c r="T49" s="175"/>
      <c r="U49" s="175"/>
      <c r="V49" s="175"/>
      <c r="W49" s="175"/>
    </row>
    <row r="50" spans="17:23" ht="15">
      <c r="Q50" s="324"/>
      <c r="R50"/>
      <c r="S50"/>
      <c r="T50"/>
      <c r="U50"/>
      <c r="V50"/>
    </row>
  </sheetData>
  <mergeCells count="52">
    <mergeCell ref="Q1:T1"/>
    <mergeCell ref="A2:H2"/>
    <mergeCell ref="F23:F24"/>
    <mergeCell ref="G23:G24"/>
    <mergeCell ref="Q6:Q7"/>
    <mergeCell ref="A8:D8"/>
    <mergeCell ref="F3:I3"/>
    <mergeCell ref="A23:A24"/>
    <mergeCell ref="B23:B24"/>
    <mergeCell ref="C23:C24"/>
    <mergeCell ref="D23:D24"/>
    <mergeCell ref="E23:E24"/>
    <mergeCell ref="Q16:Q18"/>
    <mergeCell ref="R16:R18"/>
    <mergeCell ref="S16:S18"/>
    <mergeCell ref="C17:E17"/>
    <mergeCell ref="H27:I27"/>
    <mergeCell ref="AF27:AH27"/>
    <mergeCell ref="AF24:AH24"/>
    <mergeCell ref="AP24:AQ24"/>
    <mergeCell ref="AR24:AS24"/>
    <mergeCell ref="AC27:AE27"/>
    <mergeCell ref="H25:I25"/>
    <mergeCell ref="H26:I26"/>
    <mergeCell ref="AC26:AE26"/>
    <mergeCell ref="T23:T24"/>
    <mergeCell ref="U23:U24"/>
    <mergeCell ref="V23:V24"/>
    <mergeCell ref="W23:W24"/>
    <mergeCell ref="X23:X24"/>
    <mergeCell ref="AC24:AE24"/>
    <mergeCell ref="S23:S24"/>
    <mergeCell ref="AT24:AU24"/>
    <mergeCell ref="AF26:AH26"/>
    <mergeCell ref="F11:L11"/>
    <mergeCell ref="N12:N13"/>
    <mergeCell ref="O12:O13"/>
    <mergeCell ref="P12:P13"/>
    <mergeCell ref="F17:H17"/>
    <mergeCell ref="H23:K23"/>
    <mergeCell ref="L23:L24"/>
    <mergeCell ref="M23:O23"/>
    <mergeCell ref="P23:R23"/>
    <mergeCell ref="A16:A18"/>
    <mergeCell ref="B16:B18"/>
    <mergeCell ref="C16:L16"/>
    <mergeCell ref="M16:P16"/>
    <mergeCell ref="J17:L17"/>
    <mergeCell ref="M17:M18"/>
    <mergeCell ref="N17:N18"/>
    <mergeCell ref="O17:O18"/>
    <mergeCell ref="P17:P18"/>
  </mergeCells>
  <pageMargins left="0.7" right="0.7" top="0.75" bottom="0.75" header="0.3" footer="0.3"/>
  <pageSetup paperSize="9" scale="15" orientation="portrait" verticalDpi="0" r:id="rId1"/>
  <colBreaks count="1" manualBreakCount="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3</vt:i4>
      </vt:variant>
    </vt:vector>
  </HeadingPairs>
  <TitlesOfParts>
    <vt:vector size="11" baseType="lpstr">
      <vt:lpstr>1.pielikums</vt:lpstr>
      <vt:lpstr>2.pielikums</vt:lpstr>
      <vt:lpstr>3. pielikums</vt:lpstr>
      <vt:lpstr>4.pielikums</vt:lpstr>
      <vt:lpstr>4.p.turp.1</vt:lpstr>
      <vt:lpstr>4p.turp.2</vt:lpstr>
      <vt:lpstr>5.pielikums</vt:lpstr>
      <vt:lpstr>5p.turp.1</vt:lpstr>
      <vt:lpstr>'2.pielikums'!Print_Area</vt:lpstr>
      <vt:lpstr>'3. pielikums'!Print_Area</vt:lpstr>
      <vt:lpstr>'5p.turp.1'!Print_Area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Anete Baškevica</dc:creator>
  <cp:lastModifiedBy>Lāsma Zandberga</cp:lastModifiedBy>
  <cp:lastPrinted>2023-08-23T15:36:08Z</cp:lastPrinted>
  <dcterms:created xsi:type="dcterms:W3CDTF">2022-04-26T14:16:21Z</dcterms:created>
  <dcterms:modified xsi:type="dcterms:W3CDTF">2023-08-24T12:28:58Z</dcterms:modified>
</cp:coreProperties>
</file>