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VM_Igors_Belovs\My Documents\Darba mape\MK_rīkojuma_projekti\2022\ZVA_atlikums_groz\Precizēts_090622\"/>
    </mc:Choice>
  </mc:AlternateContent>
  <xr:revisionPtr revIDLastSave="0" documentId="13_ncr:1_{4010B2DF-F014-40B1-B3A8-F077C6462494}" xr6:coauthVersionLast="47" xr6:coauthVersionMax="47" xr10:uidLastSave="{00000000-0000-0000-0000-000000000000}"/>
  <bookViews>
    <workbookView xWindow="28680" yWindow="-120" windowWidth="38640" windowHeight="21240" xr2:uid="{00000000-000D-0000-FFFF-FFFF00000000}"/>
  </bookViews>
  <sheets>
    <sheet name="ZVA" sheetId="3" r:id="rId1"/>
    <sheet name="NMPD_Kopsavilkums" sheetId="5" r:id="rId2"/>
    <sheet name="NMPD_Skābeklis" sheetId="6" r:id="rId3"/>
    <sheet name="NMPD_Utilizācija" sheetId="7" r:id="rId4"/>
    <sheet name="NMPD_degviela" sheetId="4" r:id="rId5"/>
    <sheet name="PSMVM" sheetId="8" r:id="rId6"/>
  </sheets>
  <definedNames>
    <definedName name="_Hlk85557266" localSheetId="1">NMPD_Kopsavilkums!$A$5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3" l="1"/>
  <c r="F20" i="3"/>
  <c r="F26" i="3" s="1"/>
  <c r="F21" i="3"/>
  <c r="F22" i="3"/>
  <c r="F23" i="3"/>
  <c r="F24" i="3"/>
  <c r="F25" i="3"/>
  <c r="F18" i="3"/>
  <c r="E26" i="3"/>
  <c r="E19" i="3"/>
  <c r="E20" i="3"/>
  <c r="E21" i="3"/>
  <c r="E22" i="3"/>
  <c r="E23" i="3"/>
  <c r="E24" i="3"/>
  <c r="E25" i="3"/>
  <c r="E18" i="3"/>
  <c r="G10" i="8"/>
  <c r="G6" i="8"/>
  <c r="G7" i="8"/>
  <c r="G8" i="8"/>
  <c r="G9" i="8"/>
  <c r="G5" i="8"/>
  <c r="I4" i="7"/>
  <c r="K4" i="7" s="1"/>
  <c r="G4" i="7"/>
  <c r="H7" i="6"/>
  <c r="F7" i="6"/>
  <c r="K6" i="6"/>
  <c r="J6" i="6"/>
  <c r="I6" i="6"/>
  <c r="G6" i="6"/>
  <c r="I4" i="6"/>
  <c r="G4" i="6"/>
  <c r="G7" i="6" s="1"/>
  <c r="I7" i="6" l="1"/>
  <c r="L4" i="7"/>
  <c r="B5" i="5" s="1"/>
  <c r="J4" i="7"/>
  <c r="J4" i="6"/>
  <c r="L6" i="6"/>
  <c r="K4" i="6"/>
  <c r="K7" i="6" l="1"/>
  <c r="L4" i="6"/>
  <c r="L7" i="6" s="1"/>
  <c r="B4" i="5" s="1"/>
  <c r="W7" i="4"/>
  <c r="X7" i="4" s="1"/>
  <c r="T7" i="4"/>
  <c r="B6" i="5" s="1"/>
  <c r="K7" i="4"/>
  <c r="G12" i="3"/>
  <c r="B7" i="5" l="1"/>
  <c r="Y7" i="4"/>
  <c r="I12" i="3"/>
  <c r="H12" i="3"/>
  <c r="I11" i="3"/>
  <c r="H11" i="3"/>
  <c r="G11" i="3"/>
  <c r="D25" i="3"/>
  <c r="D24" i="3"/>
  <c r="D23" i="3"/>
  <c r="D22" i="3"/>
  <c r="D21" i="3"/>
  <c r="D20" i="3"/>
  <c r="D19" i="3"/>
  <c r="D18" i="3"/>
  <c r="I6" i="3"/>
  <c r="H6" i="3"/>
  <c r="G6" i="3"/>
  <c r="I5" i="3"/>
  <c r="H5" i="3"/>
  <c r="G5" i="3"/>
  <c r="J11" i="3" l="1"/>
  <c r="K11" i="3" s="1"/>
  <c r="L11" i="3" s="1"/>
  <c r="J12" i="3"/>
  <c r="K12" i="3" s="1"/>
  <c r="L12" i="3" s="1"/>
  <c r="D26" i="3"/>
  <c r="J6" i="3"/>
  <c r="K6" i="3" s="1"/>
  <c r="L6" i="3" s="1"/>
  <c r="J5" i="3"/>
  <c r="K5" i="3" s="1"/>
  <c r="L5" i="3" s="1"/>
  <c r="M5" i="3" l="1"/>
  <c r="N5" i="3" s="1"/>
  <c r="M11" i="3"/>
  <c r="N11" i="3" s="1"/>
  <c r="N13" i="3" s="1"/>
  <c r="M12" i="3"/>
  <c r="N12" i="3" s="1"/>
  <c r="O12" i="3" s="1"/>
  <c r="M6" i="3"/>
  <c r="N6" i="3" s="1"/>
  <c r="O6" i="3" s="1"/>
  <c r="L13" i="3"/>
  <c r="L7" i="3"/>
  <c r="L14" i="3" s="1"/>
  <c r="N7" i="3" l="1"/>
  <c r="N14" i="3" s="1"/>
  <c r="O11" i="3"/>
  <c r="O13" i="3" s="1"/>
  <c r="O14" i="3" s="1"/>
  <c r="O5" i="3"/>
  <c r="O7" i="3" s="1"/>
</calcChain>
</file>

<file path=xl/sharedStrings.xml><?xml version="1.0" encoding="utf-8"?>
<sst xmlns="http://schemas.openxmlformats.org/spreadsheetml/2006/main" count="206" uniqueCount="158">
  <si>
    <t>Amata vietai plānotā  mēnešalga</t>
  </si>
  <si>
    <t>Darba vietas uzturēšanas izmaksas  uz vienu darbinieku (EKK 2000; 5000)</t>
  </si>
  <si>
    <t>KOPĀ</t>
  </si>
  <si>
    <t>IV</t>
  </si>
  <si>
    <t>III</t>
  </si>
  <si>
    <t>Līmenis</t>
  </si>
  <si>
    <t>Juriskonsults</t>
  </si>
  <si>
    <t>Vecākais eksperts (ārsts)</t>
  </si>
  <si>
    <t>Rādītāju nosaukums</t>
  </si>
  <si>
    <t>2210</t>
  </si>
  <si>
    <t>Izdevumi par sakaru pakalpojumiem</t>
  </si>
  <si>
    <t>2222</t>
  </si>
  <si>
    <t>Izdevumi par ūdensapgādi un kanalizāciju</t>
  </si>
  <si>
    <t>2223</t>
  </si>
  <si>
    <t>Izdevumi par elektroenerģiju</t>
  </si>
  <si>
    <t>2235</t>
  </si>
  <si>
    <t>Izdevumi par saņemtajiem mācību pakalpojumiem</t>
  </si>
  <si>
    <t>2311</t>
  </si>
  <si>
    <t>Biroja preces</t>
  </si>
  <si>
    <t>2312</t>
  </si>
  <si>
    <t>Inventārs</t>
  </si>
  <si>
    <t>5120</t>
  </si>
  <si>
    <t>Licences, koncesijas un patenti, preču zīmes un līdzīgas tiesības</t>
  </si>
  <si>
    <t>5238</t>
  </si>
  <si>
    <t>Datortehnika, sakaru un cita biroja tehnika</t>
  </si>
  <si>
    <t>Izmaksas uz 1 darbinieku</t>
  </si>
  <si>
    <t>EKK</t>
  </si>
  <si>
    <t>Darba vietas uzturēšanas izmaksu aprēķins</t>
  </si>
  <si>
    <t>Nodaļas vadītājs</t>
  </si>
  <si>
    <t>Amats</t>
  </si>
  <si>
    <t>Slodžu skaits</t>
  </si>
  <si>
    <t>Saime 
(apakšsaime)</t>
  </si>
  <si>
    <t>Mēnešalgu grupa</t>
  </si>
  <si>
    <t>Piemaksa
10%
(EKK 1147)</t>
  </si>
  <si>
    <t>Prēmijas un naudas balvas 10%
(EKK 1148)</t>
  </si>
  <si>
    <t>Sociālā garantija 5%
(EKK 1220)</t>
  </si>
  <si>
    <t>Valsts sociālās apdrošināšanas obligātās iemaksas, 23.59%</t>
  </si>
  <si>
    <t>Kopā mēnesī</t>
  </si>
  <si>
    <t>7=6*10%</t>
  </si>
  <si>
    <t>8=6*10%</t>
  </si>
  <si>
    <t>9=6*5%</t>
  </si>
  <si>
    <t>11=(6+7+8+9+10)*23.59%</t>
  </si>
  <si>
    <t>12=6+7+8+9+10+11</t>
  </si>
  <si>
    <t>x</t>
  </si>
  <si>
    <r>
      <t xml:space="preserve">Darba vietas uzturēšanas izmaksas (EKK2000; 5000) KOPĀ </t>
    </r>
    <r>
      <rPr>
        <i/>
        <sz val="12"/>
        <rFont val="Times New Roman"/>
        <family val="1"/>
      </rPr>
      <t>reizināts ar amata vietu skaits</t>
    </r>
  </si>
  <si>
    <t xml:space="preserve"> 2021.gada izdevumi</t>
  </si>
  <si>
    <t>Kopā 7 mēnešiem (1000)**</t>
  </si>
  <si>
    <r>
      <t>Zāļu valsts aģentūras amati, kas tiek izveidoti saistībā ar Ministru kabineta noteikumu projekta “Noteikumi par kompensācijas piešķiršanas un izmaksas kārtību, ja  Covid-19 vakcīnu blakusparādību rezultātā nodarīts smags kaitējums pacienta veselībai vai dzīvībai, kā arī kārtību, kādā atlīdzina izdevumus, kas saistīti ar ārstniecību” funkciju izpildi no</t>
    </r>
    <r>
      <rPr>
        <b/>
        <sz val="9"/>
        <color rgb="FFFF0000"/>
        <rFont val="Calibri"/>
        <family val="2"/>
        <charset val="186"/>
        <scheme val="minor"/>
      </rPr>
      <t xml:space="preserve"> 01.06.2022.</t>
    </r>
  </si>
  <si>
    <r>
      <t>Zāļu valsts aģentūras amati, kas tiek izveidoti saistībā ar Ministru kabineta noteikumu projekta “Noteikumi par kompensācijas piešķiršanas un izmaksas kārtību, ja  Covid-19 vakcīnu blakusparādību rezultātā nodarīts smags kaitējums pacienta veselībai vai dzīvībai, kā arī kārtību, kādā atlīdzina izdevumus, kas saistīti ar ārstniecību” funkciju izpildi no</t>
    </r>
    <r>
      <rPr>
        <b/>
        <sz val="9"/>
        <color rgb="FFFF0000"/>
        <rFont val="Calibri"/>
        <family val="2"/>
        <charset val="186"/>
        <scheme val="minor"/>
      </rPr>
      <t xml:space="preserve"> 01.07.2022</t>
    </r>
  </si>
  <si>
    <t>Kopā 6 mēnešiem (1000)**</t>
  </si>
  <si>
    <t>Kopā 7 mēnešiem:</t>
  </si>
  <si>
    <t>Kopā 6 mēnešiem:</t>
  </si>
  <si>
    <t>Kopā 2022.gadam:</t>
  </si>
  <si>
    <t>13=12*7 mēn.</t>
  </si>
  <si>
    <t>13=12*6 mēn.</t>
  </si>
  <si>
    <t>1.Pielikums 
Ministru kabineta rīkojuma “Par Zāļu valsts aģentūras 2022.gada budžeta apstiprināšanu” projekta sākotnējās ietekmes novērtējuma ziņojumam (anotācijai)</t>
  </si>
  <si>
    <t>Energoresursu izmaksu sadārdzinājums</t>
  </si>
  <si>
    <t>Nr.p.k.</t>
  </si>
  <si>
    <t>Nosaukums</t>
  </si>
  <si>
    <t>Izdevumu EKK</t>
  </si>
  <si>
    <t>Izdevumi pēc naudas plūsmas  principa par 2020.gadu bez PVN EUR</t>
  </si>
  <si>
    <t>Izdevumi pēc naudas plūsmas principa par 2021.gadu bez PVN EUR</t>
  </si>
  <si>
    <t>2021.gada 4 mēnešu (janvāris - aprīlis) vidējā cena EUR bez PVN uz  1 vienību (1 kWh/ 1 litrs)</t>
  </si>
  <si>
    <t>Izdevumi pēc naudas plūsmas principa par 2022.gadu bez PVN EUR</t>
  </si>
  <si>
    <t>2022.gada 4 mēnešu (janvāris - aprīlis) vidējā cena EUR bez PVN uz  1 vienību (1 kWh/ 1 litrs)</t>
  </si>
  <si>
    <t>Korekcijas (+/-) bez PVN, lai dati būtu salīdzināmi</t>
  </si>
  <si>
    <t>Skaidrojums par veiktajām korekcijām</t>
  </si>
  <si>
    <t xml:space="preserve">Energoresursu  izmaksu pieaugums 2022.g. janvāris - aprīlis </t>
  </si>
  <si>
    <t xml:space="preserve">PVN likme % </t>
  </si>
  <si>
    <t>Ir/Nav iespēja atgūt PVN kā PVN maksātājam</t>
  </si>
  <si>
    <t>2022.gada janvāris - aprīlis pieaugums attiecībā pret 2021.gada janvāri - aprīli</t>
  </si>
  <si>
    <t>2022.gada janvāra - aprīļa izdevumu attiecība pret  2021.gada kopējiem izdevumiem</t>
  </si>
  <si>
    <t>Pieauguma summas attiecība pret 2021.gada kopējo energoresursu izdevumu apjomu</t>
  </si>
  <si>
    <t>2022.gada pamatfunkcijas izdevumi</t>
  </si>
  <si>
    <t>Pieauguma summas attiecība no pamatfunkcijas izdevumiem</t>
  </si>
  <si>
    <t>Janvāris (par decembri)</t>
  </si>
  <si>
    <t>Februāris (par janvāri)</t>
  </si>
  <si>
    <t>Marts (par februāri)</t>
  </si>
  <si>
    <t>Aprīlis (par martu)</t>
  </si>
  <si>
    <t>Maijs-Decembris</t>
  </si>
  <si>
    <t>Gads kopā</t>
  </si>
  <si>
    <t>a</t>
  </si>
  <si>
    <t>b</t>
  </si>
  <si>
    <t>c</t>
  </si>
  <si>
    <t>d</t>
  </si>
  <si>
    <t>e</t>
  </si>
  <si>
    <t xml:space="preserve">f </t>
  </si>
  <si>
    <t>g</t>
  </si>
  <si>
    <t>h</t>
  </si>
  <si>
    <t>i</t>
  </si>
  <si>
    <t>j=e+f+g+h+i</t>
  </si>
  <si>
    <t>k</t>
  </si>
  <si>
    <t>l</t>
  </si>
  <si>
    <t>m</t>
  </si>
  <si>
    <t>n</t>
  </si>
  <si>
    <t>o</t>
  </si>
  <si>
    <t>p</t>
  </si>
  <si>
    <t>r</t>
  </si>
  <si>
    <t xml:space="preserve">s </t>
  </si>
  <si>
    <t>t=l+m+n+o-e-f-g-h+r</t>
  </si>
  <si>
    <t>u</t>
  </si>
  <si>
    <t>v</t>
  </si>
  <si>
    <t>Bez korekcijām</t>
  </si>
  <si>
    <t>Ar korekcijām</t>
  </si>
  <si>
    <t>Degviela</t>
  </si>
  <si>
    <t>2.Pielikums 
Ministru kabineta rīkojuma “Par Zāļu valsts aģentūras 2022.gada budžeta apstiprināšanu” projekta sākotnējās ietekmes novērtējuma ziņojumam (anotācijai)</t>
  </si>
  <si>
    <t>Neatliekamā medicīniskā palīdzības dienesta papildus izmaksas Covid-19 vīrusa izplatības laikā</t>
  </si>
  <si>
    <t>Neatliekamā medicīniskā palīdzības dienesta  veiktās papildus iegādes Covid-19 vīrusa izplatības laikā</t>
  </si>
  <si>
    <t>Nepiecešamais papildus finansējums 4 mēnešos, euro</t>
  </si>
  <si>
    <t>Medicīniskais gāzes (skābeklis) un medicīniskās gāzes (skābekļa) balonu noma</t>
  </si>
  <si>
    <t>Medicīnisko atkritumu savākšanas, izvešanas un utilizācijas pakalpojumu izdevumi</t>
  </si>
  <si>
    <t>EKK 2000</t>
  </si>
  <si>
    <t>Medicīniskās gāzes (skābekļa) iegādes un medicīniskās gāzes  (skābekļa) balonu nomas pakalpojumu izdevumi</t>
  </si>
  <si>
    <t>Līguma Nr.</t>
  </si>
  <si>
    <t>Datums</t>
  </si>
  <si>
    <t>Piegādātājs</t>
  </si>
  <si>
    <t>Līguma nosaukums</t>
  </si>
  <si>
    <t xml:space="preserve"> 2019.g. fakts vid. mēnesī, euro</t>
  </si>
  <si>
    <t>2022.g.budžets gadam, euro</t>
  </si>
  <si>
    <t>2022.g.fakts, euro (01.01.- 31.03.2022.)</t>
  </si>
  <si>
    <t>2022.g. fakts vidēji mēnesī, euro</t>
  </si>
  <si>
    <t>pieaugums %</t>
  </si>
  <si>
    <t>Deficīts mēnesī, euro</t>
  </si>
  <si>
    <t>Deficīts 4 mēnešos, euro*</t>
  </si>
  <si>
    <t>1-14/2021/267</t>
  </si>
  <si>
    <t>26.11.2021.</t>
  </si>
  <si>
    <t>Linde Gas  SIA</t>
  </si>
  <si>
    <t>Par tiesībām piegādāt medicīniskās gāzes (skābeklis)</t>
  </si>
  <si>
    <t>1-14/2022/12</t>
  </si>
  <si>
    <t>01.03.2022.</t>
  </si>
  <si>
    <t>Par tiesībām piegādāt medicīniskās gāzes (balonu noma)</t>
  </si>
  <si>
    <t>kopā 2000EKK</t>
  </si>
  <si>
    <t>*apmaksa nav veikta</t>
  </si>
  <si>
    <t>Vid. mēnesī pēc fakta, euro</t>
  </si>
  <si>
    <t xml:space="preserve">1-14/2021/105 </t>
  </si>
  <si>
    <t>01.06.2021.</t>
  </si>
  <si>
    <t>Lautus  SIA</t>
  </si>
  <si>
    <t>Par tiesībām sniegt medicīnisko atkritumu savākšanas un izvešanas pakalpojumu</t>
  </si>
  <si>
    <t>Degvielas sadārdzinājums</t>
  </si>
  <si>
    <t>3.Pielikums 
Ministru kabineta rīkojuma “Par Zāļu valsts aģentūras 2022.gada budžeta apstiprināšanu” projekta sākotnējās ietekmes novērtējuma ziņojumam (anotācijai)</t>
  </si>
  <si>
    <t>4.Pielikums 
Ministru kabineta rīkojuma “Par Zāļu valsts aģentūras 2022.gada budžeta apstiprināšanu” projekta sākotnējās ietekmes novērtējuma ziņojumam (anotācijai)</t>
  </si>
  <si>
    <t>5.Pielikums 
Ministru kabineta rīkojuma “Par Zāļu valsts aģentūras 2022.gada budžeta apstiprināšanu” projekta sākotnējās ietekmes novērtējuma ziņojumam (anotācijai)</t>
  </si>
  <si>
    <t>  </t>
  </si>
  <si>
    <t>prognozētais patēriņa apjoms </t>
  </si>
  <si>
    <t>prognozētā gada summa (euro) </t>
  </si>
  <si>
    <t>2022.gada budžetā plānotā summa (euro) </t>
  </si>
  <si>
    <t>2022.gadam papildu nepieciešams (euro) </t>
  </si>
  <si>
    <t>Elektroenerģija (kWh) </t>
  </si>
  <si>
    <t>Siltumenerģija (mWh) </t>
  </si>
  <si>
    <t>Dabas gāze (m3) </t>
  </si>
  <si>
    <r>
      <t>Izdevumi par ūdensapgādi un kanalizāciju (EKK 2222) (m3)</t>
    </r>
    <r>
      <rPr>
        <sz val="11"/>
        <color rgb="FF000000"/>
        <rFont val="Times New Roman"/>
        <family val="1"/>
      </rPr>
      <t> </t>
    </r>
  </si>
  <si>
    <t>Izdevumi par atkritumu savākšanu, izvešanu no apdzīvotām vietām un teritorijām ārpus apdzīvotām vietām un atkritumu utilizāciju  (2224) (m3) </t>
  </si>
  <si>
    <t>KOPĀ:</t>
  </si>
  <si>
    <t>6.Pielikums 
Ministru kabineta rīkojuma “Par Zāļu valsts aģentūras 2022.gada budžeta apstiprināšanu” projekta sākotnējās ietekmes novērtējuma ziņojumam (anotācijai)</t>
  </si>
  <si>
    <t>Izmaksas uz 7 mēnešiem</t>
  </si>
  <si>
    <t>Izmaksas uz 6 mēnešiem</t>
  </si>
  <si>
    <t>1.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</si>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</sst>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0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86"/>
      <scheme val="minor"/>
    </font>
    <font>
      <sz val="10"/>
      <name val="BaltHelvetica"/>
    </font>
    <font>
      <sz val="10"/>
      <name val="Helv"/>
    </font>
    <font>
      <sz val="10"/>
      <color theme="1"/>
      <name val="Arial"/>
      <family val="2"/>
      <charset val="186"/>
    </font>
    <font>
      <sz val="9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sz val="9"/>
      <color rgb="FFFF0000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201F1E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</font>
    <font>
      <sz val="9"/>
      <color theme="1"/>
      <name val="Times New Roman"/>
      <family val="1"/>
    </font>
    <font>
      <sz val="10"/>
      <name val="Arial"/>
    </font>
    <font>
      <sz val="10"/>
      <name val="Times New Roman"/>
      <family val="1"/>
    </font>
    <font>
      <b/>
      <sz val="11"/>
      <name val="Times New Roman"/>
      <family val="1"/>
      <charset val="186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  <charset val="186"/>
    </font>
    <font>
      <sz val="11"/>
      <name val="Arial"/>
      <family val="2"/>
    </font>
    <font>
      <b/>
      <sz val="12"/>
      <name val="Times New Roman"/>
      <family val="1"/>
      <charset val="186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4" fillId="0" borderId="0"/>
    <xf numFmtId="0" fontId="1" fillId="0" borderId="0"/>
    <xf numFmtId="0" fontId="5" fillId="0" borderId="0"/>
    <xf numFmtId="0" fontId="6" fillId="0" borderId="0"/>
    <xf numFmtId="0" fontId="2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2" fillId="0" borderId="0"/>
    <xf numFmtId="0" fontId="28" fillId="0" borderId="0"/>
    <xf numFmtId="0" fontId="2" fillId="0" borderId="0"/>
    <xf numFmtId="0" fontId="2" fillId="0" borderId="0"/>
  </cellStyleXfs>
  <cellXfs count="144">
    <xf numFmtId="0" fontId="0" fillId="0" borderId="0" xfId="0"/>
    <xf numFmtId="0" fontId="0" fillId="0" borderId="0" xfId="0" applyAlignment="1">
      <alignment wrapText="1"/>
    </xf>
    <xf numFmtId="3" fontId="15" fillId="2" borderId="1" xfId="0" applyNumberFormat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" fontId="0" fillId="0" borderId="0" xfId="0" applyNumberFormat="1"/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4" fontId="11" fillId="4" borderId="1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/>
    </xf>
    <xf numFmtId="4" fontId="11" fillId="0" borderId="2" xfId="0" applyNumberFormat="1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3" fontId="12" fillId="0" borderId="1" xfId="2" applyNumberFormat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/>
    <xf numFmtId="0" fontId="11" fillId="2" borderId="1" xfId="0" applyFont="1" applyFill="1" applyBorder="1" applyAlignment="1">
      <alignment horizontal="center" vertical="center" wrapText="1"/>
    </xf>
    <xf numFmtId="2" fontId="11" fillId="3" borderId="1" xfId="0" applyNumberFormat="1" applyFont="1" applyFill="1" applyBorder="1" applyAlignment="1">
      <alignment horizontal="center" vertical="center"/>
    </xf>
    <xf numFmtId="2" fontId="10" fillId="3" borderId="1" xfId="0" applyNumberFormat="1" applyFont="1" applyFill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0" borderId="0" xfId="0" applyNumberFormat="1" applyFont="1"/>
    <xf numFmtId="2" fontId="11" fillId="2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4" fontId="11" fillId="2" borderId="1" xfId="0" applyNumberFormat="1" applyFont="1" applyFill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/>
    </xf>
    <xf numFmtId="3" fontId="16" fillId="0" borderId="0" xfId="0" applyNumberFormat="1" applyFont="1" applyBorder="1" applyAlignment="1">
      <alignment horizontal="center" vertical="center"/>
    </xf>
    <xf numFmtId="4" fontId="0" fillId="2" borderId="1" xfId="0" applyNumberFormat="1" applyFill="1" applyBorder="1" applyAlignment="1">
      <alignment wrapText="1"/>
    </xf>
    <xf numFmtId="4" fontId="3" fillId="0" borderId="1" xfId="0" applyNumberFormat="1" applyFont="1" applyBorder="1" applyAlignment="1">
      <alignment wrapText="1"/>
    </xf>
    <xf numFmtId="0" fontId="11" fillId="2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3" fontId="10" fillId="0" borderId="1" xfId="0" applyNumberFormat="1" applyFont="1" applyBorder="1" applyAlignment="1">
      <alignment horizontal="center"/>
    </xf>
    <xf numFmtId="2" fontId="10" fillId="3" borderId="1" xfId="0" applyNumberFormat="1" applyFont="1" applyFill="1" applyBorder="1" applyAlignment="1">
      <alignment horizontal="center"/>
    </xf>
    <xf numFmtId="3" fontId="10" fillId="3" borderId="1" xfId="0" applyNumberFormat="1" applyFont="1" applyFill="1" applyBorder="1" applyAlignment="1">
      <alignment horizontal="center"/>
    </xf>
    <xf numFmtId="3" fontId="10" fillId="4" borderId="1" xfId="0" applyNumberFormat="1" applyFont="1" applyFill="1" applyBorder="1" applyAlignment="1">
      <alignment horizontal="center"/>
    </xf>
    <xf numFmtId="3" fontId="16" fillId="4" borderId="0" xfId="0" applyNumberFormat="1" applyFont="1" applyFill="1" applyBorder="1" applyAlignment="1">
      <alignment horizontal="center"/>
    </xf>
    <xf numFmtId="49" fontId="20" fillId="0" borderId="5" xfId="0" applyNumberFormat="1" applyFont="1" applyBorder="1" applyAlignment="1">
      <alignment horizontal="center" wrapText="1"/>
    </xf>
    <xf numFmtId="0" fontId="23" fillId="0" borderId="1" xfId="0" applyFont="1" applyBorder="1" applyAlignment="1">
      <alignment horizontal="center"/>
    </xf>
    <xf numFmtId="49" fontId="23" fillId="0" borderId="1" xfId="0" applyNumberFormat="1" applyFont="1" applyBorder="1" applyAlignment="1">
      <alignment horizontal="center" wrapText="1"/>
    </xf>
    <xf numFmtId="0" fontId="23" fillId="0" borderId="1" xfId="0" applyFont="1" applyBorder="1" applyAlignment="1">
      <alignment horizontal="center" wrapText="1"/>
    </xf>
    <xf numFmtId="0" fontId="0" fillId="0" borderId="1" xfId="0" applyBorder="1"/>
    <xf numFmtId="4" fontId="0" fillId="0" borderId="1" xfId="0" applyNumberFormat="1" applyBorder="1"/>
    <xf numFmtId="49" fontId="20" fillId="0" borderId="1" xfId="0" applyNumberFormat="1" applyFont="1" applyBorder="1" applyAlignment="1">
      <alignment horizontal="center" vertical="center"/>
    </xf>
    <xf numFmtId="0" fontId="25" fillId="0" borderId="1" xfId="0" applyFont="1" applyBorder="1"/>
    <xf numFmtId="0" fontId="22" fillId="0" borderId="1" xfId="0" applyFont="1" applyBorder="1"/>
    <xf numFmtId="4" fontId="24" fillId="0" borderId="1" xfId="0" applyNumberFormat="1" applyFont="1" applyBorder="1"/>
    <xf numFmtId="4" fontId="26" fillId="0" borderId="1" xfId="0" applyNumberFormat="1" applyFont="1" applyBorder="1"/>
    <xf numFmtId="4" fontId="27" fillId="0" borderId="1" xfId="0" applyNumberFormat="1" applyFont="1" applyBorder="1" applyAlignment="1">
      <alignment horizontal="right" vertical="center"/>
    </xf>
    <xf numFmtId="0" fontId="20" fillId="0" borderId="1" xfId="0" applyFont="1" applyBorder="1"/>
    <xf numFmtId="4" fontId="23" fillId="0" borderId="1" xfId="0" applyNumberFormat="1" applyFont="1" applyBorder="1"/>
    <xf numFmtId="0" fontId="23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9" fillId="0" borderId="0" xfId="13" applyFont="1"/>
    <xf numFmtId="0" fontId="30" fillId="0" borderId="0" xfId="13" applyFont="1"/>
    <xf numFmtId="0" fontId="29" fillId="0" borderId="0" xfId="13" applyFont="1" applyAlignment="1">
      <alignment vertical="center" wrapText="1"/>
    </xf>
    <xf numFmtId="0" fontId="31" fillId="5" borderId="1" xfId="13" applyFont="1" applyFill="1" applyBorder="1" applyAlignment="1">
      <alignment horizontal="center" vertical="center" wrapText="1"/>
    </xf>
    <xf numFmtId="0" fontId="32" fillId="0" borderId="2" xfId="13" applyFont="1" applyBorder="1" applyAlignment="1">
      <alignment horizontal="left" vertical="center" wrapText="1"/>
    </xf>
    <xf numFmtId="3" fontId="32" fillId="0" borderId="1" xfId="13" applyNumberFormat="1" applyFont="1" applyBorder="1" applyAlignment="1">
      <alignment horizontal="center" vertical="center" wrapText="1"/>
    </xf>
    <xf numFmtId="3" fontId="31" fillId="5" borderId="1" xfId="13" applyNumberFormat="1" applyFont="1" applyFill="1" applyBorder="1" applyAlignment="1">
      <alignment horizontal="center" vertical="center" wrapText="1"/>
    </xf>
    <xf numFmtId="0" fontId="32" fillId="0" borderId="0" xfId="13" applyFont="1"/>
    <xf numFmtId="0" fontId="32" fillId="0" borderId="0" xfId="13" applyFont="1" applyAlignment="1">
      <alignment vertical="center" wrapText="1"/>
    </xf>
    <xf numFmtId="0" fontId="31" fillId="4" borderId="1" xfId="13" applyFont="1" applyFill="1" applyBorder="1" applyAlignment="1">
      <alignment horizontal="center" vertical="center"/>
    </xf>
    <xf numFmtId="0" fontId="33" fillId="4" borderId="1" xfId="14" applyFont="1" applyFill="1" applyBorder="1" applyAlignment="1">
      <alignment horizontal="center" vertical="center" wrapText="1"/>
    </xf>
    <xf numFmtId="0" fontId="31" fillId="4" borderId="1" xfId="11" applyFont="1" applyFill="1" applyBorder="1" applyAlignment="1">
      <alignment horizontal="center" vertical="center" wrapText="1"/>
    </xf>
    <xf numFmtId="0" fontId="31" fillId="4" borderId="1" xfId="11" applyFont="1" applyFill="1" applyBorder="1" applyAlignment="1">
      <alignment horizontal="center" vertical="center"/>
    </xf>
    <xf numFmtId="0" fontId="31" fillId="4" borderId="1" xfId="15" applyFont="1" applyFill="1" applyBorder="1" applyAlignment="1">
      <alignment horizontal="center" vertical="center" wrapText="1"/>
    </xf>
    <xf numFmtId="0" fontId="31" fillId="4" borderId="1" xfId="13" applyFont="1" applyFill="1" applyBorder="1" applyAlignment="1">
      <alignment horizontal="center" vertical="center" wrapText="1"/>
    </xf>
    <xf numFmtId="0" fontId="34" fillId="0" borderId="1" xfId="13" applyFont="1" applyBorder="1" applyAlignment="1">
      <alignment horizontal="left" vertical="center"/>
    </xf>
    <xf numFmtId="49" fontId="35" fillId="0" borderId="1" xfId="13" applyNumberFormat="1" applyFont="1" applyBorder="1" applyAlignment="1">
      <alignment horizontal="left"/>
    </xf>
    <xf numFmtId="0" fontId="32" fillId="0" borderId="1" xfId="11" applyFont="1" applyBorder="1" applyAlignment="1">
      <alignment vertical="center" wrapText="1"/>
    </xf>
    <xf numFmtId="49" fontId="32" fillId="0" borderId="1" xfId="13" applyNumberFormat="1" applyFont="1" applyBorder="1" applyAlignment="1">
      <alignment horizontal="left"/>
    </xf>
    <xf numFmtId="4" fontId="32" fillId="0" borderId="1" xfId="13" applyNumberFormat="1" applyFont="1" applyBorder="1" applyAlignment="1">
      <alignment horizontal="center" vertical="center"/>
    </xf>
    <xf numFmtId="4" fontId="32" fillId="0" borderId="0" xfId="13" applyNumberFormat="1" applyFont="1"/>
    <xf numFmtId="164" fontId="32" fillId="0" borderId="1" xfId="13" applyNumberFormat="1" applyFont="1" applyBorder="1" applyAlignment="1">
      <alignment horizontal="center" vertical="center"/>
    </xf>
    <xf numFmtId="4" fontId="31" fillId="2" borderId="1" xfId="13" applyNumberFormat="1" applyFont="1" applyFill="1" applyBorder="1" applyAlignment="1">
      <alignment horizontal="center" vertical="top"/>
    </xf>
    <xf numFmtId="0" fontId="31" fillId="0" borderId="0" xfId="13" applyFont="1" applyAlignment="1">
      <alignment horizontal="left" vertical="center"/>
    </xf>
    <xf numFmtId="49" fontId="32" fillId="0" borderId="0" xfId="13" applyNumberFormat="1" applyFont="1" applyAlignment="1">
      <alignment horizontal="center" vertical="center"/>
    </xf>
    <xf numFmtId="0" fontId="32" fillId="0" borderId="0" xfId="11" applyFont="1" applyAlignment="1">
      <alignment horizontal="center" vertical="center" wrapText="1"/>
    </xf>
    <xf numFmtId="49" fontId="32" fillId="0" borderId="0" xfId="13" applyNumberFormat="1" applyFont="1" applyAlignment="1">
      <alignment horizontal="left" vertical="center"/>
    </xf>
    <xf numFmtId="49" fontId="30" fillId="0" borderId="1" xfId="13" applyNumberFormat="1" applyFont="1" applyBorder="1" applyAlignment="1">
      <alignment horizontal="right"/>
    </xf>
    <xf numFmtId="4" fontId="30" fillId="0" borderId="1" xfId="13" applyNumberFormat="1" applyFont="1" applyBorder="1" applyAlignment="1">
      <alignment horizontal="center" vertical="center"/>
    </xf>
    <xf numFmtId="3" fontId="30" fillId="6" borderId="1" xfId="13" applyNumberFormat="1" applyFont="1" applyFill="1" applyBorder="1" applyAlignment="1">
      <alignment horizontal="center" vertical="center"/>
    </xf>
    <xf numFmtId="0" fontId="32" fillId="0" borderId="0" xfId="13" applyFont="1" applyAlignment="1">
      <alignment horizontal="left"/>
    </xf>
    <xf numFmtId="0" fontId="32" fillId="0" borderId="0" xfId="13" applyFont="1" applyAlignment="1">
      <alignment horizontal="center" vertical="top"/>
    </xf>
    <xf numFmtId="0" fontId="32" fillId="0" borderId="0" xfId="13" applyFont="1" applyAlignment="1">
      <alignment vertical="top"/>
    </xf>
    <xf numFmtId="0" fontId="32" fillId="0" borderId="1" xfId="13" applyFont="1" applyBorder="1" applyAlignment="1">
      <alignment horizontal="center" vertical="center"/>
    </xf>
    <xf numFmtId="49" fontId="32" fillId="0" borderId="1" xfId="13" applyNumberFormat="1" applyFont="1" applyBorder="1" applyAlignment="1">
      <alignment vertical="center"/>
    </xf>
    <xf numFmtId="0" fontId="32" fillId="0" borderId="1" xfId="13" applyFont="1" applyBorder="1" applyAlignment="1">
      <alignment vertical="top" wrapText="1"/>
    </xf>
    <xf numFmtId="4" fontId="32" fillId="0" borderId="1" xfId="13" applyNumberFormat="1" applyFont="1" applyBorder="1" applyAlignment="1">
      <alignment vertical="center"/>
    </xf>
    <xf numFmtId="164" fontId="32" fillId="0" borderId="1" xfId="13" applyNumberFormat="1" applyFont="1" applyBorder="1" applyAlignment="1">
      <alignment vertical="center"/>
    </xf>
    <xf numFmtId="3" fontId="31" fillId="5" borderId="1" xfId="13" applyNumberFormat="1" applyFont="1" applyFill="1" applyBorder="1" applyAlignment="1">
      <alignment vertical="center" wrapText="1"/>
    </xf>
    <xf numFmtId="4" fontId="32" fillId="0" borderId="0" xfId="13" applyNumberFormat="1" applyFont="1" applyAlignment="1">
      <alignment vertical="top"/>
    </xf>
    <xf numFmtId="0" fontId="37" fillId="7" borderId="1" xfId="0" applyFont="1" applyFill="1" applyBorder="1" applyAlignment="1">
      <alignment horizontal="center" vertical="center" wrapText="1"/>
    </xf>
    <xf numFmtId="0" fontId="37" fillId="7" borderId="1" xfId="0" applyFont="1" applyFill="1" applyBorder="1" applyAlignment="1">
      <alignment vertical="center" wrapText="1"/>
    </xf>
    <xf numFmtId="3" fontId="37" fillId="7" borderId="1" xfId="0" applyNumberFormat="1" applyFont="1" applyFill="1" applyBorder="1" applyAlignment="1">
      <alignment horizontal="center" vertical="center" wrapText="1"/>
    </xf>
    <xf numFmtId="0" fontId="38" fillId="7" borderId="1" xfId="0" applyFont="1" applyFill="1" applyBorder="1" applyAlignment="1">
      <alignment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vertical="center" wrapText="1"/>
    </xf>
    <xf numFmtId="3" fontId="39" fillId="9" borderId="1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9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0" fillId="0" borderId="3" xfId="0" applyFont="1" applyFill="1" applyBorder="1" applyAlignment="1">
      <alignment horizontal="right"/>
    </xf>
    <xf numFmtId="0" fontId="10" fillId="0" borderId="4" xfId="0" applyFont="1" applyFill="1" applyBorder="1" applyAlignment="1">
      <alignment horizontal="right"/>
    </xf>
    <xf numFmtId="0" fontId="18" fillId="0" borderId="0" xfId="0" applyFont="1" applyFill="1" applyAlignment="1">
      <alignment horizontal="right"/>
    </xf>
    <xf numFmtId="0" fontId="29" fillId="0" borderId="0" xfId="13" applyFont="1" applyAlignment="1">
      <alignment horizontal="left" vertical="center" wrapText="1"/>
    </xf>
    <xf numFmtId="0" fontId="32" fillId="0" borderId="0" xfId="13" applyFont="1" applyAlignment="1">
      <alignment horizontal="right" vertical="center" wrapText="1"/>
    </xf>
    <xf numFmtId="0" fontId="32" fillId="0" borderId="0" xfId="13" applyFont="1" applyAlignment="1">
      <alignment horizontal="left"/>
    </xf>
    <xf numFmtId="0" fontId="31" fillId="0" borderId="0" xfId="13" applyFont="1" applyAlignment="1">
      <alignment horizontal="center"/>
    </xf>
    <xf numFmtId="49" fontId="32" fillId="0" borderId="5" xfId="13" applyNumberFormat="1" applyFont="1" applyBorder="1" applyAlignment="1">
      <alignment horizontal="left" vertical="center"/>
    </xf>
    <xf numFmtId="49" fontId="32" fillId="0" borderId="6" xfId="13" applyNumberFormat="1" applyFont="1" applyBorder="1" applyAlignment="1">
      <alignment horizontal="left" vertical="center"/>
    </xf>
    <xf numFmtId="49" fontId="32" fillId="0" borderId="7" xfId="13" applyNumberFormat="1" applyFont="1" applyBorder="1" applyAlignment="1">
      <alignment horizontal="left" vertical="center"/>
    </xf>
    <xf numFmtId="4" fontId="32" fillId="0" borderId="5" xfId="13" applyNumberFormat="1" applyFont="1" applyBorder="1" applyAlignment="1">
      <alignment horizontal="center" vertical="center"/>
    </xf>
    <xf numFmtId="4" fontId="32" fillId="0" borderId="7" xfId="13" applyNumberFormat="1" applyFont="1" applyBorder="1" applyAlignment="1">
      <alignment horizontal="center" vertical="center"/>
    </xf>
    <xf numFmtId="164" fontId="32" fillId="0" borderId="5" xfId="13" applyNumberFormat="1" applyFont="1" applyBorder="1" applyAlignment="1">
      <alignment horizontal="center" vertical="center"/>
    </xf>
    <xf numFmtId="164" fontId="32" fillId="0" borderId="7" xfId="13" applyNumberFormat="1" applyFont="1" applyBorder="1" applyAlignment="1">
      <alignment horizontal="center" vertical="center"/>
    </xf>
    <xf numFmtId="4" fontId="31" fillId="2" borderId="5" xfId="13" applyNumberFormat="1" applyFont="1" applyFill="1" applyBorder="1" applyAlignment="1">
      <alignment horizontal="center" vertical="top"/>
    </xf>
    <xf numFmtId="4" fontId="31" fillId="2" borderId="7" xfId="13" applyNumberFormat="1" applyFont="1" applyFill="1" applyBorder="1" applyAlignment="1">
      <alignment horizontal="center" vertical="top"/>
    </xf>
    <xf numFmtId="0" fontId="36" fillId="0" borderId="8" xfId="13" applyFont="1" applyBorder="1" applyAlignment="1">
      <alignment horizontal="center"/>
    </xf>
    <xf numFmtId="0" fontId="36" fillId="0" borderId="0" xfId="13" applyFont="1" applyAlignment="1">
      <alignment horizontal="center"/>
    </xf>
    <xf numFmtId="0" fontId="32" fillId="0" borderId="3" xfId="13" applyFont="1" applyBorder="1" applyAlignment="1">
      <alignment horizontal="left"/>
    </xf>
    <xf numFmtId="0" fontId="20" fillId="0" borderId="1" xfId="0" applyFont="1" applyBorder="1" applyAlignment="1">
      <alignment horizontal="center" wrapText="1"/>
    </xf>
    <xf numFmtId="0" fontId="20" fillId="0" borderId="5" xfId="0" applyFont="1" applyBorder="1" applyAlignment="1">
      <alignment horizontal="center" wrapText="1"/>
    </xf>
    <xf numFmtId="0" fontId="21" fillId="0" borderId="1" xfId="0" applyFont="1" applyBorder="1" applyAlignment="1">
      <alignment horizontal="center" wrapText="1"/>
    </xf>
    <xf numFmtId="0" fontId="21" fillId="0" borderId="5" xfId="0" applyFont="1" applyBorder="1" applyAlignment="1">
      <alignment horizontal="center" wrapText="1"/>
    </xf>
    <xf numFmtId="0" fontId="22" fillId="0" borderId="1" xfId="0" applyFont="1" applyBorder="1" applyAlignment="1">
      <alignment horizontal="center" wrapText="1"/>
    </xf>
    <xf numFmtId="0" fontId="22" fillId="0" borderId="5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9" fillId="0" borderId="0" xfId="0" applyFont="1" applyAlignment="1">
      <alignment horizontal="center"/>
    </xf>
    <xf numFmtId="0" fontId="20" fillId="0" borderId="1" xfId="0" applyFont="1" applyBorder="1" applyAlignment="1">
      <alignment horizontal="center"/>
    </xf>
    <xf numFmtId="0" fontId="39" fillId="9" borderId="1" xfId="0" applyFont="1" applyFill="1" applyBorder="1" applyAlignment="1">
      <alignment horizontal="right"/>
    </xf>
    <xf numFmtId="3" fontId="15" fillId="10" borderId="1" xfId="0" applyNumberFormat="1" applyFont="1" applyFill="1" applyBorder="1" applyAlignment="1">
      <alignment horizontal="center" vertical="center" wrapText="1"/>
    </xf>
  </cellXfs>
  <cellStyles count="16">
    <cellStyle name="Normal" xfId="0" builtinId="0"/>
    <cellStyle name="Normal 17" xfId="6" xr:uid="{00000000-0005-0000-0000-000001000000}"/>
    <cellStyle name="Normal 2" xfId="4" xr:uid="{00000000-0005-0000-0000-000002000000}"/>
    <cellStyle name="Normal 2 10 2 2" xfId="12" xr:uid="{00000000-0005-0000-0000-000003000000}"/>
    <cellStyle name="Normal 2 2" xfId="7" xr:uid="{00000000-0005-0000-0000-000004000000}"/>
    <cellStyle name="Normal 2 3" xfId="1" xr:uid="{00000000-0005-0000-0000-000005000000}"/>
    <cellStyle name="Normal 3" xfId="3" xr:uid="{00000000-0005-0000-0000-000006000000}"/>
    <cellStyle name="Normal 3 2" xfId="14" xr:uid="{598C1BA1-8475-45E9-9A0B-DF278F739504}"/>
    <cellStyle name="Normal 3 4" xfId="15" xr:uid="{99466D72-F92D-42AB-ACAB-7CF1E9CA6DC3}"/>
    <cellStyle name="Normal 4" xfId="11" xr:uid="{00000000-0005-0000-0000-000007000000}"/>
    <cellStyle name="Normal 5" xfId="2" xr:uid="{00000000-0005-0000-0000-000008000000}"/>
    <cellStyle name="Normal 6" xfId="13" xr:uid="{78424562-1A38-47B0-BF51-F0AEBD3B9CE5}"/>
    <cellStyle name="Parastais 2" xfId="8" xr:uid="{00000000-0005-0000-0000-000009000000}"/>
    <cellStyle name="Parastais 3" xfId="9" xr:uid="{00000000-0005-0000-0000-00000A000000}"/>
    <cellStyle name="Parastais_FMLikp01_p05_221205_pap_afp_makp" xfId="5" xr:uid="{00000000-0005-0000-0000-00000B000000}"/>
    <cellStyle name="Stils 1" xfId="10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E72EB-09D8-47E9-AD67-415401C6FCDF}">
  <dimension ref="A1:O27"/>
  <sheetViews>
    <sheetView tabSelected="1" zoomScale="85" zoomScaleNormal="85" workbookViewId="0">
      <selection activeCell="J18" sqref="J18"/>
    </sheetView>
  </sheetViews>
  <sheetFormatPr defaultRowHeight="15"/>
  <cols>
    <col min="1" max="1" width="27.85546875" customWidth="1"/>
    <col min="2" max="2" width="11" customWidth="1"/>
    <col min="3" max="3" width="15.42578125" customWidth="1"/>
    <col min="4" max="4" width="12.28515625" customWidth="1"/>
    <col min="5" max="5" width="11.85546875" customWidth="1"/>
    <col min="6" max="6" width="13.5703125" customWidth="1"/>
    <col min="7" max="7" width="12.42578125" customWidth="1"/>
    <col min="8" max="8" width="14.28515625" customWidth="1"/>
    <col min="9" max="9" width="15.7109375" customWidth="1"/>
    <col min="10" max="10" width="17.42578125" customWidth="1"/>
    <col min="11" max="11" width="14" customWidth="1"/>
    <col min="12" max="12" width="15.7109375" customWidth="1"/>
    <col min="13" max="13" width="12" customWidth="1"/>
    <col min="14" max="14" width="13.140625" customWidth="1"/>
    <col min="15" max="15" width="12.140625" customWidth="1"/>
  </cols>
  <sheetData>
    <row r="1" spans="1:15" s="4" customFormat="1" ht="62.25" customHeight="1">
      <c r="L1" s="110" t="s">
        <v>55</v>
      </c>
      <c r="M1" s="111"/>
      <c r="N1" s="111"/>
      <c r="O1" s="111"/>
    </row>
    <row r="2" spans="1:15" s="4" customFormat="1" ht="79.5" customHeight="1">
      <c r="A2" s="112" t="s">
        <v>47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</row>
    <row r="3" spans="1:15" s="4" customFormat="1" ht="157.5">
      <c r="A3" s="10" t="s">
        <v>29</v>
      </c>
      <c r="B3" s="10" t="s">
        <v>30</v>
      </c>
      <c r="C3" s="10" t="s">
        <v>31</v>
      </c>
      <c r="D3" s="10" t="s">
        <v>5</v>
      </c>
      <c r="E3" s="10" t="s">
        <v>32</v>
      </c>
      <c r="F3" s="10" t="s">
        <v>0</v>
      </c>
      <c r="G3" s="10" t="s">
        <v>33</v>
      </c>
      <c r="H3" s="10" t="s">
        <v>34</v>
      </c>
      <c r="I3" s="10" t="s">
        <v>35</v>
      </c>
      <c r="J3" s="10" t="s">
        <v>36</v>
      </c>
      <c r="K3" s="10" t="s">
        <v>37</v>
      </c>
      <c r="L3" s="9" t="s">
        <v>46</v>
      </c>
      <c r="M3" s="18" t="s">
        <v>1</v>
      </c>
      <c r="N3" s="27" t="s">
        <v>44</v>
      </c>
      <c r="O3" s="19" t="s">
        <v>2</v>
      </c>
    </row>
    <row r="4" spans="1:15" s="4" customFormat="1" ht="31.5" hidden="1">
      <c r="A4" s="10">
        <v>1</v>
      </c>
      <c r="B4" s="10">
        <v>2</v>
      </c>
      <c r="C4" s="10">
        <v>3</v>
      </c>
      <c r="D4" s="10">
        <v>4</v>
      </c>
      <c r="E4" s="10">
        <v>5</v>
      </c>
      <c r="F4" s="10">
        <v>6</v>
      </c>
      <c r="G4" s="10" t="s">
        <v>38</v>
      </c>
      <c r="H4" s="10" t="s">
        <v>39</v>
      </c>
      <c r="I4" s="10" t="s">
        <v>40</v>
      </c>
      <c r="J4" s="10" t="s">
        <v>41</v>
      </c>
      <c r="K4" s="10" t="s">
        <v>42</v>
      </c>
      <c r="L4" s="24" t="s">
        <v>53</v>
      </c>
      <c r="M4" s="10" t="s">
        <v>43</v>
      </c>
      <c r="N4" s="28" t="s">
        <v>43</v>
      </c>
      <c r="O4" s="10" t="s">
        <v>43</v>
      </c>
    </row>
    <row r="5" spans="1:15" s="4" customFormat="1" ht="15.75">
      <c r="A5" s="2" t="s">
        <v>7</v>
      </c>
      <c r="B5" s="2">
        <v>1</v>
      </c>
      <c r="C5" s="2">
        <v>10</v>
      </c>
      <c r="D5" s="2" t="s">
        <v>3</v>
      </c>
      <c r="E5" s="38">
        <v>12</v>
      </c>
      <c r="F5" s="13">
        <v>1647</v>
      </c>
      <c r="G5" s="33">
        <f t="shared" ref="G5:G6" si="0">F5*0.1</f>
        <v>164.70000000000002</v>
      </c>
      <c r="H5" s="33">
        <f t="shared" ref="H5:H6" si="1">F5*0.1</f>
        <v>164.70000000000002</v>
      </c>
      <c r="I5" s="33">
        <f t="shared" ref="I5:I6" si="2">F5*0.05</f>
        <v>82.350000000000009</v>
      </c>
      <c r="J5" s="33">
        <f t="shared" ref="J5:J6" si="3">(F5+G5+H5+I5)*0.2359</f>
        <v>485.65912500000002</v>
      </c>
      <c r="K5" s="33">
        <f t="shared" ref="K5:K6" si="4">F5+G5+H5+I5+J5</f>
        <v>2544.4091250000001</v>
      </c>
      <c r="L5" s="33">
        <f>K5*7*B5</f>
        <v>17810.863875000003</v>
      </c>
      <c r="M5" s="31">
        <f>ROUND((D26/12*7),2)</f>
        <v>1187.2</v>
      </c>
      <c r="N5" s="31">
        <f>ROUND((M5*B5),2)</f>
        <v>1187.2</v>
      </c>
      <c r="O5" s="13">
        <f t="shared" ref="O5:O6" si="5">N5+L5</f>
        <v>18998.063875000003</v>
      </c>
    </row>
    <row r="6" spans="1:15" s="4" customFormat="1" ht="15.75">
      <c r="A6" s="2" t="s">
        <v>6</v>
      </c>
      <c r="B6" s="2">
        <v>1</v>
      </c>
      <c r="C6" s="2">
        <v>10</v>
      </c>
      <c r="D6" s="2" t="s">
        <v>4</v>
      </c>
      <c r="E6" s="38">
        <v>10</v>
      </c>
      <c r="F6" s="13">
        <v>1287</v>
      </c>
      <c r="G6" s="33">
        <f t="shared" si="0"/>
        <v>128.70000000000002</v>
      </c>
      <c r="H6" s="33">
        <f t="shared" si="1"/>
        <v>128.70000000000002</v>
      </c>
      <c r="I6" s="33">
        <f t="shared" si="2"/>
        <v>64.350000000000009</v>
      </c>
      <c r="J6" s="34">
        <f t="shared" si="3"/>
        <v>379.50412499999999</v>
      </c>
      <c r="K6" s="33">
        <f t="shared" si="4"/>
        <v>1988.2541249999999</v>
      </c>
      <c r="L6" s="33">
        <f>K6*7*B6</f>
        <v>13917.778875</v>
      </c>
      <c r="M6" s="31">
        <f>ROUND((D26/12*7),2)</f>
        <v>1187.2</v>
      </c>
      <c r="N6" s="31">
        <f>ROUND((M6*B6),2)</f>
        <v>1187.2</v>
      </c>
      <c r="O6" s="13">
        <f t="shared" si="5"/>
        <v>15104.978875000001</v>
      </c>
    </row>
    <row r="7" spans="1:15" s="4" customFormat="1" ht="15.75">
      <c r="A7" s="23"/>
      <c r="B7" s="23"/>
      <c r="C7" s="23"/>
      <c r="D7" s="23"/>
      <c r="E7" s="23"/>
      <c r="F7" s="23"/>
      <c r="G7" s="23"/>
      <c r="H7" s="23"/>
      <c r="I7" s="23"/>
      <c r="J7" s="114" t="s">
        <v>50</v>
      </c>
      <c r="K7" s="115"/>
      <c r="L7" s="43">
        <f>SUM(L5:L6)</f>
        <v>31728.642750000003</v>
      </c>
      <c r="M7" s="16"/>
      <c r="N7" s="26">
        <f>SUM(N5:N6)</f>
        <v>2374.4</v>
      </c>
      <c r="O7" s="17">
        <f>SUM(O5:O6)</f>
        <v>34103.042750000008</v>
      </c>
    </row>
    <row r="8" spans="1:15" s="4" customFormat="1" ht="87.75" customHeight="1">
      <c r="A8" s="112" t="s">
        <v>48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</row>
    <row r="9" spans="1:15" s="1" customFormat="1" ht="157.5">
      <c r="A9" s="10" t="s">
        <v>29</v>
      </c>
      <c r="B9" s="10" t="s">
        <v>30</v>
      </c>
      <c r="C9" s="10" t="s">
        <v>31</v>
      </c>
      <c r="D9" s="10" t="s">
        <v>5</v>
      </c>
      <c r="E9" s="10" t="s">
        <v>32</v>
      </c>
      <c r="F9" s="10" t="s">
        <v>0</v>
      </c>
      <c r="G9" s="10" t="s">
        <v>33</v>
      </c>
      <c r="H9" s="10" t="s">
        <v>34</v>
      </c>
      <c r="I9" s="10" t="s">
        <v>35</v>
      </c>
      <c r="J9" s="10" t="s">
        <v>36</v>
      </c>
      <c r="K9" s="10" t="s">
        <v>37</v>
      </c>
      <c r="L9" s="9" t="s">
        <v>49</v>
      </c>
      <c r="M9" s="18" t="s">
        <v>1</v>
      </c>
      <c r="N9" s="27" t="s">
        <v>44</v>
      </c>
      <c r="O9" s="3" t="s">
        <v>2</v>
      </c>
    </row>
    <row r="10" spans="1:15" s="4" customFormat="1" ht="31.5" hidden="1">
      <c r="A10" s="10">
        <v>1</v>
      </c>
      <c r="B10" s="10">
        <v>2</v>
      </c>
      <c r="C10" s="10">
        <v>3</v>
      </c>
      <c r="D10" s="10">
        <v>4</v>
      </c>
      <c r="E10" s="10">
        <v>5</v>
      </c>
      <c r="F10" s="10">
        <v>6</v>
      </c>
      <c r="G10" s="10" t="s">
        <v>38</v>
      </c>
      <c r="H10" s="10" t="s">
        <v>39</v>
      </c>
      <c r="I10" s="10" t="s">
        <v>40</v>
      </c>
      <c r="J10" s="10" t="s">
        <v>41</v>
      </c>
      <c r="K10" s="10" t="s">
        <v>42</v>
      </c>
      <c r="L10" s="24" t="s">
        <v>54</v>
      </c>
      <c r="M10" s="10" t="s">
        <v>43</v>
      </c>
      <c r="N10" s="28" t="s">
        <v>43</v>
      </c>
      <c r="O10" s="10" t="s">
        <v>43</v>
      </c>
    </row>
    <row r="11" spans="1:15" s="4" customFormat="1" ht="15.75">
      <c r="A11" s="20" t="s">
        <v>28</v>
      </c>
      <c r="B11" s="10">
        <v>1</v>
      </c>
      <c r="C11" s="20">
        <v>13</v>
      </c>
      <c r="D11" s="21" t="s">
        <v>3</v>
      </c>
      <c r="E11" s="39">
        <v>11</v>
      </c>
      <c r="F11" s="22">
        <v>2321</v>
      </c>
      <c r="G11" s="11">
        <f>F11*0.1</f>
        <v>232.10000000000002</v>
      </c>
      <c r="H11" s="11">
        <f>F11*0.1</f>
        <v>232.10000000000002</v>
      </c>
      <c r="I11" s="11">
        <f>F11*0.05</f>
        <v>116.05000000000001</v>
      </c>
      <c r="J11" s="11">
        <f>(F11+G11+H11+I11)*0.2359</f>
        <v>684.40487499999995</v>
      </c>
      <c r="K11" s="11">
        <f>F11+G11+H11+I11+J11</f>
        <v>3585.6548750000002</v>
      </c>
      <c r="L11" s="12">
        <f>K11*6*B11</f>
        <v>21513.929250000001</v>
      </c>
      <c r="M11" s="31">
        <f>ROUND(($D$26/12*6),2)</f>
        <v>1017.6</v>
      </c>
      <c r="N11" s="25">
        <f>ROUND((M11*B11),2)</f>
        <v>1017.6</v>
      </c>
      <c r="O11" s="14">
        <f>N11+L11</f>
        <v>22531.52925</v>
      </c>
    </row>
    <row r="12" spans="1:15" s="4" customFormat="1" ht="15.75">
      <c r="A12" s="21" t="s">
        <v>6</v>
      </c>
      <c r="B12" s="21">
        <v>2</v>
      </c>
      <c r="C12" s="21">
        <v>24</v>
      </c>
      <c r="D12" s="143" t="s">
        <v>157</v>
      </c>
      <c r="E12" s="39">
        <v>10</v>
      </c>
      <c r="F12" s="22">
        <v>1859</v>
      </c>
      <c r="G12" s="11">
        <f t="shared" ref="G12" si="6">F12*0.1</f>
        <v>185.9</v>
      </c>
      <c r="H12" s="11">
        <f t="shared" ref="H12" si="7">F12*0.1</f>
        <v>185.9</v>
      </c>
      <c r="I12" s="11">
        <f t="shared" ref="I12" si="8">F12*0.05</f>
        <v>92.95</v>
      </c>
      <c r="J12" s="15">
        <f t="shared" ref="J12" si="9">(F12+G12+H12+I12)*0.2359</f>
        <v>548.17262500000004</v>
      </c>
      <c r="K12" s="11">
        <f>F12+G12+H12+I12+J12</f>
        <v>2871.9226250000002</v>
      </c>
      <c r="L12" s="12">
        <f>K12*6*B12</f>
        <v>34463.071500000005</v>
      </c>
      <c r="M12" s="31">
        <f>ROUND(($D$26/12*6),2)</f>
        <v>1017.6</v>
      </c>
      <c r="N12" s="25">
        <f>ROUND((M12*B12),2)</f>
        <v>2035.2</v>
      </c>
      <c r="O12" s="14">
        <f t="shared" ref="O12" si="10">N12+L12</f>
        <v>36498.271500000003</v>
      </c>
    </row>
    <row r="13" spans="1:15" s="4" customFormat="1" ht="15.75">
      <c r="A13" s="23"/>
      <c r="B13" s="23"/>
      <c r="C13" s="23"/>
      <c r="D13" s="23"/>
      <c r="E13" s="23"/>
      <c r="F13" s="23"/>
      <c r="G13" s="23"/>
      <c r="H13" s="23"/>
      <c r="I13" s="23"/>
      <c r="J13" s="114" t="s">
        <v>51</v>
      </c>
      <c r="K13" s="115"/>
      <c r="L13" s="43">
        <f>SUM(L11:L12)</f>
        <v>55977.000750000007</v>
      </c>
      <c r="M13" s="40"/>
      <c r="N13" s="41">
        <f>SUM(N11:N12)</f>
        <v>3052.8</v>
      </c>
      <c r="O13" s="42">
        <f>SUM(O11:O12)</f>
        <v>59029.800750000002</v>
      </c>
    </row>
    <row r="14" spans="1:15" s="4" customFormat="1" ht="15.75">
      <c r="A14" s="23"/>
      <c r="B14" s="23"/>
      <c r="C14" s="23"/>
      <c r="D14" s="23"/>
      <c r="E14" s="23"/>
      <c r="F14" s="23"/>
      <c r="G14" s="23"/>
      <c r="H14" s="23"/>
      <c r="I14" s="23"/>
      <c r="J14" s="116" t="s">
        <v>52</v>
      </c>
      <c r="K14" s="116"/>
      <c r="L14" s="44">
        <f>L7+L13</f>
        <v>87705.643500000006</v>
      </c>
      <c r="M14" s="35"/>
      <c r="N14" s="44">
        <f t="shared" ref="N14" si="11">N7+N13</f>
        <v>5427.2000000000007</v>
      </c>
      <c r="O14" s="44">
        <f>O7+O13</f>
        <v>93132.843500000017</v>
      </c>
    </row>
    <row r="15" spans="1:15" s="4" customFormat="1"/>
    <row r="16" spans="1:15" s="4" customFormat="1">
      <c r="A16" s="113" t="s">
        <v>27</v>
      </c>
      <c r="B16" s="113"/>
      <c r="C16" s="113"/>
      <c r="D16" s="113"/>
      <c r="N16" s="29"/>
    </row>
    <row r="17" spans="1:15" s="4" customFormat="1" ht="30">
      <c r="A17" s="6" t="s">
        <v>8</v>
      </c>
      <c r="B17" s="6" t="s">
        <v>26</v>
      </c>
      <c r="C17" s="6" t="s">
        <v>45</v>
      </c>
      <c r="D17" s="6" t="s">
        <v>25</v>
      </c>
      <c r="E17" s="108" t="s">
        <v>154</v>
      </c>
      <c r="F17" s="108" t="s">
        <v>155</v>
      </c>
      <c r="L17" s="32"/>
      <c r="N17" s="32"/>
      <c r="O17" s="32"/>
    </row>
    <row r="18" spans="1:15" s="4" customFormat="1" ht="30">
      <c r="A18" s="7" t="s">
        <v>10</v>
      </c>
      <c r="B18" s="7" t="s">
        <v>9</v>
      </c>
      <c r="C18" s="36">
        <v>77894.14</v>
      </c>
      <c r="D18" s="36">
        <f>C18/148</f>
        <v>526.31175675675672</v>
      </c>
      <c r="E18" s="49">
        <f>ROUND((D18/12*7),2)</f>
        <v>307.02</v>
      </c>
      <c r="F18" s="109">
        <f>ROUND((D18/12*6),2)</f>
        <v>263.16000000000003</v>
      </c>
      <c r="N18" s="29"/>
    </row>
    <row r="19" spans="1:15" s="4" customFormat="1" ht="30">
      <c r="A19" s="7" t="s">
        <v>12</v>
      </c>
      <c r="B19" s="7" t="s">
        <v>11</v>
      </c>
      <c r="C19" s="36">
        <v>2334.1</v>
      </c>
      <c r="D19" s="36">
        <f t="shared" ref="D19:D25" si="12">C19/148</f>
        <v>15.770945945945945</v>
      </c>
      <c r="E19" s="49">
        <f t="shared" ref="E19:E25" si="13">ROUND((D19/12*7),2)</f>
        <v>9.1999999999999993</v>
      </c>
      <c r="F19" s="109">
        <f t="shared" ref="F19:F25" si="14">ROUND((D19/12*6),2)</f>
        <v>7.89</v>
      </c>
      <c r="N19" s="29"/>
    </row>
    <row r="20" spans="1:15" s="4" customFormat="1">
      <c r="A20" s="7" t="s">
        <v>14</v>
      </c>
      <c r="B20" s="7" t="s">
        <v>13</v>
      </c>
      <c r="C20" s="36">
        <v>41357.29</v>
      </c>
      <c r="D20" s="36">
        <f t="shared" si="12"/>
        <v>279.44114864864866</v>
      </c>
      <c r="E20" s="49">
        <f t="shared" si="13"/>
        <v>163.01</v>
      </c>
      <c r="F20" s="109">
        <f t="shared" si="14"/>
        <v>139.72</v>
      </c>
      <c r="N20" s="30"/>
      <c r="O20" s="5"/>
    </row>
    <row r="21" spans="1:15" ht="30">
      <c r="A21" s="7" t="s">
        <v>16</v>
      </c>
      <c r="B21" s="7" t="s">
        <v>15</v>
      </c>
      <c r="C21" s="36">
        <v>18023.330000000002</v>
      </c>
      <c r="D21" s="36">
        <f t="shared" si="12"/>
        <v>121.77925675675677</v>
      </c>
      <c r="E21" s="49">
        <f t="shared" si="13"/>
        <v>71.040000000000006</v>
      </c>
      <c r="F21" s="109">
        <f t="shared" si="14"/>
        <v>60.89</v>
      </c>
      <c r="G21" s="4"/>
      <c r="H21" s="4"/>
      <c r="I21" s="4"/>
      <c r="J21" s="4"/>
      <c r="K21" s="4"/>
      <c r="L21" s="4"/>
      <c r="M21" s="4"/>
      <c r="N21" s="29"/>
      <c r="O21" s="8"/>
    </row>
    <row r="22" spans="1:15">
      <c r="A22" s="7" t="s">
        <v>18</v>
      </c>
      <c r="B22" s="7" t="s">
        <v>17</v>
      </c>
      <c r="C22" s="36">
        <v>4496.76</v>
      </c>
      <c r="D22" s="36">
        <f t="shared" si="12"/>
        <v>30.383513513513513</v>
      </c>
      <c r="E22" s="49">
        <f t="shared" si="13"/>
        <v>17.72</v>
      </c>
      <c r="F22" s="109">
        <f t="shared" si="14"/>
        <v>15.19</v>
      </c>
      <c r="G22" s="4"/>
      <c r="H22" s="4"/>
      <c r="I22" s="4"/>
      <c r="J22" s="4"/>
      <c r="K22" s="4"/>
      <c r="L22" s="4"/>
      <c r="M22" s="8"/>
      <c r="N22" s="29"/>
      <c r="O22" s="4"/>
    </row>
    <row r="23" spans="1:15">
      <c r="A23" s="7" t="s">
        <v>20</v>
      </c>
      <c r="B23" s="7" t="s">
        <v>19</v>
      </c>
      <c r="C23" s="36">
        <v>18886.46</v>
      </c>
      <c r="D23" s="36">
        <f t="shared" si="12"/>
        <v>127.61121621621621</v>
      </c>
      <c r="E23" s="49">
        <f t="shared" si="13"/>
        <v>74.44</v>
      </c>
      <c r="F23" s="109">
        <f t="shared" si="14"/>
        <v>63.81</v>
      </c>
      <c r="G23" s="4"/>
      <c r="H23" s="4"/>
      <c r="I23" s="4"/>
      <c r="J23" s="4"/>
      <c r="K23" s="4"/>
      <c r="L23" s="4"/>
      <c r="M23" s="4"/>
      <c r="N23" s="29"/>
      <c r="O23" s="4"/>
    </row>
    <row r="24" spans="1:15" ht="45">
      <c r="A24" s="7" t="s">
        <v>22</v>
      </c>
      <c r="B24" s="7" t="s">
        <v>21</v>
      </c>
      <c r="C24" s="36">
        <v>65731.56</v>
      </c>
      <c r="D24" s="36">
        <f t="shared" si="12"/>
        <v>444.13216216216216</v>
      </c>
      <c r="E24" s="49">
        <f t="shared" si="13"/>
        <v>259.08</v>
      </c>
      <c r="F24" s="109">
        <f t="shared" si="14"/>
        <v>222.07</v>
      </c>
      <c r="G24" s="4"/>
      <c r="H24" s="4"/>
      <c r="I24" s="4"/>
      <c r="J24" s="4"/>
      <c r="K24" s="4"/>
      <c r="L24" s="4"/>
      <c r="M24" s="4"/>
      <c r="N24" s="29"/>
      <c r="O24" s="4"/>
    </row>
    <row r="25" spans="1:15" ht="30">
      <c r="A25" s="7" t="s">
        <v>24</v>
      </c>
      <c r="B25" s="7" t="s">
        <v>23</v>
      </c>
      <c r="C25" s="36">
        <v>72487.199999999997</v>
      </c>
      <c r="D25" s="36">
        <f t="shared" si="12"/>
        <v>489.77837837837836</v>
      </c>
      <c r="E25" s="49">
        <f t="shared" si="13"/>
        <v>285.7</v>
      </c>
      <c r="F25" s="109">
        <f t="shared" si="14"/>
        <v>244.89</v>
      </c>
      <c r="G25" s="4"/>
      <c r="H25" s="4"/>
      <c r="I25" s="4"/>
      <c r="J25" s="4"/>
      <c r="K25" s="4"/>
      <c r="L25" s="4"/>
      <c r="M25" s="4"/>
      <c r="N25" s="29"/>
      <c r="O25" s="4"/>
    </row>
    <row r="26" spans="1:15">
      <c r="A26" s="7"/>
      <c r="B26" s="7"/>
      <c r="C26" s="7"/>
      <c r="D26" s="37">
        <f>SUM(D18:D25)</f>
        <v>2035.2083783783785</v>
      </c>
      <c r="E26" s="37">
        <f t="shared" ref="E26:F26" si="15">SUM(E18:E25)</f>
        <v>1187.21</v>
      </c>
      <c r="F26" s="37">
        <f t="shared" si="15"/>
        <v>1017.62</v>
      </c>
      <c r="G26" s="4"/>
      <c r="H26" s="4"/>
      <c r="I26" s="4"/>
      <c r="J26" s="4"/>
      <c r="K26" s="4"/>
      <c r="L26" s="4"/>
      <c r="M26" s="4"/>
      <c r="N26" s="29"/>
      <c r="O26" s="4"/>
    </row>
    <row r="27" spans="1:1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29"/>
      <c r="O27" s="4"/>
    </row>
  </sheetData>
  <mergeCells count="7">
    <mergeCell ref="L1:O1"/>
    <mergeCell ref="A2:O2"/>
    <mergeCell ref="A16:D16"/>
    <mergeCell ref="A8:O8"/>
    <mergeCell ref="J7:K7"/>
    <mergeCell ref="J13:K13"/>
    <mergeCell ref="J14:K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E13C3-99BA-4CA5-87B3-8B9B0DC75E1C}">
  <dimension ref="A1:E7"/>
  <sheetViews>
    <sheetView zoomScale="75" zoomScaleNormal="75" workbookViewId="0">
      <selection activeCell="B2" sqref="B2"/>
    </sheetView>
  </sheetViews>
  <sheetFormatPr defaultColWidth="9.140625" defaultRowHeight="12.75"/>
  <cols>
    <col min="1" max="1" width="54.140625" style="61" customWidth="1"/>
    <col min="2" max="2" width="23.28515625" style="61" customWidth="1"/>
    <col min="3" max="16384" width="9.140625" style="61"/>
  </cols>
  <sheetData>
    <row r="1" spans="1:5" ht="47.25" customHeight="1">
      <c r="B1" s="117" t="s">
        <v>105</v>
      </c>
      <c r="C1" s="117"/>
      <c r="D1" s="117"/>
      <c r="E1" s="117"/>
    </row>
    <row r="2" spans="1:5" ht="15" customHeight="1">
      <c r="A2" s="62" t="s">
        <v>106</v>
      </c>
      <c r="B2" s="63"/>
    </row>
    <row r="3" spans="1:5" ht="43.15" customHeight="1">
      <c r="A3" s="64" t="s">
        <v>107</v>
      </c>
      <c r="B3" s="64" t="s">
        <v>108</v>
      </c>
    </row>
    <row r="4" spans="1:5" ht="30">
      <c r="A4" s="65" t="s">
        <v>109</v>
      </c>
      <c r="B4" s="66">
        <f>NMPD_Skābeklis!L7</f>
        <v>23383</v>
      </c>
    </row>
    <row r="5" spans="1:5" ht="27" customHeight="1">
      <c r="A5" s="65" t="s">
        <v>110</v>
      </c>
      <c r="B5" s="66">
        <f>NMPD_Utilizācija!L4</f>
        <v>15408</v>
      </c>
    </row>
    <row r="6" spans="1:5" ht="27" customHeight="1">
      <c r="A6" s="65" t="s">
        <v>138</v>
      </c>
      <c r="B6" s="66">
        <f>NMPD_degviela!T7</f>
        <v>390936.62</v>
      </c>
    </row>
    <row r="7" spans="1:5" ht="14.25">
      <c r="A7" s="64" t="s">
        <v>111</v>
      </c>
      <c r="B7" s="67">
        <f>SUM(B4:B6)</f>
        <v>429727.62</v>
      </c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E7BFB-886F-4E81-87A4-179F344A0476}">
  <sheetPr>
    <tabColor theme="6" tint="0.79998168889431442"/>
  </sheetPr>
  <dimension ref="A1:M14"/>
  <sheetViews>
    <sheetView zoomScale="59" zoomScaleNormal="59" workbookViewId="0">
      <selection activeCell="H26" sqref="H26"/>
    </sheetView>
  </sheetViews>
  <sheetFormatPr defaultColWidth="9.140625" defaultRowHeight="15"/>
  <cols>
    <col min="1" max="1" width="9.140625" style="68"/>
    <col min="2" max="2" width="12.7109375" style="68" customWidth="1"/>
    <col min="3" max="3" width="14.140625" style="68" customWidth="1"/>
    <col min="4" max="4" width="15.42578125" style="68" customWidth="1"/>
    <col min="5" max="5" width="55" style="68" customWidth="1"/>
    <col min="6" max="7" width="17" style="68" customWidth="1"/>
    <col min="8" max="8" width="22.140625" style="68" customWidth="1"/>
    <col min="9" max="9" width="15.140625" style="68" customWidth="1"/>
    <col min="10" max="10" width="13.28515625" style="68" customWidth="1"/>
    <col min="11" max="11" width="20.28515625" style="68" customWidth="1"/>
    <col min="12" max="12" width="13.7109375" style="68" customWidth="1"/>
    <col min="13" max="13" width="19.140625" style="68" customWidth="1"/>
    <col min="14" max="16384" width="9.140625" style="68"/>
  </cols>
  <sheetData>
    <row r="1" spans="1:13" ht="92.25" customHeight="1">
      <c r="H1" s="69"/>
      <c r="I1" s="69"/>
      <c r="J1" s="118" t="s">
        <v>139</v>
      </c>
      <c r="K1" s="118"/>
      <c r="L1" s="118"/>
      <c r="M1" s="69"/>
    </row>
    <row r="2" spans="1:13">
      <c r="A2" s="120" t="s">
        <v>112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</row>
    <row r="3" spans="1:13" ht="42.75">
      <c r="A3" s="70" t="s">
        <v>26</v>
      </c>
      <c r="B3" s="71" t="s">
        <v>113</v>
      </c>
      <c r="C3" s="72" t="s">
        <v>114</v>
      </c>
      <c r="D3" s="73" t="s">
        <v>115</v>
      </c>
      <c r="E3" s="74" t="s">
        <v>116</v>
      </c>
      <c r="F3" s="75" t="s">
        <v>117</v>
      </c>
      <c r="G3" s="75" t="s">
        <v>118</v>
      </c>
      <c r="H3" s="75" t="s">
        <v>119</v>
      </c>
      <c r="I3" s="75" t="s">
        <v>120</v>
      </c>
      <c r="J3" s="75" t="s">
        <v>121</v>
      </c>
      <c r="K3" s="75" t="s">
        <v>122</v>
      </c>
      <c r="L3" s="64" t="s">
        <v>123</v>
      </c>
    </row>
    <row r="4" spans="1:13" ht="13.9" customHeight="1">
      <c r="A4" s="76">
        <v>2341</v>
      </c>
      <c r="B4" s="77" t="s">
        <v>124</v>
      </c>
      <c r="C4" s="78" t="s">
        <v>125</v>
      </c>
      <c r="D4" s="121" t="s">
        <v>126</v>
      </c>
      <c r="E4" s="79" t="s">
        <v>127</v>
      </c>
      <c r="F4" s="124">
        <v>6830.01</v>
      </c>
      <c r="G4" s="124">
        <f>F4*12</f>
        <v>81960.12</v>
      </c>
      <c r="H4" s="80">
        <v>25164.79</v>
      </c>
      <c r="I4" s="124">
        <f>(H4+H5)/3</f>
        <v>11129.463333333333</v>
      </c>
      <c r="J4" s="126">
        <f>I4/F4-1</f>
        <v>0.62949444193102688</v>
      </c>
      <c r="K4" s="124">
        <f>I4-F4</f>
        <v>4299.4533333333329</v>
      </c>
      <c r="L4" s="128">
        <f>ROUND(K4*4,0)</f>
        <v>17198</v>
      </c>
      <c r="M4" s="81"/>
    </row>
    <row r="5" spans="1:13" ht="13.9" customHeight="1">
      <c r="A5" s="76">
        <v>2341</v>
      </c>
      <c r="B5" s="77" t="s">
        <v>128</v>
      </c>
      <c r="C5" s="78" t="s">
        <v>129</v>
      </c>
      <c r="D5" s="122"/>
      <c r="E5" s="79" t="s">
        <v>127</v>
      </c>
      <c r="F5" s="125"/>
      <c r="G5" s="125"/>
      <c r="H5" s="80">
        <v>8223.6</v>
      </c>
      <c r="I5" s="125"/>
      <c r="J5" s="127"/>
      <c r="K5" s="125"/>
      <c r="L5" s="129"/>
    </row>
    <row r="6" spans="1:13">
      <c r="A6" s="76">
        <v>2264</v>
      </c>
      <c r="B6" s="77" t="s">
        <v>124</v>
      </c>
      <c r="C6" s="78" t="s">
        <v>125</v>
      </c>
      <c r="D6" s="123"/>
      <c r="E6" s="79" t="s">
        <v>130</v>
      </c>
      <c r="F6" s="80">
        <v>1157.5500000000002</v>
      </c>
      <c r="G6" s="80">
        <f>F6*12</f>
        <v>13890.600000000002</v>
      </c>
      <c r="H6" s="80">
        <v>8111.48</v>
      </c>
      <c r="I6" s="80">
        <f>H6/3</f>
        <v>2703.8266666666664</v>
      </c>
      <c r="J6" s="82">
        <f>I6/F6-1</f>
        <v>1.3358184671648448</v>
      </c>
      <c r="K6" s="80">
        <f>I6-F6</f>
        <v>1546.2766666666662</v>
      </c>
      <c r="L6" s="83">
        <f>ROUND(K6*4,0)</f>
        <v>6185</v>
      </c>
    </row>
    <row r="7" spans="1:13">
      <c r="A7" s="84"/>
      <c r="B7" s="85"/>
      <c r="C7" s="86"/>
      <c r="D7" s="87"/>
      <c r="E7" s="88" t="s">
        <v>131</v>
      </c>
      <c r="F7" s="89">
        <f t="shared" ref="F7:L7" si="0">SUM(F4:F6)</f>
        <v>7987.56</v>
      </c>
      <c r="G7" s="89">
        <f>SUM(G4:G6)</f>
        <v>95850.72</v>
      </c>
      <c r="H7" s="89">
        <f t="shared" si="0"/>
        <v>41499.869999999995</v>
      </c>
      <c r="I7" s="89">
        <f t="shared" si="0"/>
        <v>13833.289999999999</v>
      </c>
      <c r="J7" s="89"/>
      <c r="K7" s="89">
        <f t="shared" si="0"/>
        <v>5845.73</v>
      </c>
      <c r="L7" s="90">
        <f t="shared" si="0"/>
        <v>23383</v>
      </c>
    </row>
    <row r="8" spans="1:13">
      <c r="A8" s="119" t="s">
        <v>132</v>
      </c>
      <c r="B8" s="119"/>
      <c r="C8" s="119"/>
      <c r="D8" s="119"/>
      <c r="H8" s="81"/>
    </row>
    <row r="13" spans="1:13">
      <c r="H13" s="81"/>
      <c r="J13" s="81"/>
    </row>
    <row r="14" spans="1:13">
      <c r="J14" s="81"/>
    </row>
  </sheetData>
  <mergeCells count="10">
    <mergeCell ref="J1:L1"/>
    <mergeCell ref="A8:D8"/>
    <mergeCell ref="A2:L2"/>
    <mergeCell ref="D4:D6"/>
    <mergeCell ref="F4:F5"/>
    <mergeCell ref="G4:G5"/>
    <mergeCell ref="I4:I5"/>
    <mergeCell ref="J4:J5"/>
    <mergeCell ref="K4:K5"/>
    <mergeCell ref="L4:L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40110-5547-4145-8BAA-D22D9F2108E1}">
  <sheetPr>
    <tabColor theme="6" tint="0.79998168889431442"/>
    <pageSetUpPr fitToPage="1"/>
  </sheetPr>
  <dimension ref="A1:M11"/>
  <sheetViews>
    <sheetView zoomScale="62" zoomScaleNormal="62" workbookViewId="0">
      <selection activeCell="L29" sqref="L29"/>
    </sheetView>
  </sheetViews>
  <sheetFormatPr defaultColWidth="9.140625" defaultRowHeight="15"/>
  <cols>
    <col min="1" max="1" width="7" style="91" customWidth="1"/>
    <col min="2" max="2" width="16.140625" style="92" customWidth="1"/>
    <col min="3" max="3" width="12.28515625" style="92" customWidth="1"/>
    <col min="4" max="4" width="16.28515625" style="92" customWidth="1"/>
    <col min="5" max="5" width="34.42578125" style="93" customWidth="1"/>
    <col min="6" max="6" width="15.85546875" style="93" customWidth="1"/>
    <col min="7" max="7" width="17.5703125" style="93" customWidth="1"/>
    <col min="8" max="8" width="19.28515625" style="93" customWidth="1"/>
    <col min="9" max="9" width="16.7109375" style="93" customWidth="1"/>
    <col min="10" max="10" width="12.28515625" style="93" customWidth="1"/>
    <col min="11" max="11" width="15.28515625" style="93" customWidth="1"/>
    <col min="12" max="12" width="16" style="93" customWidth="1"/>
    <col min="13" max="13" width="16.7109375" style="68" customWidth="1"/>
    <col min="14" max="16384" width="9.140625" style="68"/>
  </cols>
  <sheetData>
    <row r="1" spans="1:13" ht="59.25" customHeight="1">
      <c r="I1" s="118" t="s">
        <v>140</v>
      </c>
      <c r="J1" s="118"/>
      <c r="K1" s="118"/>
      <c r="L1" s="118"/>
      <c r="M1" s="69"/>
    </row>
    <row r="2" spans="1:13" ht="24" customHeight="1">
      <c r="A2" s="130" t="s">
        <v>110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1"/>
    </row>
    <row r="3" spans="1:13" ht="76.5" customHeight="1">
      <c r="A3" s="70" t="s">
        <v>26</v>
      </c>
      <c r="B3" s="71" t="s">
        <v>113</v>
      </c>
      <c r="C3" s="72" t="s">
        <v>114</v>
      </c>
      <c r="D3" s="73" t="s">
        <v>115</v>
      </c>
      <c r="E3" s="74" t="s">
        <v>116</v>
      </c>
      <c r="F3" s="75" t="s">
        <v>117</v>
      </c>
      <c r="G3" s="75" t="s">
        <v>118</v>
      </c>
      <c r="H3" s="75" t="s">
        <v>119</v>
      </c>
      <c r="I3" s="75" t="s">
        <v>133</v>
      </c>
      <c r="J3" s="75" t="s">
        <v>121</v>
      </c>
      <c r="K3" s="75" t="s">
        <v>122</v>
      </c>
      <c r="L3" s="75" t="s">
        <v>123</v>
      </c>
    </row>
    <row r="4" spans="1:13" ht="32.450000000000003" customHeight="1">
      <c r="A4" s="94">
        <v>2224</v>
      </c>
      <c r="B4" s="94" t="s">
        <v>134</v>
      </c>
      <c r="C4" s="94" t="s">
        <v>135</v>
      </c>
      <c r="D4" s="95" t="s">
        <v>136</v>
      </c>
      <c r="E4" s="96" t="s">
        <v>137</v>
      </c>
      <c r="F4" s="97">
        <v>2628.4</v>
      </c>
      <c r="G4" s="97">
        <f>F4*12</f>
        <v>31540.800000000003</v>
      </c>
      <c r="H4" s="97">
        <v>19440.98</v>
      </c>
      <c r="I4" s="97">
        <f>H4/3</f>
        <v>6480.3266666666668</v>
      </c>
      <c r="J4" s="98">
        <f>I4/F4-1</f>
        <v>1.4655024603053821</v>
      </c>
      <c r="K4" s="97">
        <f>I4-F4</f>
        <v>3851.9266666666667</v>
      </c>
      <c r="L4" s="99">
        <f>ROUND(K4*4,0)</f>
        <v>15408</v>
      </c>
    </row>
    <row r="5" spans="1:13">
      <c r="A5" s="132" t="s">
        <v>132</v>
      </c>
      <c r="B5" s="132"/>
      <c r="C5" s="132"/>
      <c r="D5" s="132"/>
    </row>
    <row r="11" spans="1:13">
      <c r="I11" s="100"/>
    </row>
  </sheetData>
  <mergeCells count="3">
    <mergeCell ref="I1:L1"/>
    <mergeCell ref="A2:L2"/>
    <mergeCell ref="A5:D5"/>
  </mergeCells>
  <pageMargins left="0.7" right="0.7" top="0.75" bottom="0.75" header="0.3" footer="0.3"/>
  <pageSetup paperSize="9" scale="7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EDDB5-F054-4D9D-B47B-DB258D24527E}">
  <dimension ref="B1:AD7"/>
  <sheetViews>
    <sheetView zoomScale="72" zoomScaleNormal="72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4" sqref="C14"/>
    </sheetView>
  </sheetViews>
  <sheetFormatPr defaultRowHeight="15"/>
  <cols>
    <col min="1" max="1" width="4.85546875" style="4" customWidth="1"/>
    <col min="2" max="2" width="6.28515625" style="4" customWidth="1"/>
    <col min="3" max="3" width="34.85546875" style="4" customWidth="1"/>
    <col min="4" max="4" width="8.42578125" style="4" customWidth="1"/>
    <col min="5" max="5" width="11.85546875" style="4" customWidth="1"/>
    <col min="6" max="6" width="11.28515625" style="4" customWidth="1"/>
    <col min="7" max="7" width="9.7109375" style="4" customWidth="1"/>
    <col min="8" max="8" width="11.7109375" style="4" customWidth="1"/>
    <col min="9" max="9" width="10.85546875" style="4" customWidth="1"/>
    <col min="10" max="10" width="11.42578125" style="4" customWidth="1"/>
    <col min="11" max="11" width="11.7109375" style="4" customWidth="1"/>
    <col min="12" max="12" width="11" style="4" customWidth="1"/>
    <col min="13" max="13" width="9.7109375" style="4" customWidth="1"/>
    <col min="14" max="14" width="9.85546875" style="4" bestFit="1" customWidth="1"/>
    <col min="15" max="15" width="9.7109375" style="4" customWidth="1"/>
    <col min="16" max="16" width="9.85546875" style="4" bestFit="1" customWidth="1"/>
    <col min="17" max="17" width="12.140625" style="4" customWidth="1"/>
    <col min="18" max="18" width="10.140625" style="4" customWidth="1"/>
    <col min="19" max="19" width="14.28515625" style="4" customWidth="1"/>
    <col min="20" max="20" width="13" style="4" customWidth="1"/>
    <col min="21" max="21" width="8" style="4" customWidth="1"/>
    <col min="22" max="22" width="11.140625" style="4" customWidth="1"/>
    <col min="23" max="23" width="13.42578125" style="4" hidden="1" customWidth="1"/>
    <col min="24" max="24" width="12.140625" style="4" hidden="1" customWidth="1"/>
    <col min="25" max="25" width="9.140625" style="4" hidden="1" customWidth="1"/>
    <col min="26" max="27" width="9.7109375" style="4" customWidth="1"/>
    <col min="28" max="28" width="12" style="4" customWidth="1"/>
    <col min="29" max="29" width="12.140625" style="4" customWidth="1"/>
    <col min="30" max="30" width="12.85546875" style="4" customWidth="1"/>
    <col min="31" max="16384" width="9.140625" style="4"/>
  </cols>
  <sheetData>
    <row r="1" spans="2:30" ht="75.75" customHeight="1">
      <c r="AA1" s="110" t="s">
        <v>141</v>
      </c>
      <c r="AB1" s="111"/>
      <c r="AC1" s="111"/>
      <c r="AD1" s="111"/>
    </row>
    <row r="2" spans="2:30" ht="15.75">
      <c r="B2" s="140" t="s">
        <v>56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</row>
    <row r="4" spans="2:30" ht="53.45" customHeight="1">
      <c r="B4" s="141" t="s">
        <v>57</v>
      </c>
      <c r="C4" s="141" t="s">
        <v>58</v>
      </c>
      <c r="D4" s="133" t="s">
        <v>59</v>
      </c>
      <c r="E4" s="133" t="s">
        <v>60</v>
      </c>
      <c r="F4" s="133" t="s">
        <v>61</v>
      </c>
      <c r="G4" s="133"/>
      <c r="H4" s="133"/>
      <c r="I4" s="133"/>
      <c r="J4" s="133"/>
      <c r="K4" s="133"/>
      <c r="L4" s="133" t="s">
        <v>62</v>
      </c>
      <c r="M4" s="133" t="s">
        <v>63</v>
      </c>
      <c r="N4" s="133"/>
      <c r="O4" s="133"/>
      <c r="P4" s="133"/>
      <c r="Q4" s="133" t="s">
        <v>64</v>
      </c>
      <c r="R4" s="133" t="s">
        <v>65</v>
      </c>
      <c r="S4" s="133" t="s">
        <v>66</v>
      </c>
      <c r="T4" s="133" t="s">
        <v>67</v>
      </c>
      <c r="U4" s="135" t="s">
        <v>68</v>
      </c>
      <c r="V4" s="133" t="s">
        <v>69</v>
      </c>
      <c r="Z4" s="137" t="s">
        <v>70</v>
      </c>
      <c r="AA4" s="134" t="s">
        <v>71</v>
      </c>
      <c r="AB4" s="133" t="s">
        <v>72</v>
      </c>
      <c r="AC4" s="133" t="s">
        <v>73</v>
      </c>
      <c r="AD4" s="133" t="s">
        <v>74</v>
      </c>
    </row>
    <row r="5" spans="2:30" ht="70.900000000000006" customHeight="1">
      <c r="B5" s="141"/>
      <c r="C5" s="141"/>
      <c r="D5" s="134"/>
      <c r="E5" s="134"/>
      <c r="F5" s="45" t="s">
        <v>75</v>
      </c>
      <c r="G5" s="45" t="s">
        <v>76</v>
      </c>
      <c r="H5" s="45" t="s">
        <v>77</v>
      </c>
      <c r="I5" s="45" t="s">
        <v>78</v>
      </c>
      <c r="J5" s="45" t="s">
        <v>79</v>
      </c>
      <c r="K5" s="45" t="s">
        <v>80</v>
      </c>
      <c r="L5" s="134"/>
      <c r="M5" s="45" t="s">
        <v>75</v>
      </c>
      <c r="N5" s="45" t="s">
        <v>76</v>
      </c>
      <c r="O5" s="45" t="s">
        <v>77</v>
      </c>
      <c r="P5" s="45" t="s">
        <v>78</v>
      </c>
      <c r="Q5" s="134"/>
      <c r="R5" s="134"/>
      <c r="S5" s="134"/>
      <c r="T5" s="134"/>
      <c r="U5" s="136"/>
      <c r="V5" s="134"/>
      <c r="Z5" s="138"/>
      <c r="AA5" s="139"/>
      <c r="AB5" s="134"/>
      <c r="AC5" s="134"/>
      <c r="AD5" s="134"/>
    </row>
    <row r="6" spans="2:30" ht="27" customHeight="1">
      <c r="B6" s="46" t="s">
        <v>81</v>
      </c>
      <c r="C6" s="46" t="s">
        <v>82</v>
      </c>
      <c r="D6" s="46" t="s">
        <v>83</v>
      </c>
      <c r="E6" s="47" t="s">
        <v>84</v>
      </c>
      <c r="F6" s="47" t="s">
        <v>85</v>
      </c>
      <c r="G6" s="47" t="s">
        <v>86</v>
      </c>
      <c r="H6" s="47" t="s">
        <v>87</v>
      </c>
      <c r="I6" s="47" t="s">
        <v>88</v>
      </c>
      <c r="J6" s="47" t="s">
        <v>89</v>
      </c>
      <c r="K6" s="47" t="s">
        <v>90</v>
      </c>
      <c r="L6" s="47" t="s">
        <v>91</v>
      </c>
      <c r="M6" s="47" t="s">
        <v>92</v>
      </c>
      <c r="N6" s="47" t="s">
        <v>93</v>
      </c>
      <c r="O6" s="47" t="s">
        <v>94</v>
      </c>
      <c r="P6" s="47" t="s">
        <v>95</v>
      </c>
      <c r="Q6" s="47" t="s">
        <v>96</v>
      </c>
      <c r="R6" s="47" t="s">
        <v>97</v>
      </c>
      <c r="S6" s="47" t="s">
        <v>98</v>
      </c>
      <c r="T6" s="48" t="s">
        <v>99</v>
      </c>
      <c r="U6" s="46" t="s">
        <v>100</v>
      </c>
      <c r="V6" s="46" t="s">
        <v>101</v>
      </c>
      <c r="W6" s="49" t="s">
        <v>102</v>
      </c>
      <c r="X6" s="49" t="s">
        <v>103</v>
      </c>
      <c r="Y6" s="49"/>
      <c r="Z6" s="49"/>
      <c r="AA6" s="49"/>
      <c r="AB6" s="49"/>
      <c r="AC6" s="49"/>
      <c r="AD6" s="49"/>
    </row>
    <row r="7" spans="2:30">
      <c r="B7" s="51" t="s">
        <v>156</v>
      </c>
      <c r="C7" s="52" t="s">
        <v>104</v>
      </c>
      <c r="D7" s="53">
        <v>2322</v>
      </c>
      <c r="E7" s="54">
        <v>1388262.388</v>
      </c>
      <c r="F7" s="54">
        <v>49009.114999999998</v>
      </c>
      <c r="G7" s="54">
        <v>132807.54500000001</v>
      </c>
      <c r="H7" s="54">
        <v>129124.223</v>
      </c>
      <c r="I7" s="54">
        <v>138388.15700000001</v>
      </c>
      <c r="J7" s="54">
        <v>1075248.818</v>
      </c>
      <c r="K7" s="54">
        <f>SUM(F7:J7)</f>
        <v>1524577.858</v>
      </c>
      <c r="L7" s="55">
        <v>0.82243999999999995</v>
      </c>
      <c r="M7" s="55">
        <v>281011.7933884298</v>
      </c>
      <c r="N7" s="55">
        <v>172520.69421487604</v>
      </c>
      <c r="O7" s="55">
        <v>171010.38842975209</v>
      </c>
      <c r="P7" s="55">
        <v>215722.78</v>
      </c>
      <c r="Q7" s="56">
        <v>1.1245000000000001</v>
      </c>
      <c r="R7" s="57"/>
      <c r="S7" s="57"/>
      <c r="T7" s="58">
        <f t="shared" ref="T7" si="0">ROUND(SUM(M7:P7)-SUM(F7:I7)+R7,2)</f>
        <v>390936.62</v>
      </c>
      <c r="U7" s="59">
        <v>21</v>
      </c>
      <c r="V7" s="60" t="s">
        <v>43</v>
      </c>
      <c r="W7" s="50">
        <f t="shared" ref="W7" si="1">M7+N7+O7+P7-F7-G7-H7-I7</f>
        <v>390936.61603305792</v>
      </c>
      <c r="X7" s="50">
        <f t="shared" ref="X7" si="2">W7+R7</f>
        <v>390936.61603305792</v>
      </c>
      <c r="Y7" s="50">
        <f t="shared" ref="Y7" si="3">T7-X7</f>
        <v>3.966942080296576E-3</v>
      </c>
      <c r="Z7" s="49"/>
      <c r="AA7" s="49"/>
      <c r="AB7" s="49"/>
      <c r="AC7" s="49"/>
      <c r="AD7" s="49"/>
    </row>
  </sheetData>
  <mergeCells count="20">
    <mergeCell ref="M4:P4"/>
    <mergeCell ref="Q4:Q5"/>
    <mergeCell ref="R4:R5"/>
    <mergeCell ref="AB4:AB5"/>
    <mergeCell ref="AC4:AC5"/>
    <mergeCell ref="AD4:AD5"/>
    <mergeCell ref="AA1:AD1"/>
    <mergeCell ref="S4:S5"/>
    <mergeCell ref="T4:T5"/>
    <mergeCell ref="U4:U5"/>
    <mergeCell ref="V4:V5"/>
    <mergeCell ref="Z4:Z5"/>
    <mergeCell ref="AA4:AA5"/>
    <mergeCell ref="B2:V2"/>
    <mergeCell ref="B4:B5"/>
    <mergeCell ref="C4:C5"/>
    <mergeCell ref="D4:D5"/>
    <mergeCell ref="E4:E5"/>
    <mergeCell ref="F4:K4"/>
    <mergeCell ref="L4:L5"/>
  </mergeCells>
  <pageMargins left="0.7" right="0.7" top="0.75" bottom="0.75" header="0.3" footer="0.3"/>
  <pageSetup orientation="portrait" horizontalDpi="90" verticalDpi="9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6A60-1DA7-4CAF-93EE-F68CFD5AB82D}">
  <dimension ref="B1:G10"/>
  <sheetViews>
    <sheetView workbookViewId="0">
      <selection activeCell="K14" sqref="K14"/>
    </sheetView>
  </sheetViews>
  <sheetFormatPr defaultRowHeight="15"/>
  <cols>
    <col min="2" max="2" width="3.7109375" bestFit="1" customWidth="1"/>
    <col min="3" max="3" width="48" customWidth="1"/>
    <col min="4" max="4" width="15.28515625" customWidth="1"/>
    <col min="5" max="5" width="18" customWidth="1"/>
    <col min="6" max="6" width="14" customWidth="1"/>
    <col min="7" max="7" width="19.85546875" customWidth="1"/>
  </cols>
  <sheetData>
    <row r="1" spans="2:7" ht="99.75" customHeight="1">
      <c r="F1" s="110" t="s">
        <v>153</v>
      </c>
      <c r="G1" s="111"/>
    </row>
    <row r="4" spans="2:7" ht="60">
      <c r="B4" s="105"/>
      <c r="C4" s="106" t="s">
        <v>142</v>
      </c>
      <c r="D4" s="105" t="s">
        <v>143</v>
      </c>
      <c r="E4" s="105" t="s">
        <v>144</v>
      </c>
      <c r="F4" s="105" t="s">
        <v>145</v>
      </c>
      <c r="G4" s="105" t="s">
        <v>146</v>
      </c>
    </row>
    <row r="5" spans="2:7">
      <c r="B5" s="101">
        <v>1</v>
      </c>
      <c r="C5" s="102" t="s">
        <v>147</v>
      </c>
      <c r="D5" s="103">
        <v>60000</v>
      </c>
      <c r="E5" s="103">
        <v>16000</v>
      </c>
      <c r="F5" s="103">
        <v>12000</v>
      </c>
      <c r="G5" s="103">
        <f>E5-F5</f>
        <v>4000</v>
      </c>
    </row>
    <row r="6" spans="2:7">
      <c r="B6" s="101">
        <v>2</v>
      </c>
      <c r="C6" s="102" t="s">
        <v>148</v>
      </c>
      <c r="D6" s="103">
        <v>110</v>
      </c>
      <c r="E6" s="103">
        <v>10000</v>
      </c>
      <c r="F6" s="103">
        <v>5000</v>
      </c>
      <c r="G6" s="103">
        <f t="shared" ref="G6:G9" si="0">E6-F6</f>
        <v>5000</v>
      </c>
    </row>
    <row r="7" spans="2:7">
      <c r="B7" s="101">
        <v>3</v>
      </c>
      <c r="C7" s="102" t="s">
        <v>149</v>
      </c>
      <c r="D7" s="103">
        <v>45000</v>
      </c>
      <c r="E7" s="103">
        <v>90000</v>
      </c>
      <c r="F7" s="103">
        <v>25000</v>
      </c>
      <c r="G7" s="103">
        <f t="shared" si="0"/>
        <v>65000</v>
      </c>
    </row>
    <row r="8" spans="2:7">
      <c r="B8" s="101">
        <v>4</v>
      </c>
      <c r="C8" s="104" t="s">
        <v>150</v>
      </c>
      <c r="D8" s="103">
        <v>2000</v>
      </c>
      <c r="E8" s="103">
        <v>2400</v>
      </c>
      <c r="F8" s="103">
        <v>1320</v>
      </c>
      <c r="G8" s="103">
        <f t="shared" si="0"/>
        <v>1080</v>
      </c>
    </row>
    <row r="9" spans="2:7" ht="38.25">
      <c r="B9" s="101">
        <v>5</v>
      </c>
      <c r="C9" s="104" t="s">
        <v>151</v>
      </c>
      <c r="D9" s="103">
        <v>70</v>
      </c>
      <c r="E9" s="103">
        <v>1750</v>
      </c>
      <c r="F9" s="103">
        <v>1200</v>
      </c>
      <c r="G9" s="103">
        <f t="shared" si="0"/>
        <v>550</v>
      </c>
    </row>
    <row r="10" spans="2:7">
      <c r="B10" s="142" t="s">
        <v>152</v>
      </c>
      <c r="C10" s="142"/>
      <c r="D10" s="142"/>
      <c r="E10" s="142"/>
      <c r="F10" s="142"/>
      <c r="G10" s="107">
        <f>SUM(G5:G9)</f>
        <v>75630</v>
      </c>
    </row>
  </sheetData>
  <mergeCells count="2">
    <mergeCell ref="B10:F10"/>
    <mergeCell ref="F1:G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ZVA</vt:lpstr>
      <vt:lpstr>NMPD_Kopsavilkums</vt:lpstr>
      <vt:lpstr>NMPD_Skābeklis</vt:lpstr>
      <vt:lpstr>NMPD_Utilizācija</vt:lpstr>
      <vt:lpstr>NMPD_degviela</vt:lpstr>
      <vt:lpstr>PSMVM</vt:lpstr>
      <vt:lpstr>NMPD_Kopsavilkums!_Hlk85557266</vt:lpstr>
    </vt:vector>
  </TitlesOfParts>
  <Company>zva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Tatjana Berdnikova</dc:creator>
  <cp:lastModifiedBy>Igors Belovs</cp:lastModifiedBy>
  <cp:lastPrinted>2019-05-20T14:08:26Z</cp:lastPrinted>
  <dcterms:created xsi:type="dcterms:W3CDTF">2018-09-03T07:21:07Z</dcterms:created>
  <dcterms:modified xsi:type="dcterms:W3CDTF">2022-06-09T12:05:48Z</dcterms:modified>
</cp:coreProperties>
</file>