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vide-my.sharepoint.com/personal/solvitavaivode_varam_gov_lv/Documents/Desktop/DARBS_2023/UC atbalstam/MK rikojuma grozijumiem/pec FM precizejumiem/"/>
    </mc:Choice>
  </mc:AlternateContent>
  <xr:revisionPtr revIDLastSave="32" documentId="13_ncr:1_{EDD4CC60-FBB1-4C8B-93A7-891674A0EB75}" xr6:coauthVersionLast="47" xr6:coauthVersionMax="47" xr10:uidLastSave="{5B4F7FEE-2930-48AA-9854-50B7B7834095}"/>
  <bookViews>
    <workbookView xWindow="28680" yWindow="8145" windowWidth="29040" windowHeight="15840" xr2:uid="{3E41C751-36CB-434B-B88B-8889450F2FD4}"/>
  </bookViews>
  <sheets>
    <sheet name="APKOPOJUMS" sheetId="1" r:id="rId1"/>
    <sheet name="1.pielikums_EM_prognoze" sheetId="2" r:id="rId2"/>
    <sheet name="2.pielikums_LM_prognoze" sheetId="3" r:id="rId3"/>
    <sheet name="3.pielikums_IzM_prognoze" sheetId="4" r:id="rId4"/>
    <sheet name="4.pielikums_VARAM_KAC_prognoze" sheetId="5" r:id="rId5"/>
    <sheet name="5.pielikums_VARAM_māj_uzlab" sheetId="6"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0" i="1" l="1"/>
  <c r="B13" i="1"/>
  <c r="G8" i="1"/>
  <c r="G4" i="1"/>
  <c r="I11" i="1"/>
  <c r="G12" i="1"/>
  <c r="I4" i="1" l="1"/>
  <c r="H9" i="1"/>
  <c r="H8" i="1"/>
  <c r="H7" i="1"/>
  <c r="H6" i="1"/>
  <c r="H5" i="1"/>
  <c r="H4" i="1"/>
  <c r="E4" i="1"/>
  <c r="F8" i="1"/>
  <c r="F7" i="1"/>
  <c r="F6" i="1"/>
  <c r="F5" i="1"/>
  <c r="F4" i="1"/>
  <c r="D9" i="1"/>
  <c r="D8" i="1"/>
  <c r="D7" i="1"/>
  <c r="D6" i="1"/>
  <c r="D5" i="1"/>
  <c r="D4" i="1"/>
  <c r="J17" i="6"/>
  <c r="I17" i="6"/>
  <c r="F17" i="6"/>
  <c r="E17" i="6"/>
  <c r="D17" i="6"/>
  <c r="C17" i="6"/>
  <c r="H16" i="6"/>
  <c r="G16" i="6"/>
  <c r="K16" i="6" s="1"/>
  <c r="H15" i="6"/>
  <c r="G15" i="6"/>
  <c r="K15" i="6" s="1"/>
  <c r="K14" i="6"/>
  <c r="H14" i="6"/>
  <c r="G14" i="6"/>
  <c r="K13" i="6"/>
  <c r="K12" i="6"/>
  <c r="K11" i="6"/>
  <c r="H10" i="6"/>
  <c r="G10" i="6"/>
  <c r="K10" i="6" s="1"/>
  <c r="H9" i="6"/>
  <c r="G9" i="6"/>
  <c r="K9" i="6" s="1"/>
  <c r="K8" i="6"/>
  <c r="H7" i="6"/>
  <c r="H17" i="6" s="1"/>
  <c r="G7" i="6"/>
  <c r="G17" i="6" s="1"/>
  <c r="K6" i="6"/>
  <c r="H6" i="6"/>
  <c r="G6" i="6"/>
  <c r="W17" i="5"/>
  <c r="U17" i="5"/>
  <c r="S17" i="5"/>
  <c r="Q17" i="5"/>
  <c r="O17" i="5"/>
  <c r="M17" i="5"/>
  <c r="J17" i="5"/>
  <c r="I17" i="5"/>
  <c r="H17" i="5"/>
  <c r="G17" i="5"/>
  <c r="F17" i="5"/>
  <c r="E17" i="5"/>
  <c r="D17" i="5"/>
  <c r="C17" i="5"/>
  <c r="X16" i="5"/>
  <c r="Y16" i="5" s="1"/>
  <c r="V16" i="5"/>
  <c r="T16" i="5"/>
  <c r="R16" i="5"/>
  <c r="P16" i="5"/>
  <c r="X15" i="5"/>
  <c r="V15" i="5"/>
  <c r="T15" i="5"/>
  <c r="R15" i="5"/>
  <c r="P15" i="5"/>
  <c r="X14" i="5"/>
  <c r="V14" i="5"/>
  <c r="T14" i="5"/>
  <c r="R14" i="5"/>
  <c r="P14" i="5"/>
  <c r="X13" i="5"/>
  <c r="V13" i="5"/>
  <c r="T13" i="5"/>
  <c r="R13" i="5"/>
  <c r="P13" i="5"/>
  <c r="X12" i="5"/>
  <c r="V12" i="5"/>
  <c r="T12" i="5"/>
  <c r="R12" i="5"/>
  <c r="P12" i="5"/>
  <c r="X11" i="5"/>
  <c r="V11" i="5"/>
  <c r="T11" i="5"/>
  <c r="R11" i="5"/>
  <c r="P11" i="5"/>
  <c r="X10" i="5"/>
  <c r="V10" i="5"/>
  <c r="T10" i="5"/>
  <c r="R10" i="5"/>
  <c r="P10" i="5"/>
  <c r="X9" i="5"/>
  <c r="V9" i="5"/>
  <c r="T9" i="5"/>
  <c r="R9" i="5"/>
  <c r="P9" i="5"/>
  <c r="N9" i="5"/>
  <c r="N17" i="5" s="1"/>
  <c r="M9" i="5"/>
  <c r="L9" i="5"/>
  <c r="L17" i="5" s="1"/>
  <c r="K9" i="5"/>
  <c r="K17" i="5" s="1"/>
  <c r="Y8" i="5"/>
  <c r="K7" i="6" l="1"/>
  <c r="K17" i="6" s="1"/>
  <c r="P17" i="5"/>
  <c r="Y10" i="5"/>
  <c r="R17" i="5"/>
  <c r="Y12" i="5"/>
  <c r="Y9" i="5"/>
  <c r="Y17" i="5" s="1"/>
  <c r="Y13" i="5"/>
  <c r="T17" i="5"/>
  <c r="V17" i="5"/>
  <c r="Y11" i="5"/>
  <c r="X17" i="5"/>
  <c r="W13" i="4" l="1"/>
  <c r="U13" i="4"/>
  <c r="S13" i="4"/>
  <c r="Q13" i="4"/>
  <c r="O13" i="4"/>
  <c r="M13" i="4"/>
  <c r="V12" i="4"/>
  <c r="T12" i="4"/>
  <c r="R12" i="4"/>
  <c r="K12" i="4"/>
  <c r="I12" i="4"/>
  <c r="G12" i="4"/>
  <c r="E12" i="4"/>
  <c r="C12" i="4"/>
  <c r="X12" i="4" s="1"/>
  <c r="X11" i="4"/>
  <c r="K10" i="4"/>
  <c r="I10" i="4"/>
  <c r="G10" i="4"/>
  <c r="E10" i="4"/>
  <c r="C10" i="4"/>
  <c r="K9" i="4"/>
  <c r="J9" i="4"/>
  <c r="I9" i="4"/>
  <c r="I13" i="4" s="1"/>
  <c r="H9" i="4"/>
  <c r="G9" i="4"/>
  <c r="F9" i="4"/>
  <c r="E9" i="4"/>
  <c r="E13" i="4" s="1"/>
  <c r="D9" i="4"/>
  <c r="C9" i="4"/>
  <c r="B9" i="4"/>
  <c r="C13" i="4" l="1"/>
  <c r="K13" i="4"/>
  <c r="X10" i="4"/>
  <c r="G13" i="4"/>
  <c r="X9" i="4"/>
  <c r="X13" i="4" s="1"/>
  <c r="P102" i="3" l="1"/>
  <c r="I102" i="3"/>
  <c r="H102" i="3"/>
  <c r="M101" i="3"/>
  <c r="AD101" i="3" s="1"/>
  <c r="L101" i="3"/>
  <c r="M100" i="3"/>
  <c r="AD100" i="3" s="1"/>
  <c r="L100" i="3"/>
  <c r="AD99" i="3"/>
  <c r="AD98" i="3"/>
  <c r="M97" i="3"/>
  <c r="AD97" i="3" s="1"/>
  <c r="L97" i="3"/>
  <c r="M96" i="3"/>
  <c r="AD96" i="3" s="1"/>
  <c r="L96" i="3"/>
  <c r="M95" i="3"/>
  <c r="AD95" i="3" s="1"/>
  <c r="L95" i="3"/>
  <c r="AD94" i="3"/>
  <c r="M94" i="3"/>
  <c r="L94" i="3"/>
  <c r="AD93" i="3"/>
  <c r="M93" i="3"/>
  <c r="L93" i="3"/>
  <c r="M92" i="3"/>
  <c r="AD92" i="3" s="1"/>
  <c r="L92" i="3"/>
  <c r="AD91" i="3"/>
  <c r="M91" i="3"/>
  <c r="L91" i="3"/>
  <c r="AD90" i="3"/>
  <c r="M90" i="3"/>
  <c r="L90" i="3"/>
  <c r="M89" i="3"/>
  <c r="AD89" i="3" s="1"/>
  <c r="L89" i="3"/>
  <c r="M88" i="3"/>
  <c r="AD88" i="3" s="1"/>
  <c r="L88" i="3"/>
  <c r="M87" i="3"/>
  <c r="AD87" i="3" s="1"/>
  <c r="L87" i="3"/>
  <c r="M86" i="3"/>
  <c r="AD86" i="3" s="1"/>
  <c r="L86" i="3"/>
  <c r="AD85" i="3"/>
  <c r="M85" i="3"/>
  <c r="L85" i="3"/>
  <c r="M84" i="3"/>
  <c r="L84" i="3"/>
  <c r="AD83" i="3"/>
  <c r="M83" i="3"/>
  <c r="L83" i="3"/>
  <c r="AD82" i="3"/>
  <c r="M82" i="3"/>
  <c r="L82" i="3"/>
  <c r="Q34" i="3" s="1"/>
  <c r="S34" i="3" s="1"/>
  <c r="U34" i="3" s="1"/>
  <c r="W34" i="3" s="1"/>
  <c r="Y34" i="3" s="1"/>
  <c r="AA34" i="3" s="1"/>
  <c r="AD81" i="3"/>
  <c r="M81" i="3"/>
  <c r="L81" i="3"/>
  <c r="M80" i="3"/>
  <c r="AD80" i="3" s="1"/>
  <c r="L80" i="3"/>
  <c r="Q28" i="3" s="1"/>
  <c r="S28" i="3" s="1"/>
  <c r="M79" i="3"/>
  <c r="AD79" i="3" s="1"/>
  <c r="L79" i="3"/>
  <c r="M78" i="3"/>
  <c r="AD78" i="3" s="1"/>
  <c r="L78" i="3"/>
  <c r="AD77" i="3"/>
  <c r="M77" i="3"/>
  <c r="L77" i="3"/>
  <c r="M76" i="3"/>
  <c r="L76" i="3"/>
  <c r="Q35" i="3" s="1"/>
  <c r="S35" i="3" s="1"/>
  <c r="AD75" i="3"/>
  <c r="M75" i="3"/>
  <c r="L75" i="3"/>
  <c r="AD74" i="3"/>
  <c r="M74" i="3"/>
  <c r="L74" i="3"/>
  <c r="M73" i="3"/>
  <c r="AD73" i="3" s="1"/>
  <c r="L73" i="3"/>
  <c r="M72" i="3"/>
  <c r="AD72" i="3" s="1"/>
  <c r="L72" i="3"/>
  <c r="M71" i="3"/>
  <c r="AD71" i="3" s="1"/>
  <c r="L71" i="3"/>
  <c r="AD70" i="3"/>
  <c r="M70" i="3"/>
  <c r="L70" i="3"/>
  <c r="AD69" i="3"/>
  <c r="M69" i="3"/>
  <c r="L69" i="3"/>
  <c r="M68" i="3"/>
  <c r="AD68" i="3" s="1"/>
  <c r="L68" i="3"/>
  <c r="AD67" i="3"/>
  <c r="M67" i="3"/>
  <c r="L67" i="3"/>
  <c r="AD66" i="3"/>
  <c r="M66" i="3"/>
  <c r="L66" i="3"/>
  <c r="M65" i="3"/>
  <c r="AD65" i="3" s="1"/>
  <c r="L65" i="3"/>
  <c r="M64" i="3"/>
  <c r="AD64" i="3" s="1"/>
  <c r="L64" i="3"/>
  <c r="M63" i="3"/>
  <c r="AD63" i="3" s="1"/>
  <c r="L63" i="3"/>
  <c r="M62" i="3"/>
  <c r="AD62" i="3" s="1"/>
  <c r="L62" i="3"/>
  <c r="AD61" i="3"/>
  <c r="M61" i="3"/>
  <c r="L61" i="3"/>
  <c r="M60" i="3"/>
  <c r="AD60" i="3" s="1"/>
  <c r="L60" i="3"/>
  <c r="AD59" i="3"/>
  <c r="M59" i="3"/>
  <c r="L59" i="3"/>
  <c r="AD58" i="3"/>
  <c r="M58" i="3"/>
  <c r="L58" i="3"/>
  <c r="M57" i="3"/>
  <c r="AD57" i="3" s="1"/>
  <c r="L57" i="3"/>
  <c r="M56" i="3"/>
  <c r="AD56" i="3" s="1"/>
  <c r="L56" i="3"/>
  <c r="Q33" i="3" s="1"/>
  <c r="S33" i="3" s="1"/>
  <c r="U33" i="3" s="1"/>
  <c r="W33" i="3" s="1"/>
  <c r="Y33" i="3" s="1"/>
  <c r="AA33" i="3" s="1"/>
  <c r="M55" i="3"/>
  <c r="AD55" i="3" s="1"/>
  <c r="L55" i="3"/>
  <c r="M54" i="3"/>
  <c r="R32" i="3" s="1"/>
  <c r="T32" i="3" s="1"/>
  <c r="V32" i="3" s="1"/>
  <c r="L54" i="3"/>
  <c r="AD53" i="3"/>
  <c r="M53" i="3"/>
  <c r="L53" i="3"/>
  <c r="M52" i="3"/>
  <c r="AD52" i="3" s="1"/>
  <c r="L52" i="3"/>
  <c r="AD51" i="3"/>
  <c r="M50" i="3"/>
  <c r="AD50" i="3" s="1"/>
  <c r="L50" i="3"/>
  <c r="M49" i="3"/>
  <c r="AD49" i="3" s="1"/>
  <c r="L49" i="3"/>
  <c r="M48" i="3"/>
  <c r="AD48" i="3" s="1"/>
  <c r="L48" i="3"/>
  <c r="AD47" i="3"/>
  <c r="M47" i="3"/>
  <c r="L47" i="3"/>
  <c r="M46" i="3"/>
  <c r="AD46" i="3" s="1"/>
  <c r="L46" i="3"/>
  <c r="AD45" i="3"/>
  <c r="M45" i="3"/>
  <c r="L45" i="3"/>
  <c r="AD44" i="3"/>
  <c r="M44" i="3"/>
  <c r="L44" i="3"/>
  <c r="AD43" i="3"/>
  <c r="M42" i="3"/>
  <c r="R31" i="3" s="1"/>
  <c r="T31" i="3" s="1"/>
  <c r="V31" i="3" s="1"/>
  <c r="L42" i="3"/>
  <c r="AD41" i="3"/>
  <c r="M41" i="3"/>
  <c r="L41" i="3"/>
  <c r="M40" i="3"/>
  <c r="L40" i="3"/>
  <c r="Q27" i="3" s="1"/>
  <c r="AD39" i="3"/>
  <c r="M39" i="3"/>
  <c r="L39" i="3"/>
  <c r="AD38" i="3"/>
  <c r="M37" i="3"/>
  <c r="AD37" i="3" s="1"/>
  <c r="L37" i="3"/>
  <c r="M36" i="3"/>
  <c r="L36" i="3"/>
  <c r="U35" i="3"/>
  <c r="Y35" i="3" s="1"/>
  <c r="AA35" i="3" s="1"/>
  <c r="M35" i="3"/>
  <c r="L35" i="3"/>
  <c r="R34" i="3"/>
  <c r="T34" i="3" s="1"/>
  <c r="V34" i="3" s="1"/>
  <c r="M34" i="3"/>
  <c r="L34" i="3"/>
  <c r="R33" i="3"/>
  <c r="T33" i="3" s="1"/>
  <c r="V33" i="3" s="1"/>
  <c r="M33" i="3"/>
  <c r="L33" i="3"/>
  <c r="W32" i="3"/>
  <c r="Y32" i="3" s="1"/>
  <c r="AA32" i="3" s="1"/>
  <c r="U32" i="3"/>
  <c r="S32" i="3"/>
  <c r="Q32" i="3"/>
  <c r="M32" i="3"/>
  <c r="L32" i="3"/>
  <c r="M31" i="3"/>
  <c r="L31" i="3"/>
  <c r="M30" i="3"/>
  <c r="L30" i="3"/>
  <c r="V29" i="3"/>
  <c r="X29" i="3" s="1"/>
  <c r="Z29" i="3" s="1"/>
  <c r="AB29" i="3" s="1"/>
  <c r="M29" i="3"/>
  <c r="R29" i="3" s="1"/>
  <c r="T29" i="3" s="1"/>
  <c r="L29" i="3"/>
  <c r="AD28" i="3"/>
  <c r="V28" i="3"/>
  <c r="X28" i="3" s="1"/>
  <c r="Z28" i="3" s="1"/>
  <c r="AB28" i="3" s="1"/>
  <c r="U28" i="3"/>
  <c r="W28" i="3" s="1"/>
  <c r="Y28" i="3" s="1"/>
  <c r="AA28" i="3" s="1"/>
  <c r="R28" i="3"/>
  <c r="T28" i="3" s="1"/>
  <c r="AC28" i="3" s="1"/>
  <c r="M28" i="3"/>
  <c r="L28" i="3"/>
  <c r="M27" i="3"/>
  <c r="L27" i="3"/>
  <c r="P26" i="3"/>
  <c r="O26" i="3"/>
  <c r="O102" i="3" s="1"/>
  <c r="K26" i="3"/>
  <c r="K102" i="3" s="1"/>
  <c r="J26" i="3"/>
  <c r="J102" i="3" s="1"/>
  <c r="I26" i="3"/>
  <c r="H26" i="3"/>
  <c r="G26" i="3"/>
  <c r="G102" i="3" s="1"/>
  <c r="F26" i="3"/>
  <c r="F102" i="3" s="1"/>
  <c r="E26" i="3"/>
  <c r="E102" i="3" s="1"/>
  <c r="D26" i="3"/>
  <c r="D102" i="3" s="1"/>
  <c r="C26" i="3"/>
  <c r="C102" i="3" s="1"/>
  <c r="B26" i="3"/>
  <c r="B102" i="3" s="1"/>
  <c r="W25" i="3"/>
  <c r="Y25" i="3" s="1"/>
  <c r="AA25" i="3" s="1"/>
  <c r="S25" i="3"/>
  <c r="U25" i="3" s="1"/>
  <c r="R25" i="3"/>
  <c r="Q25" i="3"/>
  <c r="M25" i="3"/>
  <c r="L25" i="3"/>
  <c r="T24" i="3"/>
  <c r="V24" i="3" s="1"/>
  <c r="S24" i="3"/>
  <c r="U24" i="3" s="1"/>
  <c r="W24" i="3" s="1"/>
  <c r="Y24" i="3" s="1"/>
  <c r="AA24" i="3" s="1"/>
  <c r="R24" i="3"/>
  <c r="Q24" i="3"/>
  <c r="M24" i="3"/>
  <c r="L24" i="3"/>
  <c r="T23" i="3"/>
  <c r="V23" i="3" s="1"/>
  <c r="X23" i="3" s="1"/>
  <c r="Z23" i="3" s="1"/>
  <c r="AB23" i="3" s="1"/>
  <c r="R23" i="3"/>
  <c r="Q23" i="3"/>
  <c r="S23" i="3" s="1"/>
  <c r="U23" i="3" s="1"/>
  <c r="W23" i="3" s="1"/>
  <c r="Y23" i="3" s="1"/>
  <c r="AA23" i="3" s="1"/>
  <c r="M23" i="3"/>
  <c r="L23" i="3"/>
  <c r="AC22" i="3"/>
  <c r="M22" i="3"/>
  <c r="AD22" i="3" s="1"/>
  <c r="L22" i="3"/>
  <c r="S21" i="3"/>
  <c r="U21" i="3" s="1"/>
  <c r="W21" i="3" s="1"/>
  <c r="Y21" i="3" s="1"/>
  <c r="AA21" i="3" s="1"/>
  <c r="M21" i="3"/>
  <c r="R21" i="3" s="1"/>
  <c r="L21" i="3"/>
  <c r="Q21" i="3" s="1"/>
  <c r="M20" i="3"/>
  <c r="L20" i="3"/>
  <c r="Q20" i="3" s="1"/>
  <c r="S20" i="3" s="1"/>
  <c r="U20" i="3" s="1"/>
  <c r="W20" i="3" s="1"/>
  <c r="Y20" i="3" s="1"/>
  <c r="AA20" i="3" s="1"/>
  <c r="S19" i="3"/>
  <c r="U19" i="3" s="1"/>
  <c r="R19" i="3"/>
  <c r="T19" i="3" s="1"/>
  <c r="Q19" i="3"/>
  <c r="M19" i="3"/>
  <c r="L19" i="3"/>
  <c r="S18" i="3"/>
  <c r="U18" i="3" s="1"/>
  <c r="W18" i="3" s="1"/>
  <c r="Y18" i="3" s="1"/>
  <c r="AA18" i="3" s="1"/>
  <c r="R18" i="3"/>
  <c r="T18" i="3" s="1"/>
  <c r="V18" i="3" s="1"/>
  <c r="X18" i="3" s="1"/>
  <c r="Z18" i="3" s="1"/>
  <c r="AB18" i="3" s="1"/>
  <c r="Q18" i="3"/>
  <c r="M18" i="3"/>
  <c r="L18" i="3"/>
  <c r="S17" i="3"/>
  <c r="U17" i="3" s="1"/>
  <c r="W17" i="3" s="1"/>
  <c r="Y17" i="3" s="1"/>
  <c r="AA17" i="3" s="1"/>
  <c r="M17" i="3"/>
  <c r="L17" i="3"/>
  <c r="Q17" i="3" s="1"/>
  <c r="R17" i="3" s="1"/>
  <c r="AD16" i="3"/>
  <c r="AC16" i="3"/>
  <c r="M16" i="3"/>
  <c r="L16" i="3"/>
  <c r="M15" i="3"/>
  <c r="L15" i="3"/>
  <c r="T14" i="3"/>
  <c r="V14" i="3" s="1"/>
  <c r="X14" i="3" s="1"/>
  <c r="Z14" i="3" s="1"/>
  <c r="AB14" i="3" s="1"/>
  <c r="R14" i="3"/>
  <c r="Q14" i="3"/>
  <c r="S14" i="3" s="1"/>
  <c r="U14" i="3" s="1"/>
  <c r="W14" i="3" s="1"/>
  <c r="Y14" i="3" s="1"/>
  <c r="AA14" i="3" s="1"/>
  <c r="M14" i="3"/>
  <c r="L14" i="3"/>
  <c r="AB13" i="3"/>
  <c r="Z13" i="3"/>
  <c r="R13" i="3"/>
  <c r="Q13" i="3"/>
  <c r="S13" i="3" s="1"/>
  <c r="U13" i="3" s="1"/>
  <c r="W13" i="3" s="1"/>
  <c r="M13" i="3"/>
  <c r="L13" i="3"/>
  <c r="Y13" i="3" s="1"/>
  <c r="AA13" i="3" s="1"/>
  <c r="R12" i="3"/>
  <c r="M12" i="3"/>
  <c r="L12" i="3"/>
  <c r="Q12" i="3" s="1"/>
  <c r="S12" i="3" s="1"/>
  <c r="U12" i="3" s="1"/>
  <c r="W12" i="3" s="1"/>
  <c r="Y12" i="3" s="1"/>
  <c r="AA12" i="3" s="1"/>
  <c r="T11" i="3"/>
  <c r="V11" i="3" s="1"/>
  <c r="R11" i="3"/>
  <c r="M11" i="3"/>
  <c r="L11" i="3"/>
  <c r="Q11" i="3" s="1"/>
  <c r="S11" i="3" s="1"/>
  <c r="U11" i="3" s="1"/>
  <c r="W11" i="3" s="1"/>
  <c r="Y11" i="3" s="1"/>
  <c r="AA11" i="3" s="1"/>
  <c r="T10" i="3"/>
  <c r="V10" i="3" s="1"/>
  <c r="X10" i="3" s="1"/>
  <c r="Z10" i="3" s="1"/>
  <c r="AB10" i="3" s="1"/>
  <c r="R10" i="3"/>
  <c r="Q10" i="3"/>
  <c r="S10" i="3" s="1"/>
  <c r="U10" i="3" s="1"/>
  <c r="W10" i="3" s="1"/>
  <c r="Y10" i="3" s="1"/>
  <c r="AA10" i="3" s="1"/>
  <c r="M10" i="3"/>
  <c r="L10" i="3"/>
  <c r="R9" i="3"/>
  <c r="Q9" i="3"/>
  <c r="S9" i="3" s="1"/>
  <c r="U9" i="3" s="1"/>
  <c r="W9" i="3" s="1"/>
  <c r="Y9" i="3" s="1"/>
  <c r="AA9" i="3" s="1"/>
  <c r="M9" i="3"/>
  <c r="L9" i="3"/>
  <c r="R8" i="3"/>
  <c r="T8" i="3" s="1"/>
  <c r="V8" i="3" s="1"/>
  <c r="X8" i="3" s="1"/>
  <c r="Z8" i="3" s="1"/>
  <c r="AB8" i="3" s="1"/>
  <c r="M8" i="3"/>
  <c r="L8" i="3"/>
  <c r="Q8" i="3" s="1"/>
  <c r="S8" i="3" s="1"/>
  <c r="U8" i="3" s="1"/>
  <c r="W8" i="3" s="1"/>
  <c r="Y8" i="3" s="1"/>
  <c r="AA8" i="3" s="1"/>
  <c r="X11" i="3" l="1"/>
  <c r="Z11" i="3" s="1"/>
  <c r="AB11" i="3" s="1"/>
  <c r="AD11" i="3"/>
  <c r="W19" i="3"/>
  <c r="Y19" i="3" s="1"/>
  <c r="AA19" i="3" s="1"/>
  <c r="V19" i="3"/>
  <c r="X34" i="3"/>
  <c r="Z34" i="3" s="1"/>
  <c r="AB34" i="3" s="1"/>
  <c r="AC34" i="3"/>
  <c r="X24" i="3"/>
  <c r="Z24" i="3" s="1"/>
  <c r="AB24" i="3" s="1"/>
  <c r="AD24" i="3"/>
  <c r="T17" i="3"/>
  <c r="V17" i="3" s="1"/>
  <c r="X17" i="3" s="1"/>
  <c r="Z17" i="3" s="1"/>
  <c r="AB17" i="3" s="1"/>
  <c r="AD17" i="3"/>
  <c r="AC17" i="3"/>
  <c r="T21" i="3"/>
  <c r="V21" i="3" s="1"/>
  <c r="X21" i="3" s="1"/>
  <c r="Z21" i="3" s="1"/>
  <c r="AB21" i="3" s="1"/>
  <c r="X32" i="3"/>
  <c r="Z32" i="3" s="1"/>
  <c r="AB32" i="3" s="1"/>
  <c r="AC32" i="3"/>
  <c r="X31" i="3"/>
  <c r="Z31" i="3" s="1"/>
  <c r="AB31" i="3" s="1"/>
  <c r="X33" i="3"/>
  <c r="Z33" i="3" s="1"/>
  <c r="AB33" i="3" s="1"/>
  <c r="AC33" i="3"/>
  <c r="AC18" i="3"/>
  <c r="AC25" i="3"/>
  <c r="AD8" i="3"/>
  <c r="AD18" i="3"/>
  <c r="R20" i="3"/>
  <c r="AD25" i="3"/>
  <c r="AC10" i="3"/>
  <c r="Q15" i="3"/>
  <c r="S15" i="3" s="1"/>
  <c r="U15" i="3" s="1"/>
  <c r="W15" i="3" s="1"/>
  <c r="Y15" i="3" s="1"/>
  <c r="AA15" i="3" s="1"/>
  <c r="T25" i="3"/>
  <c r="V25" i="3" s="1"/>
  <c r="X25" i="3" s="1"/>
  <c r="Z25" i="3" s="1"/>
  <c r="AB25" i="3" s="1"/>
  <c r="AC29" i="3"/>
  <c r="AD32" i="3"/>
  <c r="AD33" i="3"/>
  <c r="AD34" i="3"/>
  <c r="AD54" i="3"/>
  <c r="AC8" i="3"/>
  <c r="R27" i="3"/>
  <c r="AD40" i="3"/>
  <c r="R30" i="3"/>
  <c r="AD84" i="3"/>
  <c r="AC13" i="3"/>
  <c r="AD10" i="3"/>
  <c r="T13" i="3"/>
  <c r="V13" i="3" s="1"/>
  <c r="X13" i="3" s="1"/>
  <c r="AC24" i="3"/>
  <c r="AD29" i="3"/>
  <c r="Q31" i="3"/>
  <c r="S31" i="3" s="1"/>
  <c r="U31" i="3" s="1"/>
  <c r="W31" i="3" s="1"/>
  <c r="Y31" i="3" s="1"/>
  <c r="AA31" i="3" s="1"/>
  <c r="Q30" i="3"/>
  <c r="S30" i="3" s="1"/>
  <c r="U30" i="3" s="1"/>
  <c r="W30" i="3" s="1"/>
  <c r="Y30" i="3" s="1"/>
  <c r="AA30" i="3" s="1"/>
  <c r="R35" i="3"/>
  <c r="AD76" i="3"/>
  <c r="M26" i="3"/>
  <c r="M102" i="3" s="1"/>
  <c r="T12" i="3"/>
  <c r="V12" i="3" s="1"/>
  <c r="X12" i="3" s="1"/>
  <c r="Z12" i="3" s="1"/>
  <c r="AB12" i="3" s="1"/>
  <c r="AC14" i="3"/>
  <c r="AD21" i="3"/>
  <c r="AC23" i="3"/>
  <c r="Q36" i="3"/>
  <c r="S36" i="3" s="1"/>
  <c r="U36" i="3" s="1"/>
  <c r="W36" i="3" s="1"/>
  <c r="Y36" i="3" s="1"/>
  <c r="AA36" i="3" s="1"/>
  <c r="AD42" i="3"/>
  <c r="L26" i="3"/>
  <c r="L102" i="3" s="1"/>
  <c r="AC9" i="3"/>
  <c r="Q29" i="3"/>
  <c r="S29" i="3" s="1"/>
  <c r="U29" i="3" s="1"/>
  <c r="W29" i="3" s="1"/>
  <c r="Y29" i="3" s="1"/>
  <c r="AA29" i="3" s="1"/>
  <c r="T9" i="3"/>
  <c r="V9" i="3" s="1"/>
  <c r="X9" i="3" s="1"/>
  <c r="Z9" i="3" s="1"/>
  <c r="AB9" i="3" s="1"/>
  <c r="AC11" i="3"/>
  <c r="AD14" i="3"/>
  <c r="AD23" i="3"/>
  <c r="R36" i="3"/>
  <c r="W35" i="3"/>
  <c r="S27" i="3"/>
  <c r="Q26" i="3" l="1"/>
  <c r="Q102" i="3" s="1"/>
  <c r="T27" i="3"/>
  <c r="R26" i="3"/>
  <c r="AD9" i="3"/>
  <c r="AC31" i="3"/>
  <c r="T36" i="3"/>
  <c r="V36" i="3" s="1"/>
  <c r="X36" i="3" s="1"/>
  <c r="Z36" i="3" s="1"/>
  <c r="AB36" i="3" s="1"/>
  <c r="AD12" i="3"/>
  <c r="AC12" i="3"/>
  <c r="T20" i="3"/>
  <c r="V20" i="3" s="1"/>
  <c r="X20" i="3" s="1"/>
  <c r="Z20" i="3" s="1"/>
  <c r="AB20" i="3" s="1"/>
  <c r="AC20" i="3"/>
  <c r="AD31" i="3"/>
  <c r="X19" i="3"/>
  <c r="T35" i="3"/>
  <c r="V35" i="3" s="1"/>
  <c r="X35" i="3" s="1"/>
  <c r="Z35" i="3" s="1"/>
  <c r="AB35" i="3" s="1"/>
  <c r="AC35" i="3"/>
  <c r="S26" i="3"/>
  <c r="S102" i="3" s="1"/>
  <c r="U27" i="3"/>
  <c r="T30" i="3"/>
  <c r="V30" i="3" s="1"/>
  <c r="X30" i="3" s="1"/>
  <c r="Z30" i="3" s="1"/>
  <c r="AB30" i="3" s="1"/>
  <c r="AC21" i="3"/>
  <c r="R15" i="3"/>
  <c r="AD13" i="3"/>
  <c r="U26" i="3" l="1"/>
  <c r="U102" i="3" s="1"/>
  <c r="W27" i="3"/>
  <c r="R102" i="3"/>
  <c r="T15" i="3"/>
  <c r="V15" i="3" s="1"/>
  <c r="X15" i="3" s="1"/>
  <c r="Z15" i="3" s="1"/>
  <c r="AB15" i="3" s="1"/>
  <c r="AD35" i="3"/>
  <c r="AD36" i="3"/>
  <c r="AD30" i="3"/>
  <c r="AD20" i="3"/>
  <c r="AC36" i="3"/>
  <c r="T26" i="3"/>
  <c r="V27" i="3"/>
  <c r="AC30" i="3"/>
  <c r="Z19" i="3"/>
  <c r="AB19" i="3" s="1"/>
  <c r="X27" i="3" l="1"/>
  <c r="V26" i="3"/>
  <c r="V102" i="3" s="1"/>
  <c r="AD15" i="3"/>
  <c r="T102" i="3"/>
  <c r="AC15" i="3"/>
  <c r="Y27" i="3"/>
  <c r="W26" i="3"/>
  <c r="W102" i="3" s="1"/>
  <c r="AC19" i="3"/>
  <c r="AD19" i="3"/>
  <c r="Y26" i="3" l="1"/>
  <c r="Y102" i="3" s="1"/>
  <c r="AA27" i="3"/>
  <c r="AA26" i="3" s="1"/>
  <c r="AA102" i="3" s="1"/>
  <c r="Z27" i="3"/>
  <c r="X26" i="3"/>
  <c r="X102" i="3" s="1"/>
  <c r="Z26" i="3" l="1"/>
  <c r="Z102" i="3" s="1"/>
  <c r="AC102" i="3" s="1"/>
  <c r="AB27" i="3"/>
  <c r="AB26" i="3" s="1"/>
  <c r="AB102" i="3" s="1"/>
  <c r="AC27" i="3"/>
  <c r="AC26" i="3" s="1"/>
  <c r="AD27" i="3"/>
  <c r="AD26" i="3" s="1"/>
  <c r="AD102" i="3" l="1"/>
  <c r="M11" i="2" l="1"/>
  <c r="L11" i="2"/>
  <c r="K11" i="2"/>
  <c r="J11" i="2"/>
  <c r="I11" i="2"/>
  <c r="H11" i="2"/>
  <c r="G11" i="2"/>
  <c r="F11" i="2"/>
  <c r="E11" i="2"/>
  <c r="D11" i="2"/>
  <c r="C11" i="2"/>
  <c r="B10" i="2"/>
  <c r="B9" i="2"/>
  <c r="B11" i="2" l="1"/>
  <c r="I10" i="1"/>
  <c r="H10" i="1" l="1"/>
  <c r="C8" i="1" l="1"/>
  <c r="C7" i="1"/>
  <c r="C6" i="1"/>
  <c r="C5" i="1"/>
  <c r="C4" i="1"/>
  <c r="C9" i="1" l="1"/>
  <c r="C10" i="1" l="1"/>
  <c r="C12" i="1" l="1"/>
  <c r="F12" i="1"/>
  <c r="E8" i="1" l="1"/>
  <c r="I8" i="1" s="1"/>
  <c r="E7" i="1"/>
  <c r="I7" i="1" l="1"/>
  <c r="G7" i="1"/>
  <c r="E6" i="1"/>
  <c r="I6" i="1" s="1"/>
  <c r="E5" i="1"/>
  <c r="I5" i="1" s="1"/>
  <c r="G5" i="1" l="1"/>
  <c r="G6" i="1"/>
  <c r="H12" i="1"/>
  <c r="B11" i="1"/>
  <c r="B12" i="1" s="1"/>
  <c r="D12" i="1" l="1"/>
  <c r="E9" i="1"/>
  <c r="E12" i="1" l="1"/>
  <c r="G9" i="1"/>
  <c r="I9" i="1"/>
  <c r="I1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tc={32939B54-1DD2-4148-BAE4-DBE415B69158}</author>
  </authors>
  <commentList>
    <comment ref="H10" authorId="0" shapeId="0" xr:uid="{32939B54-1DD2-4148-BAE4-DBE415B69158}">
      <text>
        <t>[Threaded comment]
Your version of Excel allows you to read this threaded comment; however, any edits to it will get removed if the file is opened in a newer version of Excel. Learn more: https://go.microsoft.com/fwlink/?linkid=870924
Comment:
    Izdevumi Rīgas atbalsta centra darbības nodrošināšanai laika periodā no 2023. gada janvāra līdz aprīlim kopā  ir 245 754,88 euro.
245 754,88 euro : 4 mēnešiem = 61 438,72 euro/mēnesī.
61 438,72 euro * 7 mēneši = 430 071,04 euro.</t>
      </text>
    </comment>
  </commentList>
</comments>
</file>

<file path=xl/sharedStrings.xml><?xml version="1.0" encoding="utf-8"?>
<sst xmlns="http://schemas.openxmlformats.org/spreadsheetml/2006/main" count="492" uniqueCount="222">
  <si>
    <t>Pasākumi atbilstoši jomām</t>
  </si>
  <si>
    <t>KOPĀ</t>
  </si>
  <si>
    <t>VARAM budžeta programmā 30.00.00 “Attīstības nacionālie atbalsta instrumenti” pieejamais atlikums (neizlietotais finansējums)</t>
  </si>
  <si>
    <r>
      <rPr>
        <vertAlign val="superscript"/>
        <sz val="11"/>
        <color theme="1"/>
        <rFont val="Calibri"/>
        <family val="2"/>
        <charset val="186"/>
        <scheme val="minor"/>
      </rPr>
      <t xml:space="preserve">[2] </t>
    </r>
    <r>
      <rPr>
        <i/>
        <sz val="11"/>
        <color theme="1"/>
        <rFont val="Calibri"/>
        <family val="2"/>
        <charset val="186"/>
        <scheme val="minor"/>
      </rPr>
      <t>Saskaņā ar Ministru kabineta 2022. gada 21. decembra rīkojuma Nr. 966 “Par Pasākumu plānu atbalsta sniegšanai Ukrainas civiliedzīvotājiem Latvijas Republikā 2023. gadam” pielikumu "Pasākumu plāns atbalsta sniegšanai Ukrainas civiliedzīvotājiem Latvijas Republikā 2023. gadam".</t>
    </r>
  </si>
  <si>
    <r>
      <t xml:space="preserve">Par vienotu valsts un pašvaldību sniegtā atbalsta koordinācijas punktu darbības nodrošināšanu
</t>
    </r>
    <r>
      <rPr>
        <vertAlign val="superscript"/>
        <sz val="12"/>
        <color theme="1"/>
        <rFont val="Times New Roman"/>
        <family val="1"/>
        <charset val="186"/>
      </rPr>
      <t>[2]</t>
    </r>
    <r>
      <rPr>
        <sz val="12"/>
        <color theme="1"/>
        <rFont val="Times New Roman"/>
        <family val="1"/>
        <charset val="186"/>
      </rPr>
      <t> </t>
    </r>
    <r>
      <rPr>
        <i/>
        <sz val="12"/>
        <color theme="1"/>
        <rFont val="Times New Roman"/>
        <family val="1"/>
        <charset val="186"/>
      </rPr>
      <t>1. "Personu uzņemšana un reģistrācija, informēšanas pasākumi" 1.6. apakšpunkts</t>
    </r>
  </si>
  <si>
    <t>Izdevumi Rīgas atbalsta centra darbības nodrošināšanai laika periodā no 2023. gada janvāra līdz aprīlim kopā  ir 245 754,88 euro.</t>
  </si>
  <si>
    <t>245 754,88 euro : 4 mēnešiem = 61 438,72 euro/mēnesī</t>
  </si>
  <si>
    <t>1. pielikums</t>
  </si>
  <si>
    <t>Indikatīvais izdevumu aprēķins Ekonomikas ministrijas primāri sniedzamā atbalsta nodrošināšanai</t>
  </si>
  <si>
    <t>Gads</t>
  </si>
  <si>
    <t>komentāri</t>
  </si>
  <si>
    <t xml:space="preserve">Pārskata periods </t>
  </si>
  <si>
    <t>janvāris - novembris</t>
  </si>
  <si>
    <t>Janvāris</t>
  </si>
  <si>
    <t>Februāris</t>
  </si>
  <si>
    <t>Marts</t>
  </si>
  <si>
    <t>Aprīlis</t>
  </si>
  <si>
    <t>Maijs</t>
  </si>
  <si>
    <t>Jūnijs</t>
  </si>
  <si>
    <t>Jūlijs</t>
  </si>
  <si>
    <t>Augusts</t>
  </si>
  <si>
    <t>Septembris</t>
  </si>
  <si>
    <t>Oktobris</t>
  </si>
  <si>
    <t>Novembris</t>
  </si>
  <si>
    <t>Decembris</t>
  </si>
  <si>
    <t>(euro,centi)</t>
  </si>
  <si>
    <t>Rādītāja nosaukums</t>
  </si>
  <si>
    <t>Plānotie izdevumi 2023. gadam izdevumi pārskata periodā</t>
  </si>
  <si>
    <t>Faktiskie izdevumi pārskata periodā</t>
  </si>
  <si>
    <r>
      <rPr>
        <b/>
        <u/>
        <sz val="10"/>
        <color theme="1"/>
        <rFont val="Times New Roman"/>
        <family val="1"/>
        <charset val="186"/>
      </rPr>
      <t>Plānotie</t>
    </r>
    <r>
      <rPr>
        <sz val="10"/>
        <color theme="1"/>
        <rFont val="Times New Roman"/>
        <family val="1"/>
        <charset val="186"/>
      </rPr>
      <t xml:space="preserve"> izdevumi pārskata periodā</t>
    </r>
  </si>
  <si>
    <t>Izmitināšana</t>
  </si>
  <si>
    <t>Indikatīvais izdevumu aprēķins primāri sniedzamā atbalsta nodrošināšanai līdz 2023.gada beigām tika veikts, ekstrapolējot līdz šim vērojamās izmitināšanas un ēdināšanas pakalpojumiem pašvaldību pieprasīto izdevumu kompensācijas tendences pa mēnešiem, sākot no 2023. gada sākuma. Turklāt tika ņemts vērā arī fakts, ka pašreiz primāri sniedzamā atbalsta apjoms Ukrainas civiliedzīvotāju atbalsta likuma 12.panta 1.2 prim daļā minēto īpašo personu grupām  pieaug absolūtā izteiksmē, pateicoties augstākiem, salīdzinājumā ar citiem Ukrainas civiliedzīvotājiem, griestiem izmitināšanas izmaksām par cilvēknakti.</t>
  </si>
  <si>
    <t>Ēdināšana</t>
  </si>
  <si>
    <t>KOPĀ:</t>
  </si>
  <si>
    <t>2. pielikums</t>
  </si>
  <si>
    <t>Indikatīvais izdevumu ietekmes aprēķins Labklājības ministrijas atbildības sociālā atbalsta nodrošināšanas jomai</t>
  </si>
  <si>
    <t>2023</t>
  </si>
  <si>
    <t>20223</t>
  </si>
  <si>
    <t>Janvāris-maijs</t>
  </si>
  <si>
    <t>jūlijs-novembris</t>
  </si>
  <si>
    <t>janvāris-novembris</t>
  </si>
  <si>
    <t>Saņēmēju skaits</t>
  </si>
  <si>
    <r>
      <rPr>
        <b/>
        <u/>
        <sz val="10"/>
        <color theme="1"/>
        <rFont val="Times New Roman"/>
        <family val="1"/>
        <charset val="186"/>
      </rPr>
      <t>Plānotais</t>
    </r>
    <r>
      <rPr>
        <sz val="10"/>
        <color theme="1"/>
        <rFont val="Times New Roman"/>
        <family val="1"/>
        <charset val="186"/>
      </rPr>
      <t xml:space="preserve"> saņēmēju skaits</t>
    </r>
  </si>
  <si>
    <r>
      <rPr>
        <b/>
        <u/>
        <sz val="10"/>
        <color theme="1"/>
        <rFont val="Times New Roman"/>
        <family val="1"/>
        <charset val="186"/>
      </rPr>
      <t>Plānotai</t>
    </r>
    <r>
      <rPr>
        <sz val="10"/>
        <color theme="1"/>
        <rFont val="Times New Roman"/>
        <family val="1"/>
        <charset val="186"/>
      </rPr>
      <t>s saņēmēju skaits</t>
    </r>
  </si>
  <si>
    <t>Atlīdzība par ārkārtas aizbildņa pienākumu pildīšanu (UCAL 19.panta pirmā un otrā daļa)</t>
  </si>
  <si>
    <t>Jūlija-decembra izdevumi plānoti atbilstoši vidējiem faktiskajiem izdevumiem mēnesī periodā 2023. gada janvāris - 2023. gada maijs.</t>
  </si>
  <si>
    <t>Pabalsts nepavadīta bērna uzturam (UCAL 19.panta pirmā, trešā un septītā daļa)</t>
  </si>
  <si>
    <t>Pabalsts apģērba un mīkstā inventāra iegādei (UCAL 19.panta pirmā un piektā daļa)</t>
  </si>
  <si>
    <t>Garantētā minimālā ienākuma (GMI) pabalsts (UCAL 7.panta trešā daļa)</t>
  </si>
  <si>
    <t>Jūlija-decembra saņēmēju skaits  plānots atbilstoši vidējam faktiskajam saņēmēju skaitam mēnesī periodā 2023. gada janvāris - 2023. gada maijs, izdevumi palielināti par 15% (ar 01.07.2023. mainās GMI pabalsta apmērs) pret faktiskajiem izdevumiem mēnesī periodā 2023. gada janvāris - 2023. gada maijs.</t>
  </si>
  <si>
    <t>Pabalsts krīzes situācijā (UCAL 7.panta trešā daļa un 3 prim daļa)</t>
  </si>
  <si>
    <t>Mājokļa pabalsts mājsaimniecībai no Ukrainas ar īres līgumu (UCAL 7.panta trešā daļa)</t>
  </si>
  <si>
    <t>Jūlija-oktobra izdevumi plānoti ar 5% samazinājumu no vidējiem faktiskajiem izdevumiem mēnesī periodā 2023. gada janvāris - 2023. gada maijs. Novembra - decembra izdevumi plānoti atbilstoši vidējiem faktiskajiem izdevumiem mēnesī periodā 2023. gada janvāris - 2023. gada maijs.</t>
  </si>
  <si>
    <t>Pabalsts atsevišķu izdevumu apmaksai (UCAL 7.panta trešā daļa)</t>
  </si>
  <si>
    <t>Pakalpojums pārvietošanās atbalstam (UCAL 13.panta pirmās daļas 1.punkts)</t>
  </si>
  <si>
    <t>Jūlija-decembra izdevumos ik mēnesi plānots palielinājums par 1 pakalpojuma saņēmēju, attiecīgi proporcionāli palielināti arī plānoti izdevumi.</t>
  </si>
  <si>
    <t xml:space="preserve">Sociālās rehabilitācijas pakalpojums vardarbībā cietušiem bērniem (UCAL 7.panta pirmā prim un trešā daļa) </t>
  </si>
  <si>
    <t xml:space="preserve">Sociālās rehabilitācijas pakalpojums vardarbībā cietušām pilngadīgām personām (UCAL 7.panta pirmā prim un trešā daļa) </t>
  </si>
  <si>
    <t>Jūlija-decembra izdevumi plānoti atbilstoši vidējiem faktiskajiem izdevumiem 2023.gada maijā.</t>
  </si>
  <si>
    <t>Ilgstošas sociālās aprūpes un sociālās rehabilitācijas pakalpojumi bērniem (UCAL 7.panta pirmā prim un trešā daļa un 18.panta deviņpadsmitā daļa)</t>
  </si>
  <si>
    <t xml:space="preserve">Ilgstošas sociālās aprūpes un sociālās rehabilitācijas pakalpojumi pilngadīgām personām (UCAL 7.panta pirmā prim un trešā daļa) </t>
  </si>
  <si>
    <t>Piemaksa pie mēnešalgas un virsstundu darbs bāriņtiesu darbiniekiem, kuri iesaistīti atbalsta sniegšanā Ukrainas civiliedzīvotājiem (UCAL 13.panta pirmā prim daļa un pirmā divi prim daļa.)</t>
  </si>
  <si>
    <t>Piemaksa pie mēnešalgas</t>
  </si>
  <si>
    <t>Virsstundu darbs</t>
  </si>
  <si>
    <t>Piemaksa pie mēnešalgas un virsstundu darbs pašvaldības sociālo dienestu darbiniekiem, kuri iesaistīti atbalsta sniegšanā Ukrainas civiliedzīvotājiem (UCAL 13.panta pirmā prim daļa un pirmā divi prim daļa.)</t>
  </si>
  <si>
    <t xml:space="preserve">Piemaksa pie mēnešalgas </t>
  </si>
  <si>
    <t>Citi pašvaldības piešķirtie sociālā atbalsta pasākumi (UCAL 7.panta trešā daļa, un pirmā prim daļa un 19.panta sestā daļa):</t>
  </si>
  <si>
    <t>Apbedīšanas pabalsts</t>
  </si>
  <si>
    <t>Dienas centru pakalpojums pilngadīgām personām un bērniem</t>
  </si>
  <si>
    <t>Jūlija-decembra izdevumi plānoti ar 3% palielinājumu pret vidējiem faktiskajiem izdevumiem mēnesī periodā 2023. gada janvāris - 2023. gada maijs.</t>
  </si>
  <si>
    <t>Aprūpe mājā pakalpojums</t>
  </si>
  <si>
    <t>Pabalsts zupas virtuves izmantošanai</t>
  </si>
  <si>
    <t>Jūlija-decembra izdevumi plānoti ar 5% palielinājumu pret vidējiem faktiskajiem izdevumiem mēnesī periodā 2023. gada janvāris - 2023. gada maijs.</t>
  </si>
  <si>
    <t>Asistenta pakalpojums personām ar invaliditāti</t>
  </si>
  <si>
    <t>Asistenta pakalpojums personām ar īpašām vajadzībām</t>
  </si>
  <si>
    <t>Psihologa konsultācijas</t>
  </si>
  <si>
    <t>Atbalsts profesionālās ievirzes izglītības apmaksai</t>
  </si>
  <si>
    <t>Ēdināšana skolās un PII</t>
  </si>
  <si>
    <t>Bērna piedzimšanas pabalsts</t>
  </si>
  <si>
    <t>Materiālā palīdzība aizbildnim par bērna uzturēšanu, atbilstoši Saulkrastu novada domes 27.10.2021. Saistošajiem noteikumiem Nr.SN18/2021 "Par materiālo palīdzību Saulkrastu novadā" 32.punktam.</t>
  </si>
  <si>
    <t>Bērna piedzimšanas pabalsts UK pilsonei</t>
  </si>
  <si>
    <t>Mājokļa pabalsts natūrā</t>
  </si>
  <si>
    <t>bērnudārza apmaksa (netestēts)</t>
  </si>
  <si>
    <t>Patversmes pakalpojumi</t>
  </si>
  <si>
    <t>Biedrība "Latvijas sarkanais Krusts" pirmā palīdzība - psiholoģiskās palīdzības sniegšana UCA centrā (6419)</t>
  </si>
  <si>
    <t>Pabalsts transporta izdevumu segšanai</t>
  </si>
  <si>
    <t xml:space="preserve">Biedrība "Skalbes" psiholoģiskā palīdzības sniegšana ārkārtas situācijā UCA centrā (6419) </t>
  </si>
  <si>
    <t>Pārējie izdevumi</t>
  </si>
  <si>
    <t>DAC pakalpojumi</t>
  </si>
  <si>
    <t>Daļējai apbedīšanas izdevumu segšanai</t>
  </si>
  <si>
    <t>Daudzbērnu ģimenes pabalsts</t>
  </si>
  <si>
    <t>Energoterapeita pakalpojumi</t>
  </si>
  <si>
    <t>Ēdināšana ar ienākumu izvērtēšanu</t>
  </si>
  <si>
    <t>Ēdināšanas izdevumi kompensēšana vasaras nometnēs</t>
  </si>
  <si>
    <t>Ēdināšanas izdevumi skolās un pirmskolas iestādēs (pieškirtie pabalsti trūcīgajām personām un daudzbērnu ģimenēm)</t>
  </si>
  <si>
    <t>Ēdināšanas izdevumi Ukrainas civiliedzīvotāju bērniem mācību iestādēs (pirmsskola, pamatskola)</t>
  </si>
  <si>
    <t>Ēdināšanas izmaksas pirmsskolas izglītības iestādēs</t>
  </si>
  <si>
    <t>ēdināšana skolā</t>
  </si>
  <si>
    <t>Higiēnas centra pakalpojumi, veļas mazgāšana (maznodrošinātā persona)</t>
  </si>
  <si>
    <t>Invalīdu asistentu pakalpojuma nodrošināsanas izdevumi</t>
  </si>
  <si>
    <t>izmaksa asistentei II grupas invalīdam par nostrādātām 30 stundām</t>
  </si>
  <si>
    <t>Jaundzimušā pabalsts</t>
  </si>
  <si>
    <t>Jaundzimušo pabalsts t.i., atsevišķu izdevumu apmaksai (UCAL 7.panta trešā daļa, un pirmā prim daļa un 19.panta sestā daļa)</t>
  </si>
  <si>
    <t>Jaungada dāvanas bērniem (EKK 6421)</t>
  </si>
  <si>
    <t>Materiālā palīdzība Ukrainas civiliedzīvotājam - pabalsts nozīmīgā dzīves jubilejā, atbilstoši Saulkrastu novada domes 27.10.2021. Saistošajiem noteikumiem Nr.SN18/2021 "Par materiālo palīdzību Saulkrastu novadā" 25.1.apakšpunktam.</t>
  </si>
  <si>
    <t>No vardarbības cietušo pilgadīgo personu sociālā rehabilitācija</t>
  </si>
  <si>
    <t>Pabalsts apbedīšanai</t>
  </si>
  <si>
    <t>Pabalsts atsevišķu situāciju risināšanai (atbilstoši pašvaldības saistošajiem noteikumiem Nr.1, pārtikas iegādei un pamatvajadzību apmierināšanai)</t>
  </si>
  <si>
    <t>Pabalsts bērna invalīda aprūpei</t>
  </si>
  <si>
    <t>Pabalsts bērna piedzimšanas gadījumā</t>
  </si>
  <si>
    <t>Pabalsts daudzbērnu ģimenei</t>
  </si>
  <si>
    <t>Pabalsts daudzbērnu ģimenēm Mātes dienā</t>
  </si>
  <si>
    <t>Pabalsts ēdināšanai PII t.i., atsevišķu izdevumu apmaksai (UCAL 7.panta trešā daļa, un pirmā prim daļa un 19.panta sestā daļa)</t>
  </si>
  <si>
    <t>Pabalsts ēdināšanai pirmsskolas izglītības iestādēs</t>
  </si>
  <si>
    <t>Pabalsts ēdināšanai skolā t.i., atsevišķu izdevumu apmaksai (UCAL 7.panta trešā daļa, un pirmā prim daļa un 19.panta sestā daļa)</t>
  </si>
  <si>
    <t>Pabalsts ēdināšānai skolās (brīvpusdienas)</t>
  </si>
  <si>
    <t>Pabalsts jaundzimušo aprūpei</t>
  </si>
  <si>
    <t>Pabalsts mācību maksas segšanai</t>
  </si>
  <si>
    <t>Pabalsts mājas aprūpes pakalpojumu nodrošināšana</t>
  </si>
  <si>
    <t>Pabalsts medikamentu iegādei pensionāriem un invalīdiem</t>
  </si>
  <si>
    <t>Pabalsts nozīmīgā dzīves jubilejā</t>
  </si>
  <si>
    <t>pabalsts obligātās izglītības skolas piederumu iegādei</t>
  </si>
  <si>
    <t>pabalsts pusdienu apmaksai vidējās un vidējās profesionālās izglītības audzēkņiem</t>
  </si>
  <si>
    <t>Pabalsts rehabilitācijas plāna ietvaros</t>
  </si>
  <si>
    <t>Pabalsts sabiedriskā transporta izdevumiem</t>
  </si>
  <si>
    <t>Pabalsts sociālās funkcionēšanas un neatkarīgas dzīves nodrošināšanai</t>
  </si>
  <si>
    <t>pabalsts sociālās rehabilitācijas vai sociālās situācijas risināšanai</t>
  </si>
  <si>
    <t>pabalsts transporta izdevumu segšanai</t>
  </si>
  <si>
    <t>Pašvaldības brīvprātīgā iniciatīva - pabalsts jaundzimušo aprūpei</t>
  </si>
  <si>
    <t>Pārtikas produktu iegādei bērniem līdz 1 gada vecumam</t>
  </si>
  <si>
    <t>Psihologa konsultācijas (EKK 6421)</t>
  </si>
  <si>
    <t>Psihologa pakalpojums bērnam</t>
  </si>
  <si>
    <t xml:space="preserve">Psiholoģiskā palīdzības sniegšana ārkārtas situācijā </t>
  </si>
  <si>
    <t>Psihosociālās konsultācijas</t>
  </si>
  <si>
    <t>Sabiedriskā transporta mēnešbiļetes</t>
  </si>
  <si>
    <t>Samaksa par asistenta pakalpojumiem (UA civiliedzīvotājs sniedz asistenta pakalpojumus)</t>
  </si>
  <si>
    <t>Sociālais pakalpojums-Ukrainas bērna uzturēšanās krīzes centrā (UCAL 7.panta trešā daļa, un pirmā prim daļa un 19.panta sestā daļa)</t>
  </si>
  <si>
    <t>Sociālie pakalpojumi Ukrainas civiliedzīvotājiem - īslaicīga sociālā aprūpe un sociālā rehabilitācija institūcijā, atbilstoši Saulkrastu novada domes 28.07.2021. Saistošajiem noteikumiem Nr.SN6/2021 "Par sociālo pakalpojumu saņemšanas un samaksas kārtību Saulkrastu novadā" 34.punktam.</t>
  </si>
  <si>
    <t>Sociālie pakalpojumi Ukrainas civiliedzīvotājiem - specializētā autotransporta pakalpojumi personām ar smagiem funkcionāliem traucējumiem, atbilstoši Saulkrastu novada domes 28.07.2021. Saistošajiem noteikumiem Nr.SN6/2021 "Par sociālo pakalpojumu saņemšanas un samaksas kārtību Saulkrastu novadā" 42.punktam.</t>
  </si>
  <si>
    <t>UA asistenta pakalpojums</t>
  </si>
  <si>
    <t>UA Bērnu piedzimšanas pabalsts</t>
  </si>
  <si>
    <t>UA ēdināšana PII TR/MAZN</t>
  </si>
  <si>
    <t>UA  ēdināšana TR/MAZN</t>
  </si>
  <si>
    <t>UA rehabilitācijas mērķu sasniegšanai</t>
  </si>
  <si>
    <t>Ukrainas civiliedzīvotājiem tika piešķirts pabalsts uzturam bezmaksas ēdināšanas pakalpojuma formā</t>
  </si>
  <si>
    <t>Valsts finansētā asistenta pakalpojums (EKK 1150; EKK 1210)</t>
  </si>
  <si>
    <t>Veselības apr. pabalsts: personas, kuras ir donori</t>
  </si>
  <si>
    <t>x</t>
  </si>
  <si>
    <t>3. pielikums</t>
  </si>
  <si>
    <t>Indikatīvais izdevumu ietekmes aprēķins Izglītības un zinātnes ministrijas atbildības jomā plānotajiem atbalsta pasākumiem</t>
  </si>
  <si>
    <t>Faktiskais izglītojamo  skaits</t>
  </si>
  <si>
    <r>
      <rPr>
        <b/>
        <u/>
        <sz val="10"/>
        <color theme="1"/>
        <rFont val="Times New Roman"/>
        <family val="1"/>
        <charset val="186"/>
      </rPr>
      <t>Plānotais</t>
    </r>
    <r>
      <rPr>
        <sz val="10"/>
        <color theme="1"/>
        <rFont val="Times New Roman"/>
        <family val="1"/>
        <charset val="186"/>
      </rPr>
      <t xml:space="preserve"> izglītojamo  skaits</t>
    </r>
  </si>
  <si>
    <r>
      <rPr>
        <b/>
        <u/>
        <sz val="10"/>
        <color theme="1"/>
        <rFont val="Times New Roman"/>
        <family val="1"/>
        <charset val="186"/>
      </rPr>
      <t>Plānotais</t>
    </r>
    <r>
      <rPr>
        <sz val="10"/>
        <color theme="1"/>
        <rFont val="Times New Roman"/>
        <family val="1"/>
        <charset val="186"/>
      </rPr>
      <t xml:space="preserve"> izglītojamo  skaits</t>
    </r>
    <r>
      <rPr>
        <sz val="10"/>
        <color theme="1"/>
        <rFont val="Calibri"/>
        <family val="2"/>
        <charset val="186"/>
      </rPr>
      <t>²</t>
    </r>
  </si>
  <si>
    <r>
      <rPr>
        <b/>
        <u/>
        <sz val="10"/>
        <color theme="1"/>
        <rFont val="Times New Roman"/>
        <family val="1"/>
        <charset val="186"/>
      </rPr>
      <t>Plānotie</t>
    </r>
    <r>
      <rPr>
        <sz val="10"/>
        <color theme="1"/>
        <rFont val="Times New Roman"/>
        <family val="1"/>
        <charset val="186"/>
      </rPr>
      <t xml:space="preserve"> izdevumi kopā</t>
    </r>
  </si>
  <si>
    <r>
      <t>Pedagogu darba samaksa izglītības ieguves nodrošināšanai (UCAL 13</t>
    </r>
    <r>
      <rPr>
        <vertAlign val="superscript"/>
        <sz val="10"/>
        <rFont val="Times New Roman"/>
        <family val="1"/>
      </rPr>
      <t>1</t>
    </r>
    <r>
      <rPr>
        <sz val="10"/>
        <rFont val="Times New Roman"/>
        <family val="1"/>
        <charset val="186"/>
      </rPr>
      <t>.pants)</t>
    </r>
  </si>
  <si>
    <t>Aprēķini ir balstīti uz sekojošiem pieņēmumiem, ka
1)	par tiem izglītojamajiem, kuriem no 1.septembra tiks aprēķināta mērķdotācija pedagogu darba samaksai, papildus atbalsts periodā no 1.septembra līdz 31.decembrim tiks nodrošināts tikai par tiem izglītojamajiem, kuri VIIS sistēmā būs reģistrēti sākot no 2023.gada 1.janvāra līdz 2023.gada 31.augustam.
2)	Izglītojamo datu aplēses balstās uz VIIS pieejamo informāciju. Jāņem vērā, ka izglītojamo skaits un līdz ar to nepieciešamais finansējums no septembra mēneša var būtiski pieaugt, jo 2023/2024 mācību gadam izglītojamo skaits izglītības iestādēs ir jāapstiprina 5.septembrī.</t>
  </si>
  <si>
    <r>
      <t>Vienreizēja palīdzība mācību līdzekļu nodrošināšanai (UCAL 13</t>
    </r>
    <r>
      <rPr>
        <vertAlign val="superscript"/>
        <sz val="10"/>
        <rFont val="Times New Roman"/>
        <family val="1"/>
      </rPr>
      <t>1</t>
    </r>
    <r>
      <rPr>
        <sz val="10"/>
        <rFont val="Times New Roman"/>
        <family val="1"/>
        <charset val="186"/>
      </rPr>
      <t>.pants)</t>
    </r>
  </si>
  <si>
    <r>
      <t>Papildus izmaksas pašvaldību profesionālajām izglītības iestādēm profesionālās izglītības ieguves nodrošināšanai (stipendija, uzturēšanas izmaksas) (UCAL 13</t>
    </r>
    <r>
      <rPr>
        <vertAlign val="superscript"/>
        <sz val="10"/>
        <rFont val="Times New Roman"/>
        <family val="1"/>
      </rPr>
      <t>1</t>
    </r>
    <r>
      <rPr>
        <sz val="10"/>
        <rFont val="Times New Roman"/>
        <family val="1"/>
        <charset val="186"/>
      </rPr>
      <t>.pants)</t>
    </r>
  </si>
  <si>
    <r>
      <t>Nepilngadīgo Ukrainas civiliedzīvotāju, kuri izglītības iestādēs klātienē apgūst pamatizglītības programmas 1., 2., 3. un 4. klasē, ēdināšana. (UCAL 13</t>
    </r>
    <r>
      <rPr>
        <vertAlign val="superscript"/>
        <sz val="10"/>
        <rFont val="Times New Roman"/>
        <family val="1"/>
      </rPr>
      <t>1</t>
    </r>
    <r>
      <rPr>
        <sz val="10"/>
        <rFont val="Times New Roman"/>
        <family val="1"/>
        <charset val="186"/>
      </rPr>
      <t>.pants)</t>
    </r>
  </si>
  <si>
    <t>4. pielikums</t>
  </si>
  <si>
    <t>Indikatīvais izdevumu ietekmes aprēķins Vides aizsardzības un reģionālās attīstības ministrijas atbildības valsts pārvaldes pakalpojumu pieteikšanas atbalsta jomai</t>
  </si>
  <si>
    <t>Janvāris - novembris</t>
  </si>
  <si>
    <r>
      <t xml:space="preserve">Rādītāja nosaukums
</t>
    </r>
    <r>
      <rPr>
        <i/>
        <sz val="10"/>
        <rFont val="Times New Roman"/>
        <family val="1"/>
        <charset val="186"/>
      </rPr>
      <t>(pēc izmaiņām 2023. maijā)</t>
    </r>
  </si>
  <si>
    <t>Plānotais saņēmēju skaits</t>
  </si>
  <si>
    <t>Plānotie izdevumi pārskata periodā</t>
  </si>
  <si>
    <t>E-paklapojuma “Vīzas pieteikums” aizpildīšana un iesniegšana</t>
  </si>
  <si>
    <t>Aprēkinot potenciālo saņēmēju skaitu, ņemts vērā sekojošais
1) 3.ceturksnī skaits varētu būt mazāks, tādēļ atzīmēts 2023.gada 1.pusgada vidējais saņēmēju skaits;
2) 4.ceturksnī skaits var pieaugt, tādēl atzīmēts augstākais 1.pusgada saņēmēju skaits;
3) viena pakalpojuma izmaksas ir 2 EUR.</t>
  </si>
  <si>
    <t>E-pakalpojuma “Anketas iesniegšanas uzturēšanās atļaujas pieprasīšanai” aizpildīšana un iesniegšana</t>
  </si>
  <si>
    <t>Uzturēšanās atļaujas pieprasīšana un reģistrācija; Ielūguma vai izsaukuma apstiprināšanas vīzas vai uzturēšanās atļaujas pieprasīšanai Latvijas Republikā</t>
  </si>
  <si>
    <t>Fizisko personu reģistrācija Fizisko personu reģistrā</t>
  </si>
  <si>
    <t>Ziņu iekļaušana un aktualizēšana Fizisko personu reģistrā</t>
  </si>
  <si>
    <t>Fizisko personu reģistrācija Ukrainas civiliedzīvotāju atbalsta sniegšanai nepieciešamās informācijas reģistrā (UCANIR)</t>
  </si>
  <si>
    <t>Ukrainas civiliedzīvotāju reģistrācija UCANIR</t>
  </si>
  <si>
    <t>Izdruka no Fizisko personu reģistra</t>
  </si>
  <si>
    <t>Izziņa no fizisko personu reģistra</t>
  </si>
  <si>
    <t>Pakalpojuma "Pabalsts Ukrainas civiliedzīvotājam" aizpildīšana un iesniegšana</t>
  </si>
  <si>
    <t>Bērna kopšanas pabalsts</t>
  </si>
  <si>
    <t>Ģimenes valsts pabalsts</t>
  </si>
  <si>
    <t>Atbalsts pagaidu aizsardzības statusa anulēšanas pieteikšanai</t>
  </si>
  <si>
    <t>Nepilsoņa statusa zaudēšana</t>
  </si>
  <si>
    <t>5. pielikums</t>
  </si>
  <si>
    <t>Plānotais finansējuma apmērs pašvaldībām 2023. gadā par veiktajiem/plānotajiem uzlabojumiem pašvaldību ēkās, lai nodrošinātu Ukrainas civiliedzīvotāju izmitināšanu</t>
  </si>
  <si>
    <t>Nr. p. k.</t>
  </si>
  <si>
    <t>Pašvaldības nosaukums</t>
  </si>
  <si>
    <r>
      <t xml:space="preserve">Saskaņā ar 24.04.2023. FM rīkojumu Nr. 107 izmaksātais finansējums
</t>
    </r>
    <r>
      <rPr>
        <i/>
        <sz val="12"/>
        <color theme="1"/>
        <rFont val="Times New Roman"/>
        <family val="1"/>
        <charset val="186"/>
      </rPr>
      <t>(Komisijas par ēku uzlabošanu Ukrainas civiliedzīvotāju atbalstam 2023. gada 25. janvāra sēdē atbalstītais finansējums)</t>
    </r>
    <r>
      <rPr>
        <b/>
        <sz val="12"/>
        <color theme="1"/>
        <rFont val="Times New Roman"/>
        <family val="1"/>
        <charset val="186"/>
      </rPr>
      <t>, euro</t>
    </r>
  </si>
  <si>
    <t>Jaunizveidoto vietu skaits</t>
  </si>
  <si>
    <r>
      <t xml:space="preserve">Saskaņā ar 06.06.2023. FM rīkojumu Nr. 171 izmaksātais finansējums
</t>
    </r>
    <r>
      <rPr>
        <i/>
        <sz val="12"/>
        <color theme="1"/>
        <rFont val="Times New Roman"/>
        <family val="1"/>
        <charset val="186"/>
      </rPr>
      <t>(Komisijas par ēku uzlabošanu Ukrainas civiliedzīvotāju atbalstam 2023. gada 17. maija sēdē atbalstītais finansējums)</t>
    </r>
    <r>
      <rPr>
        <b/>
        <sz val="12"/>
        <color theme="1"/>
        <rFont val="Times New Roman"/>
        <family val="1"/>
        <charset val="186"/>
      </rPr>
      <t>, euro</t>
    </r>
  </si>
  <si>
    <t>Pašvaldībām kopā izmaksātais finansējums, euro</t>
  </si>
  <si>
    <t>Kopā jaunizveidoto vietu skaits</t>
  </si>
  <si>
    <r>
      <t xml:space="preserve">Plānotais </t>
    </r>
    <r>
      <rPr>
        <b/>
        <u/>
        <sz val="12"/>
        <rFont val="Times New Roman"/>
        <family val="1"/>
        <charset val="186"/>
      </rPr>
      <t>papildus nepieciešamais finansējums</t>
    </r>
    <r>
      <rPr>
        <b/>
        <sz val="12"/>
        <rFont val="Times New Roman"/>
        <family val="1"/>
        <charset val="186"/>
      </rPr>
      <t xml:space="preserve"> līdz 30.11.2023., euro</t>
    </r>
  </si>
  <si>
    <t>Plānotais jaunizveidoto vietu skaits</t>
  </si>
  <si>
    <r>
      <rPr>
        <b/>
        <u/>
        <sz val="12"/>
        <color theme="1"/>
        <rFont val="Times New Roman"/>
        <family val="1"/>
        <charset val="186"/>
      </rPr>
      <t>Kopā 2023. gadā plānotais</t>
    </r>
    <r>
      <rPr>
        <b/>
        <sz val="12"/>
        <color theme="1"/>
        <rFont val="Times New Roman"/>
        <family val="1"/>
        <charset val="186"/>
      </rPr>
      <t xml:space="preserve"> nepieciešamais finansējums, euro</t>
    </r>
  </si>
  <si>
    <t>Balvu novada pašvaldībai</t>
  </si>
  <si>
    <t>Bauskas novada pašvaldībai</t>
  </si>
  <si>
    <t>Cēsu novada pašvaldībai</t>
  </si>
  <si>
    <t>Jēkabpils novada pašvaldībai</t>
  </si>
  <si>
    <t>Liepājas valstspilsētas pašvaldībai</t>
  </si>
  <si>
    <t>Limbažu novada pašvaldībai</t>
  </si>
  <si>
    <t>Rīgas valstspilsētas pašvaldībai</t>
  </si>
  <si>
    <t>Siguldas novada pašvaldība</t>
  </si>
  <si>
    <t>Smiltenes  novada pašvaldībai</t>
  </si>
  <si>
    <t>Valmieras novada pašvaldībai</t>
  </si>
  <si>
    <t>Varakļānu novada pašvaldībai</t>
  </si>
  <si>
    <t>61 438,72 euro * 7 mēneši = 430 071,04 euro</t>
  </si>
  <si>
    <r>
      <t xml:space="preserve">Atbalstītais finansējums (janvāris - jūnijs), </t>
    </r>
    <r>
      <rPr>
        <b/>
        <i/>
        <sz val="12"/>
        <color theme="1"/>
        <rFont val="Times New Roman"/>
        <family val="1"/>
        <charset val="186"/>
      </rPr>
      <t xml:space="preserve">euro </t>
    </r>
    <r>
      <rPr>
        <vertAlign val="superscript"/>
        <sz val="12"/>
        <color theme="1"/>
        <rFont val="Times New Roman"/>
        <family val="1"/>
        <charset val="186"/>
      </rPr>
      <t xml:space="preserve">[1] </t>
    </r>
  </si>
  <si>
    <r>
      <t xml:space="preserve">Pamatojoties uz Finanšu ministrijas rīkojumiem:
1) 24.04.2023., Nr. 107,
2) 06.06.2023., Nr. 171,
3) 14.07.2023., Nr. 221
uz 15.08.2023. kopā </t>
    </r>
    <r>
      <rPr>
        <b/>
        <u/>
        <sz val="12"/>
        <color theme="1"/>
        <rFont val="Times New Roman"/>
        <family val="1"/>
        <charset val="186"/>
      </rPr>
      <t>pārdalītais finansējums</t>
    </r>
    <r>
      <rPr>
        <b/>
        <sz val="12"/>
        <color theme="1"/>
        <rFont val="Times New Roman"/>
        <family val="1"/>
        <charset val="186"/>
      </rPr>
      <t xml:space="preserve"> par janvāri - maiju, </t>
    </r>
    <r>
      <rPr>
        <b/>
        <i/>
        <sz val="12"/>
        <color theme="1"/>
        <rFont val="Times New Roman"/>
        <family val="1"/>
        <charset val="186"/>
      </rPr>
      <t>euro</t>
    </r>
    <r>
      <rPr>
        <b/>
        <sz val="12"/>
        <color theme="1"/>
        <rFont val="Times New Roman"/>
        <family val="1"/>
        <charset val="186"/>
      </rPr>
      <t xml:space="preserve">    </t>
    </r>
  </si>
  <si>
    <r>
      <t xml:space="preserve">Uz 15.08.2023. pašvaldībām </t>
    </r>
    <r>
      <rPr>
        <b/>
        <u/>
        <sz val="12"/>
        <color theme="1"/>
        <rFont val="Times New Roman"/>
        <family val="1"/>
        <charset val="186"/>
      </rPr>
      <t>pārskaitītais finansējums</t>
    </r>
    <r>
      <rPr>
        <b/>
        <sz val="12"/>
        <color theme="1"/>
        <rFont val="Times New Roman"/>
        <family val="1"/>
        <charset val="186"/>
      </rPr>
      <t xml:space="preserve"> izdevumu segšanai par sniegto atbalstu Ukrainas civiliedzīvotājiem par 2023. gada janvāri - maiju, </t>
    </r>
    <r>
      <rPr>
        <b/>
        <i/>
        <sz val="12"/>
        <color theme="1"/>
        <rFont val="Times New Roman"/>
        <family val="1"/>
        <charset val="186"/>
      </rPr>
      <t>euro</t>
    </r>
  </si>
  <si>
    <r>
      <t xml:space="preserve">Pašvaldību </t>
    </r>
    <r>
      <rPr>
        <b/>
        <u/>
        <sz val="12"/>
        <color theme="1"/>
        <rFont val="Times New Roman"/>
        <family val="1"/>
        <charset val="186"/>
      </rPr>
      <t>faktiskie</t>
    </r>
    <r>
      <rPr>
        <b/>
        <sz val="12"/>
        <color theme="1"/>
        <rFont val="Times New Roman"/>
        <family val="1"/>
        <charset val="186"/>
      </rPr>
      <t xml:space="preserve"> </t>
    </r>
    <r>
      <rPr>
        <b/>
        <u/>
        <sz val="12"/>
        <color theme="1"/>
        <rFont val="Times New Roman"/>
        <family val="1"/>
        <charset val="186"/>
      </rPr>
      <t>izdevumi</t>
    </r>
    <r>
      <rPr>
        <b/>
        <sz val="12"/>
        <color theme="1"/>
        <rFont val="Times New Roman"/>
        <family val="1"/>
        <charset val="186"/>
      </rPr>
      <t xml:space="preserve"> par sniegto atbalstu Ukrainas civiliedzīvotājiem par 2023. gada janvāri - jūniju, </t>
    </r>
    <r>
      <rPr>
        <b/>
        <i/>
        <sz val="12"/>
        <color theme="1"/>
        <rFont val="Times New Roman"/>
        <family val="1"/>
        <charset val="186"/>
      </rPr>
      <t>euro</t>
    </r>
  </si>
  <si>
    <r>
      <t xml:space="preserve">Papildus nepieciešamais finansējums/prognoze 2023. gada jūlijam - novembrim, </t>
    </r>
    <r>
      <rPr>
        <b/>
        <i/>
        <sz val="12"/>
        <color theme="1"/>
        <rFont val="Times New Roman"/>
        <family val="1"/>
        <charset val="186"/>
      </rPr>
      <t>euro</t>
    </r>
  </si>
  <si>
    <r>
      <t xml:space="preserve">Kopā nepieciešamais plānotais finansējums 2023. gada janvārim - novembrim, </t>
    </r>
    <r>
      <rPr>
        <b/>
        <i/>
        <sz val="12"/>
        <color theme="1"/>
        <rFont val="Times New Roman"/>
        <family val="1"/>
        <charset val="186"/>
      </rPr>
      <t>euro</t>
    </r>
  </si>
  <si>
    <r>
      <t xml:space="preserve">Par palīdzību sociālā atbalsta jomā kopā (LM)
</t>
    </r>
    <r>
      <rPr>
        <vertAlign val="superscript"/>
        <sz val="12"/>
        <color theme="1"/>
        <rFont val="Times New Roman"/>
        <family val="1"/>
        <charset val="186"/>
      </rPr>
      <t>[2]</t>
    </r>
    <r>
      <rPr>
        <sz val="12"/>
        <color theme="1"/>
        <rFont val="Times New Roman"/>
        <family val="1"/>
        <charset val="186"/>
      </rPr>
      <t xml:space="preserve"> </t>
    </r>
    <r>
      <rPr>
        <i/>
        <sz val="12"/>
        <color theme="1"/>
        <rFont val="Times New Roman"/>
        <family val="1"/>
        <charset val="186"/>
      </rPr>
      <t>4. "Sociālā palīdzība, finansiālais atbalsts, pakalpojumi" un 5. "Nepilngadīgie"</t>
    </r>
  </si>
  <si>
    <r>
      <t xml:space="preserve">Par palīdzību izglītības jomā (IzM)
</t>
    </r>
    <r>
      <rPr>
        <vertAlign val="superscript"/>
        <sz val="12"/>
        <color theme="1"/>
        <rFont val="Times New Roman"/>
        <family val="1"/>
        <charset val="186"/>
      </rPr>
      <t>[2]</t>
    </r>
    <r>
      <rPr>
        <sz val="12"/>
        <color theme="1"/>
        <rFont val="Times New Roman"/>
        <family val="1"/>
        <charset val="186"/>
      </rPr>
      <t> </t>
    </r>
    <r>
      <rPr>
        <i/>
        <sz val="12"/>
        <color theme="1"/>
        <rFont val="Times New Roman"/>
        <family val="1"/>
        <charset val="186"/>
      </rPr>
      <t>6. "Izglītība"</t>
    </r>
  </si>
  <si>
    <r>
      <t xml:space="preserve">Par palīdzību ēdināšanas jomā (EM)
</t>
    </r>
    <r>
      <rPr>
        <vertAlign val="superscript"/>
        <sz val="12"/>
        <color theme="1"/>
        <rFont val="Times New Roman"/>
        <family val="1"/>
        <charset val="186"/>
      </rPr>
      <t>[2]</t>
    </r>
    <r>
      <rPr>
        <i/>
        <sz val="12"/>
        <color theme="1"/>
        <rFont val="Times New Roman"/>
        <family val="1"/>
        <charset val="186"/>
      </rPr>
      <t> 2. "Personu izmitināšana un ēdināšana"</t>
    </r>
  </si>
  <si>
    <r>
      <t xml:space="preserve">Par palīdzību izmitināšanas jomā (EM)
</t>
    </r>
    <r>
      <rPr>
        <vertAlign val="superscript"/>
        <sz val="12"/>
        <color theme="1"/>
        <rFont val="Times New Roman"/>
        <family val="1"/>
        <charset val="186"/>
      </rPr>
      <t>[2]</t>
    </r>
    <r>
      <rPr>
        <sz val="12"/>
        <color theme="1"/>
        <rFont val="Times New Roman"/>
        <family val="1"/>
        <charset val="186"/>
      </rPr>
      <t> </t>
    </r>
    <r>
      <rPr>
        <i/>
        <sz val="12"/>
        <color theme="1"/>
        <rFont val="Times New Roman"/>
        <family val="1"/>
        <charset val="186"/>
      </rPr>
      <t>2. "Personu izmitināšana un ēdināšana"</t>
    </r>
  </si>
  <si>
    <r>
      <t xml:space="preserve">Par izlietoto finansējumu valsts pārvaldes pakalpojumu pieteikšanas un fizisko personu reģistrācijas pasākumiem (VARAM)
</t>
    </r>
    <r>
      <rPr>
        <vertAlign val="superscript"/>
        <sz val="12"/>
        <color theme="1"/>
        <rFont val="Times New Roman"/>
        <family val="1"/>
        <charset val="186"/>
      </rPr>
      <t>[2]</t>
    </r>
    <r>
      <rPr>
        <sz val="12"/>
        <color theme="1"/>
        <rFont val="Times New Roman"/>
        <family val="1"/>
        <charset val="186"/>
      </rPr>
      <t> </t>
    </r>
    <r>
      <rPr>
        <i/>
        <sz val="12"/>
        <color theme="1"/>
        <rFont val="Times New Roman"/>
        <family val="1"/>
        <charset val="186"/>
      </rPr>
      <t>1. "Personu uzņemšana un reģistrācija, informēšanas pasākumi" 1.7. apakšpunkts</t>
    </r>
  </si>
  <si>
    <r>
      <t xml:space="preserve">Par pašvaldību veiktajiem uzlabojumiem pašvaldību ēkās, lai nodrošinātu Ukrainas civiliedzīvotāju izmitināšanu (VARAM)
</t>
    </r>
    <r>
      <rPr>
        <vertAlign val="superscript"/>
        <sz val="12"/>
        <color theme="1"/>
        <rFont val="Times New Roman"/>
        <family val="1"/>
        <charset val="186"/>
      </rPr>
      <t>[2]</t>
    </r>
    <r>
      <rPr>
        <sz val="12"/>
        <color theme="1"/>
        <rFont val="Times New Roman"/>
        <family val="1"/>
        <charset val="186"/>
      </rPr>
      <t> </t>
    </r>
    <r>
      <rPr>
        <i/>
        <sz val="12"/>
        <color theme="1"/>
        <rFont val="Times New Roman"/>
        <family val="1"/>
        <charset val="186"/>
      </rPr>
      <t>2. "Personu izmitināšana un ēdināšana" 2.3. apakšpunkts</t>
    </r>
  </si>
  <si>
    <r>
      <rPr>
        <b/>
        <u/>
        <sz val="14"/>
        <color theme="1"/>
        <rFont val="Times New Roman"/>
        <family val="1"/>
        <charset val="186"/>
      </rPr>
      <t>Papildus</t>
    </r>
    <r>
      <rPr>
        <b/>
        <sz val="14"/>
        <color theme="1"/>
        <rFont val="Times New Roman"/>
        <family val="1"/>
        <charset val="186"/>
      </rPr>
      <t xml:space="preserve"> no valsts budžeta programmas 17.00.00 "Finansējums Ukrainas civiliedzīvotāju atbalsta likumā noteikto pasākumu īstenošanai" </t>
    </r>
    <r>
      <rPr>
        <b/>
        <u/>
        <sz val="14"/>
        <color theme="1"/>
        <rFont val="Times New Roman"/>
        <family val="1"/>
        <charset val="186"/>
      </rPr>
      <t>nepieciešamais finansējums</t>
    </r>
    <r>
      <rPr>
        <b/>
        <sz val="14"/>
        <color theme="1"/>
        <rFont val="Times New Roman"/>
        <family val="1"/>
        <charset val="186"/>
      </rPr>
      <t xml:space="preserve"> 2023. gada jūlijs - novembris, </t>
    </r>
    <r>
      <rPr>
        <b/>
        <i/>
        <sz val="14"/>
        <color theme="1"/>
        <rFont val="Times New Roman"/>
        <family val="1"/>
        <charset val="186"/>
      </rPr>
      <t>euro</t>
    </r>
  </si>
  <si>
    <r>
      <rPr>
        <vertAlign val="superscript"/>
        <sz val="11"/>
        <color theme="1"/>
        <rFont val="Calibri"/>
        <family val="2"/>
        <charset val="186"/>
        <scheme val="minor"/>
      </rPr>
      <t>[1]</t>
    </r>
    <r>
      <rPr>
        <sz val="11"/>
        <color theme="1"/>
        <rFont val="Calibri"/>
        <family val="2"/>
        <charset val="186"/>
        <scheme val="minor"/>
      </rPr>
      <t xml:space="preserve"> </t>
    </r>
    <r>
      <rPr>
        <i/>
        <sz val="11"/>
        <color theme="1"/>
        <rFont val="Calibri"/>
        <family val="2"/>
        <charset val="186"/>
        <scheme val="minor"/>
      </rPr>
      <t>Ar MK 28.03.2023. rīkojumu Nr. 170 "Par finanšu līdzekļu piešķiršanu no valsts budžeta programmas 17.00.00 "Finansējums Ukrainas civiliedzīvotāju atbalsta likumā noteikto pasākumu īstenošanai""</t>
    </r>
  </si>
  <si>
    <r>
      <rPr>
        <vertAlign val="superscript"/>
        <sz val="11"/>
        <color theme="1"/>
        <rFont val="Calibri"/>
        <family val="2"/>
        <charset val="186"/>
        <scheme val="minor"/>
      </rPr>
      <t>[3]</t>
    </r>
    <r>
      <rPr>
        <sz val="11"/>
        <color theme="1"/>
        <rFont val="Calibri"/>
        <family val="2"/>
        <charset val="186"/>
        <scheme val="minor"/>
      </rPr>
      <t xml:space="preserve"> </t>
    </r>
    <r>
      <rPr>
        <i/>
        <sz val="11"/>
        <color theme="1"/>
        <rFont val="Calibri"/>
        <family val="2"/>
        <charset val="186"/>
        <scheme val="minor"/>
      </rPr>
      <t xml:space="preserve">Papildus nepieciešamais finansējums/prognoze vienotu valsts un pašvaldību sniegtā atbalsta koordinācijas punktu darbības nodrošināšanai tika aprēķināts, ņemot vērā Rīgas atbalsta centra darbības nodrošināšanas izdevumus vidēji mēnesī, sareizinot ar mēnešu skaitu:
</t>
    </r>
  </si>
  <si>
    <t>Detalizēta informācija papildu nepieciešamajam finansējumam</t>
  </si>
  <si>
    <r>
      <t xml:space="preserve">Pašvaldību faktiskie izdevumi par sniegto atbalstu Ukrainas civiliedzīvotājiem par 2023. gada jūniju (FM pieprasījums nosūtīts 01.08.2023, vēstules Nr. 1-132/4430, apstiprināts ar FM 18.08.2023. rīkojumu Nr.267), </t>
    </r>
    <r>
      <rPr>
        <b/>
        <i/>
        <sz val="12"/>
        <color theme="1"/>
        <rFont val="Times New Roman"/>
        <family val="1"/>
        <charset val="186"/>
      </rPr>
      <t>euro</t>
    </r>
  </si>
  <si>
    <r>
      <t xml:space="preserve">Starpība  starp atbalstīto finansējumu  un faktiskajiem izdevumiem, jeb finanšu līdzekļu atlikums no MK rīkojuma Nr. 170 1. punktā paredzētā finansējuma, </t>
    </r>
    <r>
      <rPr>
        <b/>
        <i/>
        <sz val="12"/>
        <color theme="1"/>
        <rFont val="Times New Roman"/>
        <family val="1"/>
        <charset val="186"/>
      </rPr>
      <t>euro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</si>
</sst>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2" x14ac:knownFonts="1">
    <font>
      <sz val="11"/>
      <color theme="1"/>
      <name val="Calibri"/>
      <family val="2"/>
      <charset val="186"/>
      <scheme val="minor"/>
    </font>
    <font>
      <i/>
      <sz val="11"/>
      <color theme="1"/>
      <name val="Calibri"/>
      <family val="2"/>
      <charset val="186"/>
      <scheme val="minor"/>
    </font>
    <font>
      <vertAlign val="superscript"/>
      <sz val="11"/>
      <color theme="1"/>
      <name val="Calibri"/>
      <family val="2"/>
      <charset val="186"/>
      <scheme val="minor"/>
    </font>
    <font>
      <sz val="12"/>
      <color theme="1"/>
      <name val="Times New Roman"/>
      <family val="1"/>
      <charset val="186"/>
    </font>
    <font>
      <vertAlign val="superscript"/>
      <sz val="12"/>
      <color theme="1"/>
      <name val="Times New Roman"/>
      <family val="1"/>
      <charset val="186"/>
    </font>
    <font>
      <i/>
      <sz val="12"/>
      <color theme="1"/>
      <name val="Times New Roman"/>
      <family val="1"/>
      <charset val="186"/>
    </font>
    <font>
      <sz val="11"/>
      <color theme="1"/>
      <name val="Calibri"/>
      <family val="2"/>
      <charset val="186"/>
      <scheme val="minor"/>
    </font>
    <font>
      <sz val="10"/>
      <color theme="1"/>
      <name val="Times New Roman"/>
      <family val="1"/>
      <charset val="186"/>
    </font>
    <font>
      <i/>
      <sz val="10"/>
      <color theme="1"/>
      <name val="Times New Roman"/>
      <family val="1"/>
      <charset val="186"/>
    </font>
    <font>
      <sz val="11"/>
      <color theme="1"/>
      <name val="Times New Roman"/>
      <family val="1"/>
      <charset val="186"/>
    </font>
    <font>
      <b/>
      <sz val="14"/>
      <color theme="1"/>
      <name val="Times New Roman"/>
      <family val="1"/>
      <charset val="186"/>
    </font>
    <font>
      <sz val="11"/>
      <color indexed="8"/>
      <name val="Calibri"/>
      <family val="2"/>
    </font>
    <font>
      <sz val="10"/>
      <name val="Times New Roman"/>
      <family val="1"/>
      <charset val="186"/>
    </font>
    <font>
      <b/>
      <sz val="10"/>
      <color theme="1"/>
      <name val="Times New Roman"/>
      <family val="1"/>
      <charset val="186"/>
    </font>
    <font>
      <i/>
      <sz val="10"/>
      <name val="Times New Roman"/>
      <family val="1"/>
      <charset val="186"/>
    </font>
    <font>
      <b/>
      <i/>
      <sz val="10"/>
      <color theme="1"/>
      <name val="Times New Roman"/>
      <family val="1"/>
      <charset val="186"/>
    </font>
    <font>
      <b/>
      <u/>
      <sz val="10"/>
      <color theme="1"/>
      <name val="Times New Roman"/>
      <family val="1"/>
      <charset val="186"/>
    </font>
    <font>
      <sz val="8"/>
      <color theme="1"/>
      <name val="Times New Roman"/>
      <family val="1"/>
      <charset val="186"/>
    </font>
    <font>
      <sz val="11"/>
      <color indexed="8"/>
      <name val="Calibri"/>
      <family val="2"/>
      <charset val="186"/>
    </font>
    <font>
      <sz val="11"/>
      <color theme="1"/>
      <name val="Calibri"/>
      <family val="2"/>
      <charset val="186"/>
    </font>
    <font>
      <b/>
      <sz val="13"/>
      <color theme="1"/>
      <name val="Times New Roman"/>
      <family val="1"/>
      <charset val="186"/>
    </font>
    <font>
      <i/>
      <sz val="11"/>
      <color theme="1"/>
      <name val="Calibri"/>
      <family val="2"/>
      <charset val="186"/>
    </font>
    <font>
      <i/>
      <sz val="8"/>
      <color theme="1"/>
      <name val="Times New Roman"/>
      <family val="1"/>
      <charset val="186"/>
    </font>
    <font>
      <i/>
      <sz val="8"/>
      <color theme="1"/>
      <name val="Calibri"/>
      <family val="2"/>
      <charset val="186"/>
    </font>
    <font>
      <sz val="8"/>
      <name val="Times New Roman"/>
      <family val="1"/>
      <charset val="186"/>
    </font>
    <font>
      <sz val="10"/>
      <color indexed="8"/>
      <name val="Times New Roman"/>
      <family val="1"/>
      <charset val="186"/>
    </font>
    <font>
      <sz val="9"/>
      <color theme="1"/>
      <name val="Times New Roman"/>
      <family val="1"/>
      <charset val="186"/>
    </font>
    <font>
      <b/>
      <sz val="10"/>
      <name val="Times New Roman"/>
      <family val="1"/>
      <charset val="186"/>
    </font>
    <font>
      <i/>
      <sz val="9"/>
      <color theme="1"/>
      <name val="Calibri"/>
      <family val="2"/>
      <charset val="186"/>
    </font>
    <font>
      <i/>
      <sz val="10"/>
      <color indexed="8"/>
      <name val="Times New Roman"/>
      <family val="1"/>
      <charset val="186"/>
    </font>
    <font>
      <b/>
      <sz val="13"/>
      <color indexed="8"/>
      <name val="Times New Roman"/>
      <family val="1"/>
      <charset val="186"/>
    </font>
    <font>
      <i/>
      <sz val="9"/>
      <color indexed="8"/>
      <name val="Calibri"/>
      <family val="2"/>
      <charset val="186"/>
    </font>
    <font>
      <i/>
      <sz val="8"/>
      <name val="Times New Roman"/>
      <family val="1"/>
      <charset val="186"/>
    </font>
    <font>
      <i/>
      <sz val="8"/>
      <color indexed="8"/>
      <name val="Calibri"/>
      <family val="2"/>
      <charset val="186"/>
    </font>
    <font>
      <sz val="10"/>
      <color theme="1"/>
      <name val="Calibri"/>
      <family val="2"/>
      <charset val="186"/>
    </font>
    <font>
      <sz val="11"/>
      <name val="Calibri"/>
      <family val="2"/>
      <charset val="186"/>
    </font>
    <font>
      <vertAlign val="superscript"/>
      <sz val="10"/>
      <name val="Times New Roman"/>
      <family val="1"/>
    </font>
    <font>
      <i/>
      <sz val="9"/>
      <name val="Calibri"/>
      <family val="2"/>
      <charset val="186"/>
    </font>
    <font>
      <sz val="11"/>
      <color indexed="8"/>
      <name val="Times New Roman"/>
      <family val="1"/>
      <charset val="186"/>
    </font>
    <font>
      <sz val="11"/>
      <color rgb="FFFF0000"/>
      <name val="Times New Roman"/>
      <family val="1"/>
      <charset val="186"/>
    </font>
    <font>
      <sz val="9"/>
      <name val="Calibri"/>
      <family val="2"/>
      <charset val="186"/>
    </font>
    <font>
      <b/>
      <sz val="10"/>
      <color theme="0" tint="-0.499984740745262"/>
      <name val="Times New Roman"/>
      <family val="1"/>
      <charset val="186"/>
    </font>
    <font>
      <b/>
      <sz val="12"/>
      <color theme="1"/>
      <name val="Times New Roman"/>
      <family val="1"/>
      <charset val="186"/>
    </font>
    <font>
      <b/>
      <sz val="12"/>
      <name val="Times New Roman"/>
      <family val="1"/>
      <charset val="186"/>
    </font>
    <font>
      <b/>
      <u/>
      <sz val="12"/>
      <name val="Times New Roman"/>
      <family val="1"/>
      <charset val="186"/>
    </font>
    <font>
      <b/>
      <u/>
      <sz val="12"/>
      <color theme="1"/>
      <name val="Times New Roman"/>
      <family val="1"/>
      <charset val="186"/>
    </font>
    <font>
      <sz val="12"/>
      <name val="Times New Roman"/>
      <family val="1"/>
      <charset val="186"/>
    </font>
    <font>
      <b/>
      <sz val="14"/>
      <name val="Times New Roman"/>
      <family val="1"/>
      <charset val="186"/>
    </font>
    <font>
      <b/>
      <i/>
      <sz val="12"/>
      <color theme="1"/>
      <name val="Times New Roman"/>
      <family val="1"/>
      <charset val="186"/>
    </font>
    <font>
      <b/>
      <u/>
      <sz val="14"/>
      <color theme="1"/>
      <name val="Times New Roman"/>
      <family val="1"/>
      <charset val="186"/>
    </font>
    <font>
      <b/>
      <i/>
      <sz val="14"/>
      <color theme="1"/>
      <name val="Times New Roman"/>
      <family val="1"/>
      <charset val="186"/>
    </font>
    <font>
      <b/>
      <sz val="20"/>
      <color theme="1"/>
      <name val="Times New Roman"/>
      <family val="1"/>
      <charset val="186"/>
    </font>
  </fonts>
  <fills count="16">
    <fill>
      <patternFill patternType="none"/>
    </fill>
    <fill>
      <patternFill patternType="gray125"/>
    </fill>
    <fill>
      <patternFill patternType="solid">
        <fgColor rgb="FFFFFFFF"/>
        <bgColor indexed="64"/>
      </patternFill>
    </fill>
    <fill>
      <patternFill patternType="solid">
        <fgColor theme="5" tint="0.79998168889431442"/>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theme="0" tint="-4.9989318521683403E-2"/>
        <bgColor indexed="26"/>
      </patternFill>
    </fill>
    <fill>
      <patternFill patternType="solid">
        <fgColor indexed="9"/>
        <bgColor indexed="26"/>
      </patternFill>
    </fill>
    <fill>
      <patternFill patternType="solid">
        <fgColor rgb="FFFFFF00"/>
        <bgColor indexed="64"/>
      </patternFill>
    </fill>
    <fill>
      <patternFill patternType="solid">
        <fgColor theme="0" tint="-4.9989318521683403E-2"/>
        <bgColor indexed="64"/>
      </patternFill>
    </fill>
    <fill>
      <patternFill patternType="solid">
        <fgColor theme="0" tint="-0.14999847407452621"/>
        <bgColor indexed="26"/>
      </patternFill>
    </fill>
    <fill>
      <patternFill patternType="solid">
        <fgColor theme="0"/>
        <bgColor indexed="64"/>
      </patternFill>
    </fill>
    <fill>
      <patternFill patternType="solid">
        <fgColor theme="0"/>
        <bgColor indexed="26"/>
      </patternFill>
    </fill>
    <fill>
      <patternFill patternType="solid">
        <fgColor theme="7" tint="0.79998168889431442"/>
        <bgColor indexed="64"/>
      </patternFill>
    </fill>
    <fill>
      <patternFill patternType="solid">
        <fgColor theme="7" tint="0.59999389629810485"/>
        <bgColor indexed="64"/>
      </patternFill>
    </fill>
    <fill>
      <patternFill patternType="solid">
        <fgColor rgb="FFFFFF00"/>
        <bgColor indexed="26"/>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style="thin">
        <color indexed="64"/>
      </right>
      <top/>
      <bottom style="thin">
        <color indexed="64"/>
      </bottom>
      <diagonal/>
    </border>
  </borders>
  <cellStyleXfs count="3">
    <xf numFmtId="0" fontId="0" fillId="0" borderId="0"/>
    <xf numFmtId="0" fontId="11" fillId="0" borderId="0"/>
    <xf numFmtId="0" fontId="18" fillId="0" borderId="0"/>
  </cellStyleXfs>
  <cellXfs count="254">
    <xf numFmtId="0" fontId="0" fillId="0" borderId="0" xfId="0"/>
    <xf numFmtId="4" fontId="1" fillId="3" borderId="1" xfId="0" applyNumberFormat="1" applyFont="1" applyFill="1" applyBorder="1" applyAlignment="1">
      <alignment horizontal="right"/>
    </xf>
    <xf numFmtId="0" fontId="3" fillId="0" borderId="1" xfId="0" applyFont="1" applyBorder="1" applyAlignment="1">
      <alignment horizontal="justify" vertical="center" wrapText="1"/>
    </xf>
    <xf numFmtId="0" fontId="1" fillId="0" borderId="0" xfId="0" applyFont="1"/>
    <xf numFmtId="0" fontId="7" fillId="0" borderId="0" xfId="0" applyFont="1" applyAlignment="1">
      <alignment wrapText="1"/>
    </xf>
    <xf numFmtId="0" fontId="8" fillId="0" borderId="0" xfId="0" applyFont="1" applyAlignment="1">
      <alignment horizontal="right" wrapText="1"/>
    </xf>
    <xf numFmtId="0" fontId="9" fillId="0" borderId="0" xfId="0" applyFont="1" applyAlignment="1">
      <alignment wrapText="1"/>
    </xf>
    <xf numFmtId="0" fontId="12" fillId="0" borderId="1" xfId="1" applyFont="1" applyBorder="1" applyAlignment="1">
      <alignment horizontal="right" vertical="center" wrapText="1"/>
    </xf>
    <xf numFmtId="49" fontId="13" fillId="0" borderId="1" xfId="1" applyNumberFormat="1" applyFont="1" applyBorder="1" applyAlignment="1">
      <alignment horizontal="center" vertical="center" wrapText="1"/>
    </xf>
    <xf numFmtId="49" fontId="7" fillId="0" borderId="1" xfId="1" applyNumberFormat="1" applyFont="1" applyBorder="1" applyAlignment="1">
      <alignment horizontal="center" vertical="center" wrapText="1"/>
    </xf>
    <xf numFmtId="49" fontId="7" fillId="6" borderId="1" xfId="1" applyNumberFormat="1" applyFont="1" applyFill="1" applyBorder="1" applyAlignment="1">
      <alignment horizontal="center" vertical="center" wrapText="1"/>
    </xf>
    <xf numFmtId="0" fontId="12" fillId="0" borderId="1" xfId="1" applyFont="1" applyBorder="1" applyAlignment="1">
      <alignment horizontal="left" vertical="center" wrapText="1"/>
    </xf>
    <xf numFmtId="0" fontId="15" fillId="0" borderId="1" xfId="1" applyFont="1" applyBorder="1" applyAlignment="1">
      <alignment horizontal="right" vertical="center"/>
    </xf>
    <xf numFmtId="0" fontId="8" fillId="0" borderId="1" xfId="1" applyFont="1" applyBorder="1" applyAlignment="1">
      <alignment horizontal="right" vertical="center"/>
    </xf>
    <xf numFmtId="0" fontId="8" fillId="6" borderId="1" xfId="1" applyFont="1" applyFill="1" applyBorder="1" applyAlignment="1">
      <alignment horizontal="right" vertical="center"/>
    </xf>
    <xf numFmtId="49" fontId="7" fillId="7" borderId="1" xfId="1" applyNumberFormat="1" applyFont="1" applyFill="1" applyBorder="1" applyAlignment="1">
      <alignment horizontal="center" vertical="center" wrapText="1"/>
    </xf>
    <xf numFmtId="0" fontId="17" fillId="0" borderId="1" xfId="0" applyFont="1" applyBorder="1" applyAlignment="1">
      <alignment horizontal="center" wrapText="1"/>
    </xf>
    <xf numFmtId="0" fontId="17" fillId="0" borderId="1" xfId="2" applyFont="1" applyBorder="1" applyAlignment="1">
      <alignment horizontal="center" vertical="center"/>
    </xf>
    <xf numFmtId="0" fontId="17" fillId="6" borderId="1" xfId="2" applyFont="1" applyFill="1" applyBorder="1" applyAlignment="1">
      <alignment horizontal="center" vertical="center"/>
    </xf>
    <xf numFmtId="0" fontId="17" fillId="0" borderId="1" xfId="0" quotePrefix="1" applyFont="1" applyBorder="1" applyAlignment="1">
      <alignment horizontal="center" wrapText="1"/>
    </xf>
    <xf numFmtId="3" fontId="13" fillId="0" borderId="1" xfId="0" applyNumberFormat="1" applyFont="1" applyBorder="1" applyAlignment="1">
      <alignment vertical="center" wrapText="1"/>
    </xf>
    <xf numFmtId="4" fontId="13" fillId="0" borderId="1" xfId="2" applyNumberFormat="1" applyFont="1" applyBorder="1" applyAlignment="1">
      <alignment horizontal="right" vertical="center"/>
    </xf>
    <xf numFmtId="4" fontId="7" fillId="0" borderId="1" xfId="2" applyNumberFormat="1" applyFont="1" applyBorder="1" applyAlignment="1">
      <alignment horizontal="right" vertical="center"/>
    </xf>
    <xf numFmtId="4" fontId="7" fillId="6" borderId="1" xfId="2" applyNumberFormat="1" applyFont="1" applyFill="1" applyBorder="1" applyAlignment="1">
      <alignment horizontal="right" vertical="center"/>
    </xf>
    <xf numFmtId="0" fontId="13" fillId="0" borderId="1" xfId="0" applyFont="1" applyBorder="1" applyAlignment="1">
      <alignment horizontal="left" vertical="center" wrapText="1"/>
    </xf>
    <xf numFmtId="3" fontId="9" fillId="0" borderId="0" xfId="0" applyNumberFormat="1" applyFont="1" applyAlignment="1">
      <alignment wrapText="1"/>
    </xf>
    <xf numFmtId="4" fontId="13" fillId="6" borderId="1" xfId="2" applyNumberFormat="1" applyFont="1" applyFill="1" applyBorder="1" applyAlignment="1">
      <alignment horizontal="right" vertical="center"/>
    </xf>
    <xf numFmtId="4" fontId="9" fillId="0" borderId="0" xfId="0" applyNumberFormat="1" applyFont="1" applyAlignment="1">
      <alignment wrapText="1"/>
    </xf>
    <xf numFmtId="0" fontId="19" fillId="0" borderId="0" xfId="2" applyFont="1" applyAlignment="1">
      <alignment vertical="center"/>
    </xf>
    <xf numFmtId="0" fontId="7" fillId="0" borderId="1" xfId="1" applyFont="1" applyBorder="1" applyAlignment="1">
      <alignment horizontal="right" vertical="center" wrapText="1"/>
    </xf>
    <xf numFmtId="4" fontId="7" fillId="9" borderId="10" xfId="1" applyNumberFormat="1" applyFont="1" applyFill="1" applyBorder="1" applyAlignment="1">
      <alignment horizontal="center" vertical="center" wrapText="1"/>
    </xf>
    <xf numFmtId="4" fontId="7" fillId="9" borderId="7" xfId="1" applyNumberFormat="1" applyFont="1" applyFill="1" applyBorder="1" applyAlignment="1">
      <alignment horizontal="center" vertical="center" wrapText="1"/>
    </xf>
    <xf numFmtId="4" fontId="7" fillId="9" borderId="6" xfId="1" applyNumberFormat="1" applyFont="1" applyFill="1" applyBorder="1" applyAlignment="1">
      <alignment horizontal="center" vertical="center" wrapText="1"/>
    </xf>
    <xf numFmtId="4" fontId="7" fillId="9" borderId="1" xfId="1" applyNumberFormat="1" applyFont="1" applyFill="1" applyBorder="1" applyAlignment="1">
      <alignment horizontal="center" vertical="center" wrapText="1"/>
    </xf>
    <xf numFmtId="0" fontId="22" fillId="7" borderId="1" xfId="1" applyFont="1" applyFill="1" applyBorder="1" applyAlignment="1">
      <alignment horizontal="justify" vertical="center"/>
    </xf>
    <xf numFmtId="0" fontId="22" fillId="0" borderId="7" xfId="1" applyFont="1" applyBorder="1" applyAlignment="1">
      <alignment horizontal="right" vertical="center"/>
    </xf>
    <xf numFmtId="0" fontId="22" fillId="0" borderId="1" xfId="1" applyFont="1" applyBorder="1" applyAlignment="1">
      <alignment horizontal="right" vertical="center"/>
    </xf>
    <xf numFmtId="0" fontId="22" fillId="8" borderId="1" xfId="1" applyFont="1" applyFill="1" applyBorder="1" applyAlignment="1">
      <alignment horizontal="right" vertical="center"/>
    </xf>
    <xf numFmtId="0" fontId="22" fillId="6" borderId="1" xfId="1" applyFont="1" applyFill="1" applyBorder="1" applyAlignment="1">
      <alignment horizontal="right" vertical="center"/>
    </xf>
    <xf numFmtId="0" fontId="22" fillId="6" borderId="8" xfId="1" applyFont="1" applyFill="1" applyBorder="1" applyAlignment="1">
      <alignment horizontal="right" vertical="center"/>
    </xf>
    <xf numFmtId="4" fontId="22" fillId="9" borderId="11" xfId="1" applyNumberFormat="1" applyFont="1" applyFill="1" applyBorder="1" applyAlignment="1">
      <alignment horizontal="right" vertical="center"/>
    </xf>
    <xf numFmtId="4" fontId="22" fillId="9" borderId="7" xfId="1" applyNumberFormat="1" applyFont="1" applyFill="1" applyBorder="1" applyAlignment="1">
      <alignment horizontal="right" vertical="center"/>
    </xf>
    <xf numFmtId="0" fontId="23" fillId="0" borderId="0" xfId="2" applyFont="1" applyAlignment="1">
      <alignment vertical="center"/>
    </xf>
    <xf numFmtId="49" fontId="7" fillId="0" borderId="12" xfId="1" applyNumberFormat="1" applyFont="1" applyBorder="1" applyAlignment="1">
      <alignment horizontal="center" vertical="center" wrapText="1"/>
    </xf>
    <xf numFmtId="49" fontId="7" fillId="0" borderId="2" xfId="1" applyNumberFormat="1" applyFont="1" applyBorder="1" applyAlignment="1">
      <alignment horizontal="center" vertical="center" wrapText="1"/>
    </xf>
    <xf numFmtId="49" fontId="7" fillId="8" borderId="12" xfId="1" applyNumberFormat="1" applyFont="1" applyFill="1" applyBorder="1" applyAlignment="1">
      <alignment horizontal="center" vertical="center" wrapText="1"/>
    </xf>
    <xf numFmtId="49" fontId="7" fillId="8" borderId="2" xfId="1" applyNumberFormat="1" applyFont="1" applyFill="1" applyBorder="1" applyAlignment="1">
      <alignment horizontal="center" vertical="center" wrapText="1"/>
    </xf>
    <xf numFmtId="49" fontId="7" fillId="6" borderId="2" xfId="1" applyNumberFormat="1" applyFont="1" applyFill="1" applyBorder="1" applyAlignment="1">
      <alignment horizontal="center" vertical="center" wrapText="1"/>
    </xf>
    <xf numFmtId="0" fontId="17" fillId="7" borderId="1" xfId="2" applyFont="1" applyFill="1" applyBorder="1" applyAlignment="1">
      <alignment horizontal="center" vertical="center"/>
    </xf>
    <xf numFmtId="0" fontId="24" fillId="0" borderId="7" xfId="2" applyFont="1" applyBorder="1" applyAlignment="1">
      <alignment horizontal="center" vertical="center"/>
    </xf>
    <xf numFmtId="0" fontId="24" fillId="0" borderId="1" xfId="2" applyFont="1" applyBorder="1" applyAlignment="1">
      <alignment horizontal="center" vertical="center"/>
    </xf>
    <xf numFmtId="0" fontId="24" fillId="8" borderId="1" xfId="2" applyFont="1" applyFill="1" applyBorder="1" applyAlignment="1">
      <alignment vertical="center"/>
    </xf>
    <xf numFmtId="0" fontId="24" fillId="0" borderId="13" xfId="2" applyFont="1" applyBorder="1" applyAlignment="1">
      <alignment horizontal="center" vertical="center"/>
    </xf>
    <xf numFmtId="0" fontId="24" fillId="6" borderId="1" xfId="2" applyFont="1" applyFill="1" applyBorder="1" applyAlignment="1">
      <alignment horizontal="center" vertical="center"/>
    </xf>
    <xf numFmtId="0" fontId="24" fillId="6" borderId="13" xfId="2" applyFont="1" applyFill="1" applyBorder="1" applyAlignment="1">
      <alignment horizontal="center" vertical="center"/>
    </xf>
    <xf numFmtId="0" fontId="12" fillId="7" borderId="14" xfId="2" applyFont="1" applyFill="1" applyBorder="1" applyAlignment="1">
      <alignment horizontal="left" vertical="center" wrapText="1"/>
    </xf>
    <xf numFmtId="0" fontId="12" fillId="0" borderId="15" xfId="2" applyFont="1" applyBorder="1" applyAlignment="1">
      <alignment horizontal="center" vertical="center"/>
    </xf>
    <xf numFmtId="4" fontId="12" fillId="0" borderId="4" xfId="2" applyNumberFormat="1" applyFont="1" applyBorder="1" applyAlignment="1">
      <alignment horizontal="right" vertical="center"/>
    </xf>
    <xf numFmtId="0" fontId="12" fillId="0" borderId="4" xfId="2" applyFont="1" applyBorder="1" applyAlignment="1">
      <alignment horizontal="center" vertical="center"/>
    </xf>
    <xf numFmtId="3" fontId="25" fillId="7" borderId="14" xfId="2" applyNumberFormat="1" applyFont="1" applyFill="1" applyBorder="1" applyAlignment="1">
      <alignment horizontal="center" vertical="center"/>
    </xf>
    <xf numFmtId="3" fontId="12" fillId="8" borderId="4" xfId="2" applyNumberFormat="1" applyFont="1" applyFill="1" applyBorder="1" applyAlignment="1">
      <alignment horizontal="center" vertical="center"/>
    </xf>
    <xf numFmtId="4" fontId="12" fillId="8" borderId="4" xfId="2" applyNumberFormat="1" applyFont="1" applyFill="1" applyBorder="1" applyAlignment="1">
      <alignment horizontal="right" vertical="center"/>
    </xf>
    <xf numFmtId="4" fontId="12" fillId="0" borderId="1" xfId="2" applyNumberFormat="1" applyFont="1" applyBorder="1" applyAlignment="1">
      <alignment horizontal="right" vertical="center"/>
    </xf>
    <xf numFmtId="0" fontId="12" fillId="6" borderId="4" xfId="2" applyFont="1" applyFill="1" applyBorder="1" applyAlignment="1">
      <alignment horizontal="center" vertical="center"/>
    </xf>
    <xf numFmtId="4" fontId="12" fillId="9" borderId="1" xfId="2" applyNumberFormat="1" applyFont="1" applyFill="1" applyBorder="1" applyAlignment="1">
      <alignment horizontal="right" vertical="center"/>
    </xf>
    <xf numFmtId="3" fontId="12" fillId="9" borderId="4" xfId="2" applyNumberFormat="1" applyFont="1" applyFill="1" applyBorder="1" applyAlignment="1">
      <alignment horizontal="center" vertical="center"/>
    </xf>
    <xf numFmtId="0" fontId="26" fillId="7" borderId="1" xfId="2" applyFont="1" applyFill="1" applyBorder="1" applyAlignment="1">
      <alignment horizontal="left" vertical="center" wrapText="1"/>
    </xf>
    <xf numFmtId="1" fontId="12" fillId="6" borderId="4" xfId="2" applyNumberFormat="1" applyFont="1" applyFill="1" applyBorder="1" applyAlignment="1">
      <alignment horizontal="center" vertical="center"/>
    </xf>
    <xf numFmtId="0" fontId="26" fillId="7" borderId="1" xfId="2" applyFont="1" applyFill="1" applyBorder="1" applyAlignment="1">
      <alignment horizontal="left" vertical="top" wrapText="1"/>
    </xf>
    <xf numFmtId="4" fontId="12" fillId="9" borderId="4" xfId="2" applyNumberFormat="1" applyFont="1" applyFill="1" applyBorder="1" applyAlignment="1">
      <alignment horizontal="right" vertical="center"/>
    </xf>
    <xf numFmtId="3" fontId="12" fillId="6" borderId="4" xfId="2" applyNumberFormat="1" applyFont="1" applyFill="1" applyBorder="1" applyAlignment="1">
      <alignment horizontal="center" vertical="center"/>
    </xf>
    <xf numFmtId="1" fontId="7" fillId="6" borderId="4" xfId="2" applyNumberFormat="1" applyFont="1" applyFill="1" applyBorder="1" applyAlignment="1">
      <alignment horizontal="center" vertical="center"/>
    </xf>
    <xf numFmtId="4" fontId="7" fillId="9" borderId="1" xfId="2" applyNumberFormat="1" applyFont="1" applyFill="1" applyBorder="1" applyAlignment="1">
      <alignment horizontal="right" vertical="center"/>
    </xf>
    <xf numFmtId="3" fontId="7" fillId="9" borderId="4" xfId="2" applyNumberFormat="1" applyFont="1" applyFill="1" applyBorder="1" applyAlignment="1">
      <alignment horizontal="center" vertical="center"/>
    </xf>
    <xf numFmtId="1" fontId="8" fillId="6" borderId="4" xfId="2" applyNumberFormat="1" applyFont="1" applyFill="1" applyBorder="1" applyAlignment="1">
      <alignment horizontal="center" vertical="center"/>
    </xf>
    <xf numFmtId="4" fontId="8" fillId="9" borderId="1" xfId="2" applyNumberFormat="1" applyFont="1" applyFill="1" applyBorder="1" applyAlignment="1">
      <alignment horizontal="right" vertical="center"/>
    </xf>
    <xf numFmtId="3" fontId="8" fillId="9" borderId="4" xfId="2" applyNumberFormat="1" applyFont="1" applyFill="1" applyBorder="1" applyAlignment="1">
      <alignment horizontal="center" vertical="center"/>
    </xf>
    <xf numFmtId="0" fontId="7" fillId="6" borderId="4" xfId="2" applyFont="1" applyFill="1" applyBorder="1" applyAlignment="1">
      <alignment horizontal="center" vertical="center"/>
    </xf>
    <xf numFmtId="0" fontId="26" fillId="7" borderId="1" xfId="2" applyFont="1" applyFill="1" applyBorder="1" applyAlignment="1">
      <alignment horizontal="center" vertical="center"/>
    </xf>
    <xf numFmtId="0" fontId="12" fillId="10" borderId="14" xfId="2" applyFont="1" applyFill="1" applyBorder="1" applyAlignment="1">
      <alignment horizontal="left" vertical="center" wrapText="1"/>
    </xf>
    <xf numFmtId="0" fontId="12" fillId="5" borderId="15" xfId="2" applyFont="1" applyFill="1" applyBorder="1" applyAlignment="1">
      <alignment horizontal="center" vertical="center"/>
    </xf>
    <xf numFmtId="4" fontId="12" fillId="5" borderId="15" xfId="2" applyNumberFormat="1" applyFont="1" applyFill="1" applyBorder="1" applyAlignment="1">
      <alignment horizontal="right" vertical="center"/>
    </xf>
    <xf numFmtId="0" fontId="27" fillId="10" borderId="14" xfId="2" applyFont="1" applyFill="1" applyBorder="1" applyAlignment="1">
      <alignment horizontal="left" vertical="center" wrapText="1"/>
    </xf>
    <xf numFmtId="4" fontId="27" fillId="5" borderId="15" xfId="2" applyNumberFormat="1" applyFont="1" applyFill="1" applyBorder="1" applyAlignment="1">
      <alignment horizontal="right" vertical="center"/>
    </xf>
    <xf numFmtId="1" fontId="27" fillId="5" borderId="15" xfId="2" applyNumberFormat="1" applyFont="1" applyFill="1" applyBorder="1" applyAlignment="1">
      <alignment horizontal="center" vertical="center"/>
    </xf>
    <xf numFmtId="4" fontId="27" fillId="5" borderId="1" xfId="2" applyNumberFormat="1" applyFont="1" applyFill="1" applyBorder="1" applyAlignment="1">
      <alignment horizontal="right" vertical="center"/>
    </xf>
    <xf numFmtId="0" fontId="26" fillId="10" borderId="1" xfId="2" applyFont="1" applyFill="1" applyBorder="1" applyAlignment="1">
      <alignment horizontal="center" vertical="center"/>
    </xf>
    <xf numFmtId="0" fontId="12" fillId="0" borderId="14" xfId="2" applyFont="1" applyBorder="1" applyAlignment="1">
      <alignment horizontal="left" vertical="center" wrapText="1"/>
    </xf>
    <xf numFmtId="3" fontId="25" fillId="0" borderId="14" xfId="2" applyNumberFormat="1" applyFont="1" applyBorder="1" applyAlignment="1">
      <alignment horizontal="center" vertical="center"/>
    </xf>
    <xf numFmtId="4" fontId="12" fillId="0" borderId="4" xfId="2" applyNumberFormat="1" applyFont="1" applyBorder="1" applyAlignment="1">
      <alignment horizontal="left" vertical="center"/>
    </xf>
    <xf numFmtId="3" fontId="12" fillId="0" borderId="14" xfId="2" applyNumberFormat="1" applyFont="1" applyBorder="1" applyAlignment="1">
      <alignment horizontal="center" vertical="center"/>
    </xf>
    <xf numFmtId="3" fontId="12" fillId="0" borderId="15" xfId="2" applyNumberFormat="1" applyFont="1" applyBorder="1" applyAlignment="1">
      <alignment horizontal="center" vertical="center"/>
    </xf>
    <xf numFmtId="3" fontId="12" fillId="0" borderId="4" xfId="2" applyNumberFormat="1" applyFont="1" applyBorder="1" applyAlignment="1">
      <alignment horizontal="center" vertical="center"/>
    </xf>
    <xf numFmtId="0" fontId="21" fillId="0" borderId="1" xfId="2" applyFont="1" applyBorder="1" applyAlignment="1">
      <alignment horizontal="left" vertical="center" wrapText="1"/>
    </xf>
    <xf numFmtId="3" fontId="12" fillId="0" borderId="7" xfId="2" applyNumberFormat="1" applyFont="1" applyBorder="1" applyAlignment="1">
      <alignment horizontal="center" vertical="center"/>
    </xf>
    <xf numFmtId="3" fontId="12" fillId="0" borderId="1" xfId="2" applyNumberFormat="1" applyFont="1" applyBorder="1" applyAlignment="1">
      <alignment horizontal="center" vertical="center"/>
    </xf>
    <xf numFmtId="3" fontId="12" fillId="9" borderId="1" xfId="2" applyNumberFormat="1" applyFont="1" applyFill="1" applyBorder="1" applyAlignment="1">
      <alignment horizontal="center" vertical="center"/>
    </xf>
    <xf numFmtId="0" fontId="13" fillId="0" borderId="1" xfId="2" applyFont="1" applyBorder="1" applyAlignment="1">
      <alignment horizontal="left" vertical="center" wrapText="1"/>
    </xf>
    <xf numFmtId="3" fontId="13" fillId="0" borderId="7" xfId="2" applyNumberFormat="1" applyFont="1" applyBorder="1" applyAlignment="1">
      <alignment horizontal="center" vertical="center"/>
    </xf>
    <xf numFmtId="4" fontId="13" fillId="0" borderId="7" xfId="2" applyNumberFormat="1" applyFont="1" applyBorder="1" applyAlignment="1">
      <alignment horizontal="right" vertical="center"/>
    </xf>
    <xf numFmtId="4" fontId="13" fillId="0" borderId="7" xfId="2" applyNumberFormat="1" applyFont="1" applyBorder="1" applyAlignment="1">
      <alignment horizontal="center" vertical="center"/>
    </xf>
    <xf numFmtId="3" fontId="13" fillId="8" borderId="7" xfId="2" applyNumberFormat="1" applyFont="1" applyFill="1" applyBorder="1" applyAlignment="1">
      <alignment horizontal="center" vertical="center"/>
    </xf>
    <xf numFmtId="4" fontId="13" fillId="8" borderId="7" xfId="2" applyNumberFormat="1" applyFont="1" applyFill="1" applyBorder="1" applyAlignment="1">
      <alignment horizontal="right" vertical="center"/>
    </xf>
    <xf numFmtId="3" fontId="13" fillId="0" borderId="7" xfId="2" applyNumberFormat="1" applyFont="1" applyBorder="1" applyAlignment="1">
      <alignment horizontal="right" vertical="center"/>
    </xf>
    <xf numFmtId="0" fontId="28" fillId="0" borderId="1" xfId="2" applyFont="1" applyBorder="1" applyAlignment="1">
      <alignment horizontal="center" vertical="center" wrapText="1"/>
    </xf>
    <xf numFmtId="0" fontId="9" fillId="0" borderId="0" xfId="2" applyFont="1" applyAlignment="1">
      <alignment vertical="center"/>
    </xf>
    <xf numFmtId="0" fontId="28" fillId="0" borderId="0" xfId="2" applyFont="1" applyAlignment="1">
      <alignment horizontal="left" vertical="center" wrapText="1"/>
    </xf>
    <xf numFmtId="4" fontId="19" fillId="0" borderId="0" xfId="2" applyNumberFormat="1" applyFont="1" applyAlignment="1">
      <alignment vertical="center"/>
    </xf>
    <xf numFmtId="0" fontId="18" fillId="0" borderId="0" xfId="2" applyAlignment="1">
      <alignment vertical="center"/>
    </xf>
    <xf numFmtId="0" fontId="30" fillId="0" borderId="0" xfId="1" applyFont="1" applyAlignment="1">
      <alignment horizontal="center" vertical="center" wrapText="1"/>
    </xf>
    <xf numFmtId="49" fontId="7" fillId="9" borderId="1" xfId="1" applyNumberFormat="1" applyFont="1" applyFill="1" applyBorder="1" applyAlignment="1">
      <alignment horizontal="center" vertical="center" wrapText="1"/>
    </xf>
    <xf numFmtId="0" fontId="32" fillId="7" borderId="1" xfId="1" applyFont="1" applyFill="1" applyBorder="1" applyAlignment="1">
      <alignment horizontal="justify" vertical="center"/>
    </xf>
    <xf numFmtId="0" fontId="22" fillId="12" borderId="1" xfId="1" applyFont="1" applyFill="1" applyBorder="1" applyAlignment="1">
      <alignment horizontal="right" vertical="center"/>
    </xf>
    <xf numFmtId="0" fontId="33" fillId="0" borderId="0" xfId="2" applyFont="1" applyAlignment="1">
      <alignment vertical="center"/>
    </xf>
    <xf numFmtId="49" fontId="12" fillId="7" borderId="1" xfId="1" applyNumberFormat="1" applyFont="1" applyFill="1" applyBorder="1" applyAlignment="1">
      <alignment horizontal="center" vertical="center" wrapText="1"/>
    </xf>
    <xf numFmtId="0" fontId="24" fillId="7" borderId="1" xfId="2" applyFont="1" applyFill="1" applyBorder="1" applyAlignment="1">
      <alignment horizontal="center" vertical="center"/>
    </xf>
    <xf numFmtId="0" fontId="17" fillId="12" borderId="1" xfId="2" applyFont="1" applyFill="1" applyBorder="1" applyAlignment="1">
      <alignment horizontal="center" vertical="center"/>
    </xf>
    <xf numFmtId="0" fontId="35" fillId="0" borderId="0" xfId="2" applyFont="1" applyAlignment="1">
      <alignment vertical="center"/>
    </xf>
    <xf numFmtId="0" fontId="12" fillId="0" borderId="1" xfId="2" applyFont="1" applyBorder="1" applyAlignment="1">
      <alignment horizontal="left" vertical="center" wrapText="1"/>
    </xf>
    <xf numFmtId="4" fontId="12" fillId="11" borderId="1" xfId="2" applyNumberFormat="1" applyFont="1" applyFill="1" applyBorder="1" applyAlignment="1">
      <alignment horizontal="right" vertical="center"/>
    </xf>
    <xf numFmtId="3" fontId="12" fillId="9" borderId="1" xfId="2" applyNumberFormat="1" applyFont="1" applyFill="1" applyBorder="1" applyAlignment="1">
      <alignment horizontal="right" vertical="center"/>
    </xf>
    <xf numFmtId="0" fontId="27" fillId="0" borderId="1" xfId="2" applyFont="1" applyBorder="1" applyAlignment="1">
      <alignment horizontal="left" vertical="center" wrapText="1"/>
    </xf>
    <xf numFmtId="4" fontId="27" fillId="0" borderId="1" xfId="2" applyNumberFormat="1" applyFont="1" applyBorder="1" applyAlignment="1">
      <alignment horizontal="center" vertical="center"/>
    </xf>
    <xf numFmtId="4" fontId="27" fillId="0" borderId="1" xfId="2" applyNumberFormat="1" applyFont="1" applyBorder="1" applyAlignment="1">
      <alignment horizontal="right" vertical="center"/>
    </xf>
    <xf numFmtId="4" fontId="27" fillId="11" borderId="1" xfId="2" applyNumberFormat="1" applyFont="1" applyFill="1" applyBorder="1" applyAlignment="1">
      <alignment horizontal="center" vertical="center"/>
    </xf>
    <xf numFmtId="4" fontId="27" fillId="11" borderId="1" xfId="2" applyNumberFormat="1" applyFont="1" applyFill="1" applyBorder="1" applyAlignment="1">
      <alignment horizontal="right" vertical="center"/>
    </xf>
    <xf numFmtId="4" fontId="27" fillId="9" borderId="1" xfId="2" applyNumberFormat="1" applyFont="1" applyFill="1" applyBorder="1" applyAlignment="1">
      <alignment horizontal="center" vertical="center"/>
    </xf>
    <xf numFmtId="4" fontId="27" fillId="9" borderId="1" xfId="2" applyNumberFormat="1" applyFont="1" applyFill="1" applyBorder="1" applyAlignment="1">
      <alignment horizontal="right" vertical="center"/>
    </xf>
    <xf numFmtId="0" fontId="37" fillId="0" borderId="1" xfId="2" applyFont="1" applyBorder="1" applyAlignment="1">
      <alignment horizontal="left" vertical="center" wrapText="1"/>
    </xf>
    <xf numFmtId="0" fontId="38" fillId="0" borderId="0" xfId="2" applyFont="1" applyAlignment="1">
      <alignment vertical="center"/>
    </xf>
    <xf numFmtId="3" fontId="39" fillId="0" borderId="0" xfId="2" applyNumberFormat="1" applyFont="1" applyAlignment="1">
      <alignment vertical="center"/>
    </xf>
    <xf numFmtId="0" fontId="39" fillId="0" borderId="0" xfId="2" applyFont="1" applyAlignment="1">
      <alignment vertical="center"/>
    </xf>
    <xf numFmtId="4" fontId="39" fillId="0" borderId="0" xfId="2" applyNumberFormat="1" applyFont="1" applyAlignment="1">
      <alignment vertical="center"/>
    </xf>
    <xf numFmtId="0" fontId="31" fillId="0" borderId="0" xfId="2" applyFont="1" applyAlignment="1">
      <alignment horizontal="left" vertical="center" wrapText="1"/>
    </xf>
    <xf numFmtId="0" fontId="22" fillId="9" borderId="1" xfId="1" applyFont="1" applyFill="1" applyBorder="1" applyAlignment="1">
      <alignment horizontal="right" vertical="center"/>
    </xf>
    <xf numFmtId="0" fontId="17" fillId="9" borderId="1" xfId="2" applyFont="1" applyFill="1" applyBorder="1" applyAlignment="1">
      <alignment horizontal="center" vertical="center"/>
    </xf>
    <xf numFmtId="3" fontId="12" fillId="0" borderId="1" xfId="2" applyNumberFormat="1" applyFont="1" applyBorder="1" applyAlignment="1">
      <alignment horizontal="right" vertical="center"/>
    </xf>
    <xf numFmtId="1" fontId="12" fillId="0" borderId="1" xfId="2" applyNumberFormat="1" applyFont="1" applyBorder="1" applyAlignment="1">
      <alignment horizontal="right" vertical="center"/>
    </xf>
    <xf numFmtId="1" fontId="7" fillId="0" borderId="1" xfId="2" applyNumberFormat="1" applyFont="1" applyBorder="1" applyAlignment="1">
      <alignment horizontal="right" vertical="center"/>
    </xf>
    <xf numFmtId="1" fontId="12" fillId="9" borderId="1" xfId="2" applyNumberFormat="1" applyFont="1" applyFill="1" applyBorder="1" applyAlignment="1">
      <alignment horizontal="right" vertical="center"/>
    </xf>
    <xf numFmtId="0" fontId="40" fillId="0" borderId="0" xfId="2" applyFont="1" applyAlignment="1">
      <alignment vertical="center"/>
    </xf>
    <xf numFmtId="2" fontId="7" fillId="0" borderId="1" xfId="2" applyNumberFormat="1" applyFont="1" applyBorder="1" applyAlignment="1">
      <alignment horizontal="right" vertical="center"/>
    </xf>
    <xf numFmtId="0" fontId="6" fillId="0" borderId="1" xfId="0" applyFont="1" applyBorder="1" applyAlignment="1">
      <alignment horizontal="right" vertical="center"/>
    </xf>
    <xf numFmtId="3" fontId="41" fillId="0" borderId="1" xfId="2" applyNumberFormat="1" applyFont="1" applyBorder="1" applyAlignment="1">
      <alignment horizontal="center" vertical="center"/>
    </xf>
    <xf numFmtId="1" fontId="41" fillId="0" borderId="1" xfId="2" applyNumberFormat="1" applyFont="1" applyBorder="1" applyAlignment="1">
      <alignment horizontal="center" vertical="center"/>
    </xf>
    <xf numFmtId="1" fontId="41" fillId="9" borderId="1" xfId="2" applyNumberFormat="1" applyFont="1" applyFill="1" applyBorder="1" applyAlignment="1">
      <alignment horizontal="center" vertical="center"/>
    </xf>
    <xf numFmtId="4" fontId="13" fillId="9" borderId="1" xfId="2" applyNumberFormat="1" applyFont="1" applyFill="1" applyBorder="1" applyAlignment="1">
      <alignment horizontal="right" vertical="center"/>
    </xf>
    <xf numFmtId="49" fontId="38" fillId="0" borderId="0" xfId="2" applyNumberFormat="1" applyFont="1" applyAlignment="1">
      <alignment vertical="center" wrapText="1"/>
    </xf>
    <xf numFmtId="49" fontId="0" fillId="0" borderId="0" xfId="0" applyNumberFormat="1" applyAlignment="1">
      <alignment vertical="center" wrapText="1"/>
    </xf>
    <xf numFmtId="4" fontId="0" fillId="0" borderId="0" xfId="0" applyNumberFormat="1" applyAlignment="1">
      <alignment vertical="center" wrapText="1"/>
    </xf>
    <xf numFmtId="0" fontId="3" fillId="0" borderId="0" xfId="0" applyFont="1"/>
    <xf numFmtId="0" fontId="8" fillId="0" borderId="0" xfId="0" applyFont="1" applyAlignment="1">
      <alignment horizontal="right"/>
    </xf>
    <xf numFmtId="0" fontId="42" fillId="0" borderId="0" xfId="0" applyFont="1"/>
    <xf numFmtId="49" fontId="42" fillId="9" borderId="1" xfId="0" applyNumberFormat="1" applyFont="1" applyFill="1" applyBorder="1" applyAlignment="1">
      <alignment horizontal="center" vertical="center" wrapText="1"/>
    </xf>
    <xf numFmtId="49" fontId="43" fillId="13" borderId="1" xfId="0" applyNumberFormat="1" applyFont="1" applyFill="1" applyBorder="1" applyAlignment="1">
      <alignment horizontal="center" vertical="center" wrapText="1"/>
    </xf>
    <xf numFmtId="49" fontId="42" fillId="14" borderId="1" xfId="0" applyNumberFormat="1" applyFont="1" applyFill="1" applyBorder="1" applyAlignment="1">
      <alignment horizontal="center" vertical="center" wrapText="1"/>
    </xf>
    <xf numFmtId="49" fontId="3" fillId="0" borderId="0" xfId="0" applyNumberFormat="1" applyFont="1" applyAlignment="1">
      <alignment horizontal="center" vertical="center" wrapText="1"/>
    </xf>
    <xf numFmtId="49" fontId="3" fillId="0" borderId="0" xfId="0" applyNumberFormat="1" applyFont="1" applyAlignment="1">
      <alignment wrapText="1"/>
    </xf>
    <xf numFmtId="0" fontId="3" fillId="0" borderId="1" xfId="0" applyFont="1" applyBorder="1" applyAlignment="1">
      <alignment horizontal="center" vertical="center"/>
    </xf>
    <xf numFmtId="0" fontId="3" fillId="11" borderId="1" xfId="0" applyFont="1" applyFill="1" applyBorder="1" applyAlignment="1">
      <alignment horizontal="left" vertical="center" wrapText="1"/>
    </xf>
    <xf numFmtId="4" fontId="3" fillId="11" borderId="1" xfId="0" applyNumberFormat="1" applyFont="1" applyFill="1" applyBorder="1" applyAlignment="1">
      <alignment horizontal="right" vertical="center" wrapText="1"/>
    </xf>
    <xf numFmtId="0" fontId="3" fillId="11" borderId="1" xfId="0" applyFont="1" applyFill="1" applyBorder="1" applyAlignment="1">
      <alignment horizontal="center" vertical="center" wrapText="1"/>
    </xf>
    <xf numFmtId="4" fontId="3" fillId="0" borderId="1" xfId="0" applyNumberFormat="1" applyFont="1" applyBorder="1" applyAlignment="1">
      <alignment horizontal="right" vertical="center" wrapText="1"/>
    </xf>
    <xf numFmtId="0" fontId="3" fillId="0" borderId="1" xfId="0" applyFont="1" applyBorder="1" applyAlignment="1">
      <alignment horizontal="center" vertical="center" wrapText="1"/>
    </xf>
    <xf numFmtId="4" fontId="46" fillId="13" borderId="1" xfId="0" applyNumberFormat="1" applyFont="1" applyFill="1" applyBorder="1" applyAlignment="1">
      <alignment horizontal="center" vertical="center" wrapText="1"/>
    </xf>
    <xf numFmtId="0" fontId="46" fillId="13" borderId="1" xfId="0" applyFont="1" applyFill="1" applyBorder="1" applyAlignment="1">
      <alignment horizontal="center" vertical="center" wrapText="1"/>
    </xf>
    <xf numFmtId="4" fontId="3" fillId="14" borderId="1" xfId="0" applyNumberFormat="1" applyFont="1" applyFill="1" applyBorder="1"/>
    <xf numFmtId="0" fontId="3" fillId="11" borderId="1" xfId="0" applyFont="1" applyFill="1" applyBorder="1" applyAlignment="1">
      <alignment horizontal="right" vertical="center" wrapText="1"/>
    </xf>
    <xf numFmtId="0" fontId="3" fillId="0" borderId="1" xfId="0" applyFont="1" applyBorder="1" applyAlignment="1">
      <alignment horizontal="left" vertical="center" wrapText="1"/>
    </xf>
    <xf numFmtId="0" fontId="3" fillId="0" borderId="1" xfId="0" applyFont="1" applyBorder="1" applyAlignment="1">
      <alignment horizontal="right" vertical="center" wrapText="1"/>
    </xf>
    <xf numFmtId="0" fontId="3" fillId="9" borderId="1" xfId="0" applyFont="1" applyFill="1" applyBorder="1" applyAlignment="1">
      <alignment horizontal="center" vertical="center"/>
    </xf>
    <xf numFmtId="0" fontId="10" fillId="9" borderId="1" xfId="0" applyFont="1" applyFill="1" applyBorder="1" applyAlignment="1">
      <alignment horizontal="right"/>
    </xf>
    <xf numFmtId="4" fontId="10" fillId="9" borderId="1" xfId="0" applyNumberFormat="1" applyFont="1" applyFill="1" applyBorder="1" applyAlignment="1">
      <alignment horizontal="right"/>
    </xf>
    <xf numFmtId="3" fontId="10" fillId="9" borderId="1" xfId="0" applyNumberFormat="1" applyFont="1" applyFill="1" applyBorder="1" applyAlignment="1">
      <alignment horizontal="center"/>
    </xf>
    <xf numFmtId="4" fontId="47" fillId="13" borderId="1" xfId="0" applyNumberFormat="1" applyFont="1" applyFill="1" applyBorder="1" applyAlignment="1">
      <alignment horizontal="right"/>
    </xf>
    <xf numFmtId="3" fontId="47" fillId="13" borderId="1" xfId="0" applyNumberFormat="1" applyFont="1" applyFill="1" applyBorder="1" applyAlignment="1">
      <alignment horizontal="center"/>
    </xf>
    <xf numFmtId="4" fontId="47" fillId="14" borderId="1" xfId="0" applyNumberFormat="1" applyFont="1" applyFill="1" applyBorder="1" applyAlignment="1">
      <alignment horizontal="right"/>
    </xf>
    <xf numFmtId="4" fontId="3" fillId="0" borderId="0" xfId="0" applyNumberFormat="1" applyFont="1"/>
    <xf numFmtId="0" fontId="24" fillId="8" borderId="1" xfId="2" applyFont="1" applyFill="1" applyBorder="1" applyAlignment="1">
      <alignment horizontal="center" vertical="center"/>
    </xf>
    <xf numFmtId="4" fontId="25" fillId="15" borderId="14" xfId="2" applyNumberFormat="1" applyFont="1" applyFill="1" applyBorder="1" applyAlignment="1">
      <alignment horizontal="right" vertical="center"/>
    </xf>
    <xf numFmtId="4" fontId="12" fillId="8" borderId="15" xfId="2" applyNumberFormat="1" applyFont="1" applyFill="1" applyBorder="1" applyAlignment="1">
      <alignment horizontal="right" vertical="center"/>
    </xf>
    <xf numFmtId="4" fontId="25" fillId="8" borderId="14" xfId="2" applyNumberFormat="1" applyFont="1" applyFill="1" applyBorder="1" applyAlignment="1">
      <alignment horizontal="right" vertical="center"/>
    </xf>
    <xf numFmtId="4" fontId="12" fillId="8" borderId="14" xfId="2" applyNumberFormat="1" applyFont="1" applyFill="1" applyBorder="1" applyAlignment="1">
      <alignment horizontal="right" vertical="center"/>
    </xf>
    <xf numFmtId="0" fontId="19" fillId="8" borderId="0" xfId="2" applyFont="1" applyFill="1" applyAlignment="1">
      <alignment vertical="center"/>
    </xf>
    <xf numFmtId="49" fontId="42" fillId="2" borderId="1" xfId="0" applyNumberFormat="1" applyFont="1" applyFill="1" applyBorder="1" applyAlignment="1">
      <alignment horizontal="center" vertical="center" wrapText="1"/>
    </xf>
    <xf numFmtId="49" fontId="42" fillId="0" borderId="1" xfId="0" applyNumberFormat="1" applyFont="1" applyBorder="1" applyAlignment="1">
      <alignment horizontal="center" vertical="center" wrapText="1"/>
    </xf>
    <xf numFmtId="49" fontId="42" fillId="5" borderId="1" xfId="0" applyNumberFormat="1" applyFont="1" applyFill="1" applyBorder="1" applyAlignment="1">
      <alignment horizontal="center" vertical="center" wrapText="1"/>
    </xf>
    <xf numFmtId="0" fontId="3" fillId="2" borderId="1" xfId="0" applyFont="1" applyFill="1" applyBorder="1" applyAlignment="1">
      <alignment horizontal="justify" vertical="center" wrapText="1"/>
    </xf>
    <xf numFmtId="4" fontId="3" fillId="2" borderId="1" xfId="0" applyNumberFormat="1" applyFont="1" applyFill="1" applyBorder="1" applyAlignment="1">
      <alignment horizontal="right" vertical="center"/>
    </xf>
    <xf numFmtId="3" fontId="3" fillId="2" borderId="1" xfId="0" applyNumberFormat="1" applyFont="1" applyFill="1" applyBorder="1" applyAlignment="1">
      <alignment horizontal="right" vertical="center"/>
    </xf>
    <xf numFmtId="4" fontId="3" fillId="5" borderId="1" xfId="0" applyNumberFormat="1" applyFont="1" applyFill="1" applyBorder="1" applyAlignment="1">
      <alignment horizontal="right" vertical="center"/>
    </xf>
    <xf numFmtId="4" fontId="0" fillId="0" borderId="0" xfId="0" applyNumberFormat="1"/>
    <xf numFmtId="4" fontId="3" fillId="0" borderId="1" xfId="0" applyNumberFormat="1" applyFont="1" applyBorder="1" applyAlignment="1">
      <alignment horizontal="right" vertical="center"/>
    </xf>
    <xf numFmtId="3" fontId="3" fillId="0" borderId="1" xfId="0" applyNumberFormat="1" applyFont="1" applyBorder="1" applyAlignment="1">
      <alignment horizontal="right" vertical="center"/>
    </xf>
    <xf numFmtId="0" fontId="5" fillId="3" borderId="1" xfId="0" applyFont="1" applyFill="1" applyBorder="1" applyAlignment="1">
      <alignment horizontal="justify" vertical="center"/>
    </xf>
    <xf numFmtId="4" fontId="5" fillId="3" borderId="1" xfId="0" applyNumberFormat="1" applyFont="1" applyFill="1" applyBorder="1" applyAlignment="1">
      <alignment horizontal="right" vertical="center"/>
    </xf>
    <xf numFmtId="3" fontId="5" fillId="3" borderId="1" xfId="0" applyNumberFormat="1" applyFont="1" applyFill="1" applyBorder="1" applyAlignment="1">
      <alignment horizontal="right" vertical="center"/>
    </xf>
    <xf numFmtId="4" fontId="5" fillId="5" borderId="1" xfId="0" applyNumberFormat="1" applyFont="1" applyFill="1" applyBorder="1" applyAlignment="1">
      <alignment horizontal="right" vertical="center"/>
    </xf>
    <xf numFmtId="0" fontId="42" fillId="2" borderId="1" xfId="0" applyFont="1" applyFill="1" applyBorder="1" applyAlignment="1">
      <alignment horizontal="right" vertical="center"/>
    </xf>
    <xf numFmtId="3" fontId="42" fillId="2" borderId="1" xfId="0" applyNumberFormat="1" applyFont="1" applyFill="1" applyBorder="1" applyAlignment="1">
      <alignment horizontal="right" vertical="center"/>
    </xf>
    <xf numFmtId="4" fontId="42" fillId="2" borderId="1" xfId="0" applyNumberFormat="1" applyFont="1" applyFill="1" applyBorder="1" applyAlignment="1">
      <alignment horizontal="right" vertical="center"/>
    </xf>
    <xf numFmtId="3" fontId="10" fillId="5" borderId="1" xfId="0" applyNumberFormat="1" applyFont="1" applyFill="1" applyBorder="1" applyAlignment="1">
      <alignment horizontal="right" vertical="center"/>
    </xf>
    <xf numFmtId="0" fontId="10" fillId="4" borderId="1" xfId="0" applyFont="1" applyFill="1" applyBorder="1" applyAlignment="1">
      <alignment horizontal="justify" vertical="center" wrapText="1"/>
    </xf>
    <xf numFmtId="3" fontId="10" fillId="4" borderId="1" xfId="0" applyNumberFormat="1" applyFont="1" applyFill="1" applyBorder="1" applyAlignment="1">
      <alignment horizontal="right" vertical="center"/>
    </xf>
    <xf numFmtId="3" fontId="0" fillId="0" borderId="0" xfId="0" applyNumberFormat="1"/>
    <xf numFmtId="0" fontId="51" fillId="0" borderId="0" xfId="0" applyFont="1"/>
    <xf numFmtId="0" fontId="10" fillId="0" borderId="0" xfId="0" applyFont="1" applyAlignment="1">
      <alignment horizontal="center" wrapText="1"/>
    </xf>
    <xf numFmtId="0" fontId="14" fillId="0" borderId="1" xfId="1" applyFont="1" applyBorder="1" applyAlignment="1">
      <alignment horizontal="center" vertical="center" wrapText="1"/>
    </xf>
    <xf numFmtId="0" fontId="12" fillId="0" borderId="1" xfId="1" applyFont="1" applyBorder="1" applyAlignment="1">
      <alignment horizontal="center" vertical="center" wrapText="1"/>
    </xf>
    <xf numFmtId="49" fontId="7" fillId="0" borderId="2" xfId="0" quotePrefix="1" applyNumberFormat="1" applyFont="1" applyBorder="1" applyAlignment="1">
      <alignment horizontal="left" vertical="top" wrapText="1"/>
    </xf>
    <xf numFmtId="49" fontId="0" fillId="0" borderId="3" xfId="0" applyNumberFormat="1" applyBorder="1" applyAlignment="1">
      <alignment horizontal="left" vertical="top" wrapText="1"/>
    </xf>
    <xf numFmtId="49" fontId="0" fillId="0" borderId="4" xfId="0" applyNumberFormat="1" applyBorder="1" applyAlignment="1">
      <alignment horizontal="left" vertical="top" wrapText="1"/>
    </xf>
    <xf numFmtId="0" fontId="21" fillId="0" borderId="2" xfId="2" applyFont="1" applyBorder="1" applyAlignment="1">
      <alignment horizontal="center" vertical="center" wrapText="1"/>
    </xf>
    <xf numFmtId="0" fontId="21" fillId="0" borderId="3" xfId="2" applyFont="1" applyBorder="1" applyAlignment="1">
      <alignment horizontal="center" vertical="center" wrapText="1"/>
    </xf>
    <xf numFmtId="0" fontId="21" fillId="0" borderId="4" xfId="2" applyFont="1" applyBorder="1" applyAlignment="1">
      <alignment horizontal="center" vertical="center" wrapText="1"/>
    </xf>
    <xf numFmtId="49" fontId="7" fillId="9" borderId="8" xfId="1" applyNumberFormat="1" applyFont="1" applyFill="1" applyBorder="1" applyAlignment="1">
      <alignment horizontal="center" vertical="center" wrapText="1"/>
    </xf>
    <xf numFmtId="49" fontId="7" fillId="9" borderId="9" xfId="1" applyNumberFormat="1" applyFont="1" applyFill="1" applyBorder="1" applyAlignment="1">
      <alignment horizontal="center" vertical="center" wrapText="1"/>
    </xf>
    <xf numFmtId="0" fontId="8" fillId="0" borderId="0" xfId="2" applyFont="1" applyAlignment="1">
      <alignment horizontal="right" vertical="center" wrapText="1"/>
    </xf>
    <xf numFmtId="0" fontId="20" fillId="0" borderId="5" xfId="1" applyFont="1" applyBorder="1" applyAlignment="1">
      <alignment horizontal="center" vertical="center" wrapText="1"/>
    </xf>
    <xf numFmtId="0" fontId="20" fillId="0" borderId="0" xfId="1" applyFont="1" applyAlignment="1">
      <alignment horizontal="center" vertical="center" wrapText="1"/>
    </xf>
    <xf numFmtId="49" fontId="7" fillId="0" borderId="6" xfId="1" applyNumberFormat="1" applyFont="1" applyBorder="1" applyAlignment="1">
      <alignment horizontal="center" vertical="center" wrapText="1"/>
    </xf>
    <xf numFmtId="49" fontId="7" fillId="0" borderId="7" xfId="1" applyNumberFormat="1" applyFont="1" applyBorder="1" applyAlignment="1">
      <alignment horizontal="center" vertical="center" wrapText="1"/>
    </xf>
    <xf numFmtId="49" fontId="7" fillId="0" borderId="8" xfId="1" applyNumberFormat="1" applyFont="1" applyBorder="1" applyAlignment="1">
      <alignment horizontal="center" vertical="center" wrapText="1"/>
    </xf>
    <xf numFmtId="49" fontId="7" fillId="8" borderId="8" xfId="1" applyNumberFormat="1" applyFont="1" applyFill="1" applyBorder="1" applyAlignment="1">
      <alignment horizontal="center" vertical="center" wrapText="1"/>
    </xf>
    <xf numFmtId="49" fontId="7" fillId="8" borderId="7" xfId="1" applyNumberFormat="1" applyFont="1" applyFill="1" applyBorder="1" applyAlignment="1">
      <alignment horizontal="center" vertical="center" wrapText="1"/>
    </xf>
    <xf numFmtId="49" fontId="7" fillId="9" borderId="7" xfId="1" applyNumberFormat="1" applyFont="1" applyFill="1" applyBorder="1" applyAlignment="1">
      <alignment horizontal="center" vertical="center" wrapText="1"/>
    </xf>
    <xf numFmtId="0" fontId="29" fillId="0" borderId="0" xfId="2" applyFont="1" applyAlignment="1">
      <alignment horizontal="right" vertical="center" wrapText="1"/>
    </xf>
    <xf numFmtId="0" fontId="30" fillId="0" borderId="0" xfId="1" applyFont="1" applyAlignment="1">
      <alignment horizontal="left" vertical="center" wrapText="1"/>
    </xf>
    <xf numFmtId="49" fontId="7" fillId="11" borderId="8" xfId="1" applyNumberFormat="1" applyFont="1" applyFill="1" applyBorder="1" applyAlignment="1">
      <alignment horizontal="center" vertical="center" wrapText="1"/>
    </xf>
    <xf numFmtId="49" fontId="7" fillId="11" borderId="7" xfId="1" applyNumberFormat="1" applyFont="1" applyFill="1" applyBorder="1" applyAlignment="1">
      <alignment horizontal="center" vertical="center" wrapText="1"/>
    </xf>
    <xf numFmtId="0" fontId="31" fillId="0" borderId="1" xfId="2" applyFont="1" applyBorder="1" applyAlignment="1">
      <alignment horizontal="center" vertical="center" wrapText="1"/>
    </xf>
    <xf numFmtId="0" fontId="37" fillId="0" borderId="2" xfId="2" applyFont="1" applyBorder="1" applyAlignment="1">
      <alignment horizontal="center" vertical="center" wrapText="1"/>
    </xf>
    <xf numFmtId="0" fontId="37" fillId="0" borderId="3" xfId="2" applyFont="1" applyBorder="1" applyAlignment="1">
      <alignment horizontal="center" vertical="center" wrapText="1"/>
    </xf>
    <xf numFmtId="0" fontId="37" fillId="0" borderId="4" xfId="2" applyFont="1" applyBorder="1" applyAlignment="1">
      <alignment horizontal="center" vertical="center" wrapText="1"/>
    </xf>
    <xf numFmtId="3" fontId="12" fillId="0" borderId="2" xfId="2" applyNumberFormat="1" applyFont="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3" fontId="12" fillId="11" borderId="2" xfId="2" applyNumberFormat="1" applyFont="1" applyFill="1" applyBorder="1" applyAlignment="1">
      <alignment horizontal="right" vertical="center"/>
    </xf>
    <xf numFmtId="0" fontId="0" fillId="0" borderId="3" xfId="0" applyBorder="1" applyAlignment="1">
      <alignment horizontal="right" vertical="center"/>
    </xf>
    <xf numFmtId="0" fontId="0" fillId="0" borderId="4" xfId="0" applyBorder="1" applyAlignment="1">
      <alignment horizontal="right" vertical="center"/>
    </xf>
    <xf numFmtId="49" fontId="7" fillId="0" borderId="1" xfId="1" applyNumberFormat="1" applyFont="1" applyBorder="1" applyAlignment="1">
      <alignment horizontal="center" vertical="center" wrapText="1"/>
    </xf>
    <xf numFmtId="49" fontId="7" fillId="9" borderId="1" xfId="1" applyNumberFormat="1" applyFont="1" applyFill="1" applyBorder="1" applyAlignment="1">
      <alignment horizontal="center" vertical="center" wrapText="1"/>
    </xf>
    <xf numFmtId="0" fontId="29" fillId="0" borderId="1" xfId="2" applyFont="1" applyBorder="1" applyAlignment="1">
      <alignment horizontal="center" vertical="center" wrapText="1"/>
    </xf>
    <xf numFmtId="3" fontId="12" fillId="0" borderId="2" xfId="2" applyNumberFormat="1" applyFont="1" applyBorder="1" applyAlignment="1">
      <alignment horizontal="right" vertical="center"/>
    </xf>
    <xf numFmtId="1" fontId="12" fillId="9" borderId="2" xfId="2" applyNumberFormat="1" applyFont="1" applyFill="1" applyBorder="1" applyAlignment="1">
      <alignment horizontal="right" vertical="center"/>
    </xf>
    <xf numFmtId="0" fontId="14" fillId="9" borderId="2" xfId="2" applyFont="1" applyFill="1" applyBorder="1" applyAlignment="1">
      <alignment horizontal="center" vertical="center" wrapText="1"/>
    </xf>
    <xf numFmtId="0" fontId="14" fillId="9" borderId="3" xfId="2" applyFont="1" applyFill="1" applyBorder="1" applyAlignment="1">
      <alignment horizontal="center" vertical="center" wrapText="1"/>
    </xf>
    <xf numFmtId="0" fontId="14" fillId="9" borderId="4" xfId="2" applyFont="1" applyFill="1" applyBorder="1" applyAlignment="1">
      <alignment horizontal="center" vertical="center" wrapText="1"/>
    </xf>
    <xf numFmtId="0" fontId="12" fillId="0" borderId="2" xfId="2" applyFont="1"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4" fontId="12" fillId="0" borderId="2" xfId="2" applyNumberFormat="1" applyFont="1" applyBorder="1" applyAlignment="1">
      <alignment horizontal="right" vertical="center"/>
    </xf>
    <xf numFmtId="4" fontId="0" fillId="0" borderId="3" xfId="0" applyNumberFormat="1" applyBorder="1" applyAlignment="1">
      <alignment horizontal="right" vertical="center"/>
    </xf>
    <xf numFmtId="4" fontId="0" fillId="0" borderId="4" xfId="0" applyNumberFormat="1" applyBorder="1" applyAlignment="1">
      <alignment horizontal="right" vertical="center"/>
    </xf>
  </cellXfs>
  <cellStyles count="3">
    <cellStyle name="Excel Built-in Normal 1" xfId="1" xr:uid="{58CCCFFB-7310-412B-936F-F63289DBD06C}"/>
    <cellStyle name="Excel Built-in Normal 2" xfId="2" xr:uid="{7D1B0ECC-B67F-45B5-A9CC-1B8561BC0FA5}"/>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Solvita Vaivode" id="{2FE6DF7A-74C7-4CEA-A7A6-8CCBE24C9645}" userId="S::SolvitaVaivode@varam.gov.lv::3a571561-5e9c-425f-9f54-01141e3b346a"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H10" dT="2023-08-16T11:08:35.01" personId="{2FE6DF7A-74C7-4CEA-A7A6-8CCBE24C9645}" id="{32939B54-1DD2-4148-BAE4-DBE415B69158}">
    <text>Izdevumi Rīgas atbalsta centra darbības nodrošināšanai laika periodā no 2023. gada janvāra līdz aprīlim kopā  ir 245 754,88 euro.
245 754,88 euro : 4 mēnešiem = 61 438,72 euro/mēnesī.
61 438,72 euro * 7 mēneši = 430 071,04 euro.</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D1F28B-A504-4174-8DD2-DBEAB0D2B7BA}">
  <dimension ref="A1:L22"/>
  <sheetViews>
    <sheetView tabSelected="1" topLeftCell="A8" workbookViewId="0"/>
  </sheetViews>
  <sheetFormatPr defaultRowHeight="15" x14ac:dyDescent="0.25"/>
  <cols>
    <col min="1" max="1" width="43.85546875" customWidth="1"/>
    <col min="2" max="2" width="24.140625" customWidth="1"/>
    <col min="3" max="3" width="25.28515625" customWidth="1"/>
    <col min="4" max="4" width="18.7109375" customWidth="1"/>
    <col min="5" max="5" width="25.28515625" customWidth="1"/>
    <col min="6" max="7" width="18.7109375" customWidth="1"/>
    <col min="8" max="8" width="21.85546875" customWidth="1"/>
    <col min="9" max="9" width="18.7109375" customWidth="1"/>
    <col min="10" max="10" width="25" customWidth="1"/>
    <col min="11" max="11" width="17.140625" customWidth="1"/>
    <col min="12" max="12" width="10" bestFit="1" customWidth="1"/>
  </cols>
  <sheetData>
    <row r="1" spans="1:12" ht="25.5" x14ac:dyDescent="0.35">
      <c r="A1" s="205" t="s">
        <v>219</v>
      </c>
    </row>
    <row r="3" spans="1:12" ht="252" x14ac:dyDescent="0.25">
      <c r="A3" s="184" t="s">
        <v>0</v>
      </c>
      <c r="B3" s="184" t="s">
        <v>204</v>
      </c>
      <c r="C3" s="184" t="s">
        <v>205</v>
      </c>
      <c r="D3" s="184" t="s">
        <v>206</v>
      </c>
      <c r="E3" s="184" t="s">
        <v>207</v>
      </c>
      <c r="F3" s="185" t="s">
        <v>220</v>
      </c>
      <c r="G3" s="185" t="s">
        <v>221</v>
      </c>
      <c r="H3" s="184" t="s">
        <v>208</v>
      </c>
      <c r="I3" s="186" t="s">
        <v>209</v>
      </c>
    </row>
    <row r="4" spans="1:12" ht="66" x14ac:dyDescent="0.25">
      <c r="A4" s="187" t="s">
        <v>210</v>
      </c>
      <c r="B4" s="188">
        <v>13124160.58</v>
      </c>
      <c r="C4" s="189">
        <f>4013955+4206086+1719568</f>
        <v>9939609</v>
      </c>
      <c r="D4" s="188">
        <f>'2.pielikums_LM_prognoze'!C102+'2.pielikums_LM_prognoze'!E102+'2.pielikums_LM_prognoze'!G102+'2.pielikums_LM_prognoze'!I102+'2.pielikums_LM_prognoze'!K102</f>
        <v>9939608.4800000004</v>
      </c>
      <c r="E4" s="188">
        <f>D4+F4</f>
        <v>11440987.77</v>
      </c>
      <c r="F4" s="188">
        <f>'2.pielikums_LM_prognoze'!P102</f>
        <v>1501379.29</v>
      </c>
      <c r="G4" s="188">
        <f>B4-E4</f>
        <v>1683172.8100000005</v>
      </c>
      <c r="H4" s="188">
        <f>'2.pielikums_LM_prognoze'!R102+'2.pielikums_LM_prognoze'!T102+'2.pielikums_LM_prognoze'!V102+'2.pielikums_LM_prognoze'!X102+'2.pielikums_LM_prognoze'!Z102</f>
        <v>10332403</v>
      </c>
      <c r="I4" s="190">
        <f>E4+H4</f>
        <v>21773390.77</v>
      </c>
      <c r="J4" s="191"/>
    </row>
    <row r="5" spans="1:12" ht="34.5" x14ac:dyDescent="0.25">
      <c r="A5" s="187" t="s">
        <v>211</v>
      </c>
      <c r="B5" s="188">
        <v>5031671.08</v>
      </c>
      <c r="C5" s="189">
        <f>1039336+1138950+580380</f>
        <v>2758666</v>
      </c>
      <c r="D5" s="188">
        <f>'3.pielikums_IzM_prognoze'!C13+'3.pielikums_IzM_prognoze'!E13+'3.pielikums_IzM_prognoze'!G13+'3.pielikums_IzM_prognoze'!I13+'3.pielikums_IzM_prognoze'!K13</f>
        <v>2758665.86</v>
      </c>
      <c r="E5" s="188">
        <f t="shared" ref="E5:E9" si="0">D5+F5</f>
        <v>3166694.69</v>
      </c>
      <c r="F5" s="188">
        <f>'3.pielikums_IzM_prognoze'!M13</f>
        <v>408028.82999999996</v>
      </c>
      <c r="G5" s="188">
        <f t="shared" ref="G5:G9" si="1">B5-E5</f>
        <v>1864976.3900000001</v>
      </c>
      <c r="H5" s="188">
        <f>'3.pielikums_IzM_prognoze'!O13+'3.pielikums_IzM_prognoze'!Q13+'3.pielikums_IzM_prognoze'!S13+'3.pielikums_IzM_prognoze'!U13+'3.pielikums_IzM_prognoze'!W13</f>
        <v>1786441</v>
      </c>
      <c r="I5" s="190">
        <f t="shared" ref="I5:I9" si="2">E5+H5</f>
        <v>4953135.6899999995</v>
      </c>
      <c r="J5" s="191"/>
    </row>
    <row r="6" spans="1:12" ht="34.5" x14ac:dyDescent="0.25">
      <c r="A6" s="187" t="s">
        <v>212</v>
      </c>
      <c r="B6" s="188">
        <v>602566.71</v>
      </c>
      <c r="C6" s="189">
        <f>184168+141208+44248</f>
        <v>369624</v>
      </c>
      <c r="D6" s="188">
        <f>'1.pielikums_EM_prognoze'!C10+'1.pielikums_EM_prognoze'!D10+'1.pielikums_EM_prognoze'!E10+'1.pielikums_EM_prognoze'!F10+'1.pielikums_EM_prognoze'!G10</f>
        <v>369624.04000000004</v>
      </c>
      <c r="E6" s="188">
        <f t="shared" si="0"/>
        <v>394417.88000000006</v>
      </c>
      <c r="F6" s="188">
        <f>'1.pielikums_EM_prognoze'!H10</f>
        <v>24793.84</v>
      </c>
      <c r="G6" s="188">
        <f t="shared" si="1"/>
        <v>208148.8299999999</v>
      </c>
      <c r="H6" s="188">
        <f>'1.pielikums_EM_prognoze'!I10+'1.pielikums_EM_prognoze'!J10+'1.pielikums_EM_prognoze'!K10+'1.pielikums_EM_prognoze'!L10+'1.pielikums_EM_prognoze'!M10</f>
        <v>125000</v>
      </c>
      <c r="I6" s="190">
        <f t="shared" si="2"/>
        <v>519417.88000000006</v>
      </c>
      <c r="J6" s="191"/>
    </row>
    <row r="7" spans="1:12" ht="34.5" x14ac:dyDescent="0.25">
      <c r="A7" s="187" t="s">
        <v>213</v>
      </c>
      <c r="B7" s="188">
        <v>2764245.33</v>
      </c>
      <c r="C7" s="189">
        <f>891323+866452+426453</f>
        <v>2184228</v>
      </c>
      <c r="D7" s="188">
        <f>'1.pielikums_EM_prognoze'!C9+'1.pielikums_EM_prognoze'!D9+'1.pielikums_EM_prognoze'!E9+'1.pielikums_EM_prognoze'!F9+'1.pielikums_EM_prognoze'!G9</f>
        <v>2184227.6799999997</v>
      </c>
      <c r="E7" s="188">
        <f t="shared" si="0"/>
        <v>2510772.21</v>
      </c>
      <c r="F7" s="188">
        <f>'1.pielikums_EM_prognoze'!H9</f>
        <v>326544.53000000003</v>
      </c>
      <c r="G7" s="188">
        <f t="shared" si="1"/>
        <v>253473.12000000011</v>
      </c>
      <c r="H7" s="188">
        <f>'1.pielikums_EM_prognoze'!I9+'1.pielikums_EM_prognoze'!J9+'1.pielikums_EM_prognoze'!K9+'1.pielikums_EM_prognoze'!L9+'1.pielikums_EM_prognoze'!M9</f>
        <v>1675000</v>
      </c>
      <c r="I7" s="190">
        <f t="shared" si="2"/>
        <v>4185772.21</v>
      </c>
      <c r="J7" s="191"/>
    </row>
    <row r="8" spans="1:12" ht="81.75" x14ac:dyDescent="0.25">
      <c r="A8" s="187" t="s">
        <v>214</v>
      </c>
      <c r="B8" s="188">
        <v>5486</v>
      </c>
      <c r="C8" s="189">
        <f>1610+2858+630</f>
        <v>5098</v>
      </c>
      <c r="D8" s="188">
        <f>'4.pielikums_VARAM_KAC_prognoze'!D17+'4.pielikums_VARAM_KAC_prognoze'!F17+'4.pielikums_VARAM_KAC_prognoze'!H17+'4.pielikums_VARAM_KAC_prognoze'!J17+'4.pielikums_VARAM_KAC_prognoze'!L17</f>
        <v>5098</v>
      </c>
      <c r="E8" s="188">
        <f t="shared" si="0"/>
        <v>5732</v>
      </c>
      <c r="F8" s="188">
        <f>'4.pielikums_VARAM_KAC_prognoze'!N17</f>
        <v>634</v>
      </c>
      <c r="G8" s="188">
        <f>B8-E8</f>
        <v>-246</v>
      </c>
      <c r="H8" s="188">
        <f>'4.pielikums_VARAM_KAC_prognoze'!P17+'4.pielikums_VARAM_KAC_prognoze'!R17+'4.pielikums_VARAM_KAC_prognoze'!T17+'4.pielikums_VARAM_KAC_prognoze'!V17+'4.pielikums_VARAM_KAC_prognoze'!X17</f>
        <v>6782</v>
      </c>
      <c r="I8" s="190">
        <f t="shared" si="2"/>
        <v>12514</v>
      </c>
      <c r="J8" s="191"/>
    </row>
    <row r="9" spans="1:12" ht="81.75" x14ac:dyDescent="0.25">
      <c r="A9" s="187" t="s">
        <v>215</v>
      </c>
      <c r="B9" s="188">
        <v>1065355.8799999999</v>
      </c>
      <c r="C9" s="189">
        <f>310461+522705</f>
        <v>833166</v>
      </c>
      <c r="D9" s="188">
        <f>'5.pielikums_VARAM_māj_uzlab'!C17+'5.pielikums_VARAM_māj_uzlab'!E17</f>
        <v>833166.08</v>
      </c>
      <c r="E9" s="188">
        <f t="shared" si="0"/>
        <v>833166.08</v>
      </c>
      <c r="F9" s="188">
        <v>0</v>
      </c>
      <c r="G9" s="188">
        <f t="shared" si="1"/>
        <v>232189.79999999993</v>
      </c>
      <c r="H9" s="188">
        <f>'5.pielikums_VARAM_māj_uzlab'!I17</f>
        <v>354489.78</v>
      </c>
      <c r="I9" s="190">
        <f t="shared" si="2"/>
        <v>1187655.8599999999</v>
      </c>
      <c r="J9" s="191"/>
    </row>
    <row r="10" spans="1:12" ht="66" x14ac:dyDescent="0.25">
      <c r="A10" s="2" t="s">
        <v>4</v>
      </c>
      <c r="B10" s="192">
        <v>350555.79</v>
      </c>
      <c r="C10" s="193">
        <f>126523</f>
        <v>126523</v>
      </c>
      <c r="D10" s="192">
        <v>607.24</v>
      </c>
      <c r="E10" s="192">
        <v>246362.12</v>
      </c>
      <c r="F10" s="192">
        <v>0</v>
      </c>
      <c r="G10" s="188">
        <f>B10-E10</f>
        <v>104193.66999999998</v>
      </c>
      <c r="H10" s="192">
        <f>(245754.88/4)*7</f>
        <v>430071.04000000004</v>
      </c>
      <c r="I10" s="190">
        <f>E10+H10</f>
        <v>676433.16</v>
      </c>
      <c r="J10" s="191"/>
    </row>
    <row r="11" spans="1:12" ht="57" customHeight="1" x14ac:dyDescent="0.25">
      <c r="A11" s="194" t="s">
        <v>2</v>
      </c>
      <c r="B11" s="195">
        <f>-1155792.73</f>
        <v>-1155792.73</v>
      </c>
      <c r="C11" s="196"/>
      <c r="D11" s="1"/>
      <c r="E11" s="195"/>
      <c r="F11" s="195"/>
      <c r="G11" s="195"/>
      <c r="H11" s="195"/>
      <c r="I11" s="197">
        <f>-1155792.73</f>
        <v>-1155792.73</v>
      </c>
    </row>
    <row r="12" spans="1:12" ht="32.25" customHeight="1" x14ac:dyDescent="0.25">
      <c r="A12" s="198" t="s">
        <v>1</v>
      </c>
      <c r="B12" s="199">
        <f t="shared" ref="B12:I12" si="3">B4+B5+B6+B7+B8+B9+B10+B11</f>
        <v>21788248.640000001</v>
      </c>
      <c r="C12" s="199">
        <f t="shared" si="3"/>
        <v>16216914</v>
      </c>
      <c r="D12" s="200">
        <f>D4+D5+D6+D7+D8+D9+D10+D11</f>
        <v>16090997.379999999</v>
      </c>
      <c r="E12" s="200">
        <f t="shared" si="3"/>
        <v>18598132.75</v>
      </c>
      <c r="F12" s="200">
        <f t="shared" si="3"/>
        <v>2261380.4900000002</v>
      </c>
      <c r="G12" s="200">
        <f>G4+G5+G6+G7+G8+G9+G10+G11</f>
        <v>4345908.620000001</v>
      </c>
      <c r="H12" s="200">
        <f t="shared" si="3"/>
        <v>14710186.82</v>
      </c>
      <c r="I12" s="201">
        <f t="shared" si="3"/>
        <v>32152526.84</v>
      </c>
      <c r="J12" s="191"/>
      <c r="K12" s="191"/>
    </row>
    <row r="13" spans="1:12" ht="132" x14ac:dyDescent="0.25">
      <c r="A13" s="202" t="s">
        <v>216</v>
      </c>
      <c r="B13" s="203">
        <f>H12-G12</f>
        <v>10364278.199999999</v>
      </c>
      <c r="C13" s="204"/>
      <c r="D13" s="191"/>
      <c r="E13" s="204"/>
      <c r="G13" s="191"/>
      <c r="H13" s="191"/>
      <c r="I13" s="191"/>
      <c r="J13" s="191"/>
      <c r="K13" s="204"/>
      <c r="L13" s="191"/>
    </row>
    <row r="14" spans="1:12" x14ac:dyDescent="0.25">
      <c r="F14" s="191"/>
      <c r="G14" s="191"/>
      <c r="H14" s="191"/>
    </row>
    <row r="15" spans="1:12" ht="17.25" x14ac:dyDescent="0.25">
      <c r="A15" t="s">
        <v>217</v>
      </c>
      <c r="F15" s="191"/>
      <c r="G15" s="191"/>
    </row>
    <row r="17" spans="1:1" ht="17.25" x14ac:dyDescent="0.25">
      <c r="A17" t="s">
        <v>3</v>
      </c>
    </row>
    <row r="19" spans="1:1" ht="17.25" x14ac:dyDescent="0.25">
      <c r="A19" t="s">
        <v>218</v>
      </c>
    </row>
    <row r="20" spans="1:1" x14ac:dyDescent="0.25">
      <c r="A20" s="3" t="s">
        <v>5</v>
      </c>
    </row>
    <row r="21" spans="1:1" x14ac:dyDescent="0.25">
      <c r="A21" s="3" t="s">
        <v>6</v>
      </c>
    </row>
    <row r="22" spans="1:1" x14ac:dyDescent="0.25">
      <c r="A22" s="3" t="s">
        <v>203</v>
      </c>
    </row>
  </sheetData>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D85C4E-9080-478B-9C91-446289F3D23E}">
  <dimension ref="A1:O15"/>
  <sheetViews>
    <sheetView workbookViewId="0">
      <selection activeCell="A30" sqref="A30"/>
    </sheetView>
  </sheetViews>
  <sheetFormatPr defaultColWidth="8.7109375" defaultRowHeight="15" x14ac:dyDescent="0.25"/>
  <cols>
    <col min="1" max="1" width="30.28515625" style="6" bestFit="1" customWidth="1"/>
    <col min="2" max="13" width="14.7109375" style="6" customWidth="1"/>
    <col min="14" max="14" width="74.5703125" style="6" customWidth="1"/>
    <col min="15" max="15" width="15" style="6" customWidth="1"/>
    <col min="16" max="16" width="12.28515625" style="6" customWidth="1"/>
    <col min="17" max="16384" width="8.7109375" style="6"/>
  </cols>
  <sheetData>
    <row r="1" spans="1:15" x14ac:dyDescent="0.25">
      <c r="A1" s="4"/>
      <c r="B1" s="4"/>
      <c r="C1" s="4"/>
      <c r="D1" s="4"/>
      <c r="E1" s="4"/>
      <c r="F1" s="4"/>
      <c r="G1" s="4"/>
      <c r="H1" s="4"/>
      <c r="I1" s="4"/>
      <c r="J1" s="4"/>
      <c r="K1" s="4"/>
      <c r="L1" s="4"/>
      <c r="M1" s="4"/>
      <c r="N1" s="5" t="s">
        <v>7</v>
      </c>
    </row>
    <row r="2" spans="1:15" ht="18.75" x14ac:dyDescent="0.3">
      <c r="A2" s="206" t="s">
        <v>8</v>
      </c>
      <c r="B2" s="206"/>
      <c r="C2" s="206"/>
      <c r="D2" s="206"/>
      <c r="E2" s="206"/>
      <c r="F2" s="206"/>
      <c r="G2" s="206"/>
      <c r="H2" s="206"/>
      <c r="I2" s="206"/>
      <c r="J2" s="206"/>
      <c r="K2" s="206"/>
      <c r="L2" s="206"/>
      <c r="M2" s="206"/>
      <c r="N2" s="206"/>
    </row>
    <row r="3" spans="1:15" x14ac:dyDescent="0.25">
      <c r="A3" s="4"/>
      <c r="B3" s="4"/>
      <c r="C3" s="4"/>
      <c r="D3" s="4"/>
      <c r="E3" s="4"/>
      <c r="F3" s="4"/>
      <c r="G3" s="4"/>
      <c r="H3" s="4"/>
      <c r="I3" s="4"/>
      <c r="J3" s="4"/>
      <c r="K3" s="4"/>
      <c r="L3" s="4"/>
      <c r="M3" s="4"/>
      <c r="N3" s="4"/>
    </row>
    <row r="4" spans="1:15" x14ac:dyDescent="0.25">
      <c r="A4" s="7" t="s">
        <v>9</v>
      </c>
      <c r="B4" s="8">
        <v>2023</v>
      </c>
      <c r="C4" s="9">
        <v>2023</v>
      </c>
      <c r="D4" s="9">
        <v>2023</v>
      </c>
      <c r="E4" s="9">
        <v>2023</v>
      </c>
      <c r="F4" s="9">
        <v>2023</v>
      </c>
      <c r="G4" s="9">
        <v>2023</v>
      </c>
      <c r="H4" s="9">
        <v>2023</v>
      </c>
      <c r="I4" s="10">
        <v>2023</v>
      </c>
      <c r="J4" s="10">
        <v>2023</v>
      </c>
      <c r="K4" s="10">
        <v>2023</v>
      </c>
      <c r="L4" s="10">
        <v>2023</v>
      </c>
      <c r="M4" s="10">
        <v>2023</v>
      </c>
      <c r="N4" s="207" t="s">
        <v>10</v>
      </c>
    </row>
    <row r="5" spans="1:15" ht="25.5" x14ac:dyDescent="0.25">
      <c r="A5" s="7" t="s">
        <v>11</v>
      </c>
      <c r="B5" s="8" t="s">
        <v>12</v>
      </c>
      <c r="C5" s="9" t="s">
        <v>13</v>
      </c>
      <c r="D5" s="9" t="s">
        <v>14</v>
      </c>
      <c r="E5" s="9" t="s">
        <v>15</v>
      </c>
      <c r="F5" s="9" t="s">
        <v>16</v>
      </c>
      <c r="G5" s="9" t="s">
        <v>17</v>
      </c>
      <c r="H5" s="9" t="s">
        <v>18</v>
      </c>
      <c r="I5" s="10" t="s">
        <v>19</v>
      </c>
      <c r="J5" s="10" t="s">
        <v>20</v>
      </c>
      <c r="K5" s="10" t="s">
        <v>21</v>
      </c>
      <c r="L5" s="10" t="s">
        <v>22</v>
      </c>
      <c r="M5" s="10" t="s">
        <v>23</v>
      </c>
      <c r="N5" s="208"/>
    </row>
    <row r="6" spans="1:15" x14ac:dyDescent="0.25">
      <c r="A6" s="11"/>
      <c r="B6" s="12" t="s">
        <v>25</v>
      </c>
      <c r="C6" s="13" t="s">
        <v>25</v>
      </c>
      <c r="D6" s="13" t="s">
        <v>25</v>
      </c>
      <c r="E6" s="13" t="s">
        <v>25</v>
      </c>
      <c r="F6" s="13" t="s">
        <v>25</v>
      </c>
      <c r="G6" s="13" t="s">
        <v>25</v>
      </c>
      <c r="H6" s="13" t="s">
        <v>25</v>
      </c>
      <c r="I6" s="14" t="s">
        <v>25</v>
      </c>
      <c r="J6" s="14" t="s">
        <v>25</v>
      </c>
      <c r="K6" s="14" t="s">
        <v>25</v>
      </c>
      <c r="L6" s="14" t="s">
        <v>25</v>
      </c>
      <c r="M6" s="14" t="s">
        <v>25</v>
      </c>
      <c r="N6" s="208"/>
    </row>
    <row r="7" spans="1:15" ht="51" x14ac:dyDescent="0.25">
      <c r="A7" s="15" t="s">
        <v>26</v>
      </c>
      <c r="B7" s="8" t="s">
        <v>27</v>
      </c>
      <c r="C7" s="9" t="s">
        <v>28</v>
      </c>
      <c r="D7" s="9" t="s">
        <v>28</v>
      </c>
      <c r="E7" s="9" t="s">
        <v>28</v>
      </c>
      <c r="F7" s="9" t="s">
        <v>28</v>
      </c>
      <c r="G7" s="9" t="s">
        <v>28</v>
      </c>
      <c r="H7" s="9" t="s">
        <v>28</v>
      </c>
      <c r="I7" s="10" t="s">
        <v>29</v>
      </c>
      <c r="J7" s="10" t="s">
        <v>29</v>
      </c>
      <c r="K7" s="10" t="s">
        <v>29</v>
      </c>
      <c r="L7" s="10" t="s">
        <v>29</v>
      </c>
      <c r="M7" s="10" t="s">
        <v>29</v>
      </c>
      <c r="N7" s="208"/>
    </row>
    <row r="8" spans="1:15" x14ac:dyDescent="0.25">
      <c r="A8" s="16">
        <v>1</v>
      </c>
      <c r="B8" s="17">
        <v>2</v>
      </c>
      <c r="C8" s="17">
        <v>3</v>
      </c>
      <c r="D8" s="17">
        <v>4</v>
      </c>
      <c r="E8" s="17">
        <v>5</v>
      </c>
      <c r="F8" s="17">
        <v>6</v>
      </c>
      <c r="G8" s="17">
        <v>7</v>
      </c>
      <c r="H8" s="17">
        <v>8</v>
      </c>
      <c r="I8" s="18">
        <v>9</v>
      </c>
      <c r="J8" s="18">
        <v>10</v>
      </c>
      <c r="K8" s="18">
        <v>11</v>
      </c>
      <c r="L8" s="18">
        <v>12</v>
      </c>
      <c r="M8" s="18">
        <v>13</v>
      </c>
      <c r="N8" s="19">
        <v>15</v>
      </c>
    </row>
    <row r="9" spans="1:15" x14ac:dyDescent="0.25">
      <c r="A9" s="20" t="s">
        <v>30</v>
      </c>
      <c r="B9" s="21">
        <f>SUM(C9:M9)</f>
        <v>4185772.21</v>
      </c>
      <c r="C9" s="22">
        <v>439245.33</v>
      </c>
      <c r="D9" s="22">
        <v>452077.16</v>
      </c>
      <c r="E9" s="22">
        <v>470303.83</v>
      </c>
      <c r="F9" s="22">
        <v>396148.12</v>
      </c>
      <c r="G9" s="22">
        <v>426453.24</v>
      </c>
      <c r="H9" s="22">
        <v>326544.53000000003</v>
      </c>
      <c r="I9" s="23">
        <v>335000</v>
      </c>
      <c r="J9" s="23">
        <v>335000</v>
      </c>
      <c r="K9" s="23">
        <v>335000</v>
      </c>
      <c r="L9" s="23">
        <v>335000</v>
      </c>
      <c r="M9" s="23">
        <v>335000</v>
      </c>
      <c r="N9" s="209" t="s">
        <v>31</v>
      </c>
    </row>
    <row r="10" spans="1:15" ht="30" customHeight="1" x14ac:dyDescent="0.25">
      <c r="A10" s="24" t="s">
        <v>32</v>
      </c>
      <c r="B10" s="21">
        <f t="shared" ref="B10:B11" si="0">SUM(C10:M10)</f>
        <v>519417.88000000006</v>
      </c>
      <c r="C10" s="22">
        <v>102566.71</v>
      </c>
      <c r="D10" s="22">
        <v>81601.63</v>
      </c>
      <c r="E10" s="22">
        <v>83198.710000000006</v>
      </c>
      <c r="F10" s="22">
        <v>58009.24</v>
      </c>
      <c r="G10" s="22">
        <v>44247.75</v>
      </c>
      <c r="H10" s="22">
        <v>24793.84</v>
      </c>
      <c r="I10" s="23">
        <v>25000</v>
      </c>
      <c r="J10" s="23">
        <v>25000</v>
      </c>
      <c r="K10" s="23">
        <v>25000</v>
      </c>
      <c r="L10" s="23">
        <v>25000</v>
      </c>
      <c r="M10" s="23">
        <v>25000</v>
      </c>
      <c r="N10" s="210"/>
      <c r="O10" s="25"/>
    </row>
    <row r="11" spans="1:15" ht="30.75" customHeight="1" x14ac:dyDescent="0.25">
      <c r="A11" s="24" t="s">
        <v>33</v>
      </c>
      <c r="B11" s="21">
        <f t="shared" si="0"/>
        <v>4705190.09</v>
      </c>
      <c r="C11" s="21">
        <f>SUM(C9,C10)</f>
        <v>541812.04</v>
      </c>
      <c r="D11" s="21">
        <f t="shared" ref="D11:M11" si="1">SUM(D9,D10)</f>
        <v>533678.79</v>
      </c>
      <c r="E11" s="21">
        <f t="shared" si="1"/>
        <v>553502.54</v>
      </c>
      <c r="F11" s="21">
        <f t="shared" si="1"/>
        <v>454157.36</v>
      </c>
      <c r="G11" s="21">
        <f t="shared" si="1"/>
        <v>470700.99</v>
      </c>
      <c r="H11" s="21">
        <f t="shared" si="1"/>
        <v>351338.37000000005</v>
      </c>
      <c r="I11" s="26">
        <f t="shared" si="1"/>
        <v>360000</v>
      </c>
      <c r="J11" s="26">
        <f t="shared" si="1"/>
        <v>360000</v>
      </c>
      <c r="K11" s="26">
        <f t="shared" si="1"/>
        <v>360000</v>
      </c>
      <c r="L11" s="26">
        <f t="shared" si="1"/>
        <v>360000</v>
      </c>
      <c r="M11" s="26">
        <f t="shared" si="1"/>
        <v>360000</v>
      </c>
      <c r="N11" s="211"/>
    </row>
    <row r="13" spans="1:15" x14ac:dyDescent="0.25">
      <c r="B13" s="27"/>
      <c r="C13" s="27"/>
      <c r="G13" s="27"/>
      <c r="I13" s="27"/>
    </row>
    <row r="14" spans="1:15" x14ac:dyDescent="0.25">
      <c r="G14" s="27"/>
      <c r="I14" s="27"/>
    </row>
    <row r="15" spans="1:15" x14ac:dyDescent="0.25">
      <c r="I15" s="27"/>
    </row>
  </sheetData>
  <mergeCells count="3">
    <mergeCell ref="A2:N2"/>
    <mergeCell ref="N4:N7"/>
    <mergeCell ref="N9:N1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D79185-BD4E-42D9-B769-E55E21525EE7}">
  <dimension ref="A1:AE102"/>
  <sheetViews>
    <sheetView topLeftCell="A92" workbookViewId="0">
      <selection activeCell="K5" sqref="K1:K1048576"/>
    </sheetView>
  </sheetViews>
  <sheetFormatPr defaultColWidth="9.42578125" defaultRowHeight="15" x14ac:dyDescent="0.25"/>
  <cols>
    <col min="1" max="1" width="45.7109375" style="105" customWidth="1"/>
    <col min="2" max="2" width="11.7109375" style="105" customWidth="1"/>
    <col min="3" max="3" width="15.28515625" style="105" customWidth="1"/>
    <col min="4" max="4" width="16.140625" style="105" customWidth="1"/>
    <col min="5" max="5" width="15.28515625" style="105" customWidth="1"/>
    <col min="6" max="6" width="10.7109375" style="105" customWidth="1"/>
    <col min="7" max="7" width="15.28515625" style="105" customWidth="1"/>
    <col min="8" max="8" width="10.7109375" style="106" customWidth="1"/>
    <col min="9" max="9" width="15.28515625" style="28" customWidth="1"/>
    <col min="10" max="10" width="10.7109375" style="28" customWidth="1"/>
    <col min="11" max="11" width="15.28515625" style="183" customWidth="1"/>
    <col min="12" max="13" width="15.28515625" style="28" hidden="1" customWidth="1"/>
    <col min="14" max="14" width="49.42578125" style="28" hidden="1" customWidth="1"/>
    <col min="15" max="15" width="10.7109375" style="28" customWidth="1"/>
    <col min="16" max="16" width="15.28515625" style="28" customWidth="1"/>
    <col min="17" max="17" width="10.7109375" style="28" customWidth="1"/>
    <col min="18" max="18" width="15.28515625" style="28" customWidth="1"/>
    <col min="19" max="19" width="10.7109375" style="28" customWidth="1"/>
    <col min="20" max="20" width="15.28515625" style="28" customWidth="1"/>
    <col min="21" max="21" width="10.7109375" style="28" customWidth="1"/>
    <col min="22" max="22" width="15.28515625" style="28" customWidth="1"/>
    <col min="23" max="23" width="10.7109375" style="28" customWidth="1"/>
    <col min="24" max="24" width="15.28515625" style="28" customWidth="1"/>
    <col min="25" max="25" width="10.7109375" style="28" customWidth="1"/>
    <col min="26" max="26" width="15.28515625" style="28" customWidth="1"/>
    <col min="27" max="27" width="10.7109375" style="28" hidden="1" customWidth="1"/>
    <col min="28" max="28" width="14.28515625" style="28" hidden="1" customWidth="1"/>
    <col min="29" max="30" width="17.7109375" style="107" customWidth="1"/>
    <col min="31" max="31" width="72.28515625" style="28" customWidth="1"/>
    <col min="32" max="271" width="9.42578125" style="28"/>
    <col min="272" max="272" width="21.5703125" style="28" customWidth="1"/>
    <col min="273" max="273" width="10.42578125" style="28" customWidth="1"/>
    <col min="274" max="274" width="14.42578125" style="28" customWidth="1"/>
    <col min="275" max="275" width="10.42578125" style="28" customWidth="1"/>
    <col min="276" max="276" width="14.42578125" style="28" customWidth="1"/>
    <col min="277" max="277" width="10.42578125" style="28" customWidth="1"/>
    <col min="278" max="279" width="14.42578125" style="28" customWidth="1"/>
    <col min="280" max="280" width="48.5703125" style="28" customWidth="1"/>
    <col min="281" max="281" width="45.5703125" style="28" customWidth="1"/>
    <col min="282" max="527" width="9.42578125" style="28"/>
    <col min="528" max="528" width="21.5703125" style="28" customWidth="1"/>
    <col min="529" max="529" width="10.42578125" style="28" customWidth="1"/>
    <col min="530" max="530" width="14.42578125" style="28" customWidth="1"/>
    <col min="531" max="531" width="10.42578125" style="28" customWidth="1"/>
    <col min="532" max="532" width="14.42578125" style="28" customWidth="1"/>
    <col min="533" max="533" width="10.42578125" style="28" customWidth="1"/>
    <col min="534" max="535" width="14.42578125" style="28" customWidth="1"/>
    <col min="536" max="536" width="48.5703125" style="28" customWidth="1"/>
    <col min="537" max="537" width="45.5703125" style="28" customWidth="1"/>
    <col min="538" max="783" width="9.42578125" style="28"/>
    <col min="784" max="784" width="21.5703125" style="28" customWidth="1"/>
    <col min="785" max="785" width="10.42578125" style="28" customWidth="1"/>
    <col min="786" max="786" width="14.42578125" style="28" customWidth="1"/>
    <col min="787" max="787" width="10.42578125" style="28" customWidth="1"/>
    <col min="788" max="788" width="14.42578125" style="28" customWidth="1"/>
    <col min="789" max="789" width="10.42578125" style="28" customWidth="1"/>
    <col min="790" max="791" width="14.42578125" style="28" customWidth="1"/>
    <col min="792" max="792" width="48.5703125" style="28" customWidth="1"/>
    <col min="793" max="793" width="45.5703125" style="28" customWidth="1"/>
    <col min="794" max="1039" width="9.42578125" style="28"/>
    <col min="1040" max="1040" width="21.5703125" style="28" customWidth="1"/>
    <col min="1041" max="1041" width="10.42578125" style="28" customWidth="1"/>
    <col min="1042" max="1042" width="14.42578125" style="28" customWidth="1"/>
    <col min="1043" max="1043" width="10.42578125" style="28" customWidth="1"/>
    <col min="1044" max="1044" width="14.42578125" style="28" customWidth="1"/>
    <col min="1045" max="1045" width="10.42578125" style="28" customWidth="1"/>
    <col min="1046" max="1047" width="14.42578125" style="28" customWidth="1"/>
    <col min="1048" max="1048" width="48.5703125" style="28" customWidth="1"/>
    <col min="1049" max="1049" width="45.5703125" style="28" customWidth="1"/>
    <col min="1050" max="1295" width="9.42578125" style="28"/>
    <col min="1296" max="1296" width="21.5703125" style="28" customWidth="1"/>
    <col min="1297" max="1297" width="10.42578125" style="28" customWidth="1"/>
    <col min="1298" max="1298" width="14.42578125" style="28" customWidth="1"/>
    <col min="1299" max="1299" width="10.42578125" style="28" customWidth="1"/>
    <col min="1300" max="1300" width="14.42578125" style="28" customWidth="1"/>
    <col min="1301" max="1301" width="10.42578125" style="28" customWidth="1"/>
    <col min="1302" max="1303" width="14.42578125" style="28" customWidth="1"/>
    <col min="1304" max="1304" width="48.5703125" style="28" customWidth="1"/>
    <col min="1305" max="1305" width="45.5703125" style="28" customWidth="1"/>
    <col min="1306" max="1551" width="9.42578125" style="28"/>
    <col min="1552" max="1552" width="21.5703125" style="28" customWidth="1"/>
    <col min="1553" max="1553" width="10.42578125" style="28" customWidth="1"/>
    <col min="1554" max="1554" width="14.42578125" style="28" customWidth="1"/>
    <col min="1555" max="1555" width="10.42578125" style="28" customWidth="1"/>
    <col min="1556" max="1556" width="14.42578125" style="28" customWidth="1"/>
    <col min="1557" max="1557" width="10.42578125" style="28" customWidth="1"/>
    <col min="1558" max="1559" width="14.42578125" style="28" customWidth="1"/>
    <col min="1560" max="1560" width="48.5703125" style="28" customWidth="1"/>
    <col min="1561" max="1561" width="45.5703125" style="28" customWidth="1"/>
    <col min="1562" max="1807" width="9.42578125" style="28"/>
    <col min="1808" max="1808" width="21.5703125" style="28" customWidth="1"/>
    <col min="1809" max="1809" width="10.42578125" style="28" customWidth="1"/>
    <col min="1810" max="1810" width="14.42578125" style="28" customWidth="1"/>
    <col min="1811" max="1811" width="10.42578125" style="28" customWidth="1"/>
    <col min="1812" max="1812" width="14.42578125" style="28" customWidth="1"/>
    <col min="1813" max="1813" width="10.42578125" style="28" customWidth="1"/>
    <col min="1814" max="1815" width="14.42578125" style="28" customWidth="1"/>
    <col min="1816" max="1816" width="48.5703125" style="28" customWidth="1"/>
    <col min="1817" max="1817" width="45.5703125" style="28" customWidth="1"/>
    <col min="1818" max="2063" width="9.42578125" style="28"/>
    <col min="2064" max="2064" width="21.5703125" style="28" customWidth="1"/>
    <col min="2065" max="2065" width="10.42578125" style="28" customWidth="1"/>
    <col min="2066" max="2066" width="14.42578125" style="28" customWidth="1"/>
    <col min="2067" max="2067" width="10.42578125" style="28" customWidth="1"/>
    <col min="2068" max="2068" width="14.42578125" style="28" customWidth="1"/>
    <col min="2069" max="2069" width="10.42578125" style="28" customWidth="1"/>
    <col min="2070" max="2071" width="14.42578125" style="28" customWidth="1"/>
    <col min="2072" max="2072" width="48.5703125" style="28" customWidth="1"/>
    <col min="2073" max="2073" width="45.5703125" style="28" customWidth="1"/>
    <col min="2074" max="2319" width="9.42578125" style="28"/>
    <col min="2320" max="2320" width="21.5703125" style="28" customWidth="1"/>
    <col min="2321" max="2321" width="10.42578125" style="28" customWidth="1"/>
    <col min="2322" max="2322" width="14.42578125" style="28" customWidth="1"/>
    <col min="2323" max="2323" width="10.42578125" style="28" customWidth="1"/>
    <col min="2324" max="2324" width="14.42578125" style="28" customWidth="1"/>
    <col min="2325" max="2325" width="10.42578125" style="28" customWidth="1"/>
    <col min="2326" max="2327" width="14.42578125" style="28" customWidth="1"/>
    <col min="2328" max="2328" width="48.5703125" style="28" customWidth="1"/>
    <col min="2329" max="2329" width="45.5703125" style="28" customWidth="1"/>
    <col min="2330" max="2575" width="9.42578125" style="28"/>
    <col min="2576" max="2576" width="21.5703125" style="28" customWidth="1"/>
    <col min="2577" max="2577" width="10.42578125" style="28" customWidth="1"/>
    <col min="2578" max="2578" width="14.42578125" style="28" customWidth="1"/>
    <col min="2579" max="2579" width="10.42578125" style="28" customWidth="1"/>
    <col min="2580" max="2580" width="14.42578125" style="28" customWidth="1"/>
    <col min="2581" max="2581" width="10.42578125" style="28" customWidth="1"/>
    <col min="2582" max="2583" width="14.42578125" style="28" customWidth="1"/>
    <col min="2584" max="2584" width="48.5703125" style="28" customWidth="1"/>
    <col min="2585" max="2585" width="45.5703125" style="28" customWidth="1"/>
    <col min="2586" max="2831" width="9.42578125" style="28"/>
    <col min="2832" max="2832" width="21.5703125" style="28" customWidth="1"/>
    <col min="2833" max="2833" width="10.42578125" style="28" customWidth="1"/>
    <col min="2834" max="2834" width="14.42578125" style="28" customWidth="1"/>
    <col min="2835" max="2835" width="10.42578125" style="28" customWidth="1"/>
    <col min="2836" max="2836" width="14.42578125" style="28" customWidth="1"/>
    <col min="2837" max="2837" width="10.42578125" style="28" customWidth="1"/>
    <col min="2838" max="2839" width="14.42578125" style="28" customWidth="1"/>
    <col min="2840" max="2840" width="48.5703125" style="28" customWidth="1"/>
    <col min="2841" max="2841" width="45.5703125" style="28" customWidth="1"/>
    <col min="2842" max="3087" width="9.42578125" style="28"/>
    <col min="3088" max="3088" width="21.5703125" style="28" customWidth="1"/>
    <col min="3089" max="3089" width="10.42578125" style="28" customWidth="1"/>
    <col min="3090" max="3090" width="14.42578125" style="28" customWidth="1"/>
    <col min="3091" max="3091" width="10.42578125" style="28" customWidth="1"/>
    <col min="3092" max="3092" width="14.42578125" style="28" customWidth="1"/>
    <col min="3093" max="3093" width="10.42578125" style="28" customWidth="1"/>
    <col min="3094" max="3095" width="14.42578125" style="28" customWidth="1"/>
    <col min="3096" max="3096" width="48.5703125" style="28" customWidth="1"/>
    <col min="3097" max="3097" width="45.5703125" style="28" customWidth="1"/>
    <col min="3098" max="3343" width="9.42578125" style="28"/>
    <col min="3344" max="3344" width="21.5703125" style="28" customWidth="1"/>
    <col min="3345" max="3345" width="10.42578125" style="28" customWidth="1"/>
    <col min="3346" max="3346" width="14.42578125" style="28" customWidth="1"/>
    <col min="3347" max="3347" width="10.42578125" style="28" customWidth="1"/>
    <col min="3348" max="3348" width="14.42578125" style="28" customWidth="1"/>
    <col min="3349" max="3349" width="10.42578125" style="28" customWidth="1"/>
    <col min="3350" max="3351" width="14.42578125" style="28" customWidth="1"/>
    <col min="3352" max="3352" width="48.5703125" style="28" customWidth="1"/>
    <col min="3353" max="3353" width="45.5703125" style="28" customWidth="1"/>
    <col min="3354" max="3599" width="9.42578125" style="28"/>
    <col min="3600" max="3600" width="21.5703125" style="28" customWidth="1"/>
    <col min="3601" max="3601" width="10.42578125" style="28" customWidth="1"/>
    <col min="3602" max="3602" width="14.42578125" style="28" customWidth="1"/>
    <col min="3603" max="3603" width="10.42578125" style="28" customWidth="1"/>
    <col min="3604" max="3604" width="14.42578125" style="28" customWidth="1"/>
    <col min="3605" max="3605" width="10.42578125" style="28" customWidth="1"/>
    <col min="3606" max="3607" width="14.42578125" style="28" customWidth="1"/>
    <col min="3608" max="3608" width="48.5703125" style="28" customWidth="1"/>
    <col min="3609" max="3609" width="45.5703125" style="28" customWidth="1"/>
    <col min="3610" max="3855" width="9.42578125" style="28"/>
    <col min="3856" max="3856" width="21.5703125" style="28" customWidth="1"/>
    <col min="3857" max="3857" width="10.42578125" style="28" customWidth="1"/>
    <col min="3858" max="3858" width="14.42578125" style="28" customWidth="1"/>
    <col min="3859" max="3859" width="10.42578125" style="28" customWidth="1"/>
    <col min="3860" max="3860" width="14.42578125" style="28" customWidth="1"/>
    <col min="3861" max="3861" width="10.42578125" style="28" customWidth="1"/>
    <col min="3862" max="3863" width="14.42578125" style="28" customWidth="1"/>
    <col min="3864" max="3864" width="48.5703125" style="28" customWidth="1"/>
    <col min="3865" max="3865" width="45.5703125" style="28" customWidth="1"/>
    <col min="3866" max="4111" width="9.42578125" style="28"/>
    <col min="4112" max="4112" width="21.5703125" style="28" customWidth="1"/>
    <col min="4113" max="4113" width="10.42578125" style="28" customWidth="1"/>
    <col min="4114" max="4114" width="14.42578125" style="28" customWidth="1"/>
    <col min="4115" max="4115" width="10.42578125" style="28" customWidth="1"/>
    <col min="4116" max="4116" width="14.42578125" style="28" customWidth="1"/>
    <col min="4117" max="4117" width="10.42578125" style="28" customWidth="1"/>
    <col min="4118" max="4119" width="14.42578125" style="28" customWidth="1"/>
    <col min="4120" max="4120" width="48.5703125" style="28" customWidth="1"/>
    <col min="4121" max="4121" width="45.5703125" style="28" customWidth="1"/>
    <col min="4122" max="4367" width="9.42578125" style="28"/>
    <col min="4368" max="4368" width="21.5703125" style="28" customWidth="1"/>
    <col min="4369" max="4369" width="10.42578125" style="28" customWidth="1"/>
    <col min="4370" max="4370" width="14.42578125" style="28" customWidth="1"/>
    <col min="4371" max="4371" width="10.42578125" style="28" customWidth="1"/>
    <col min="4372" max="4372" width="14.42578125" style="28" customWidth="1"/>
    <col min="4373" max="4373" width="10.42578125" style="28" customWidth="1"/>
    <col min="4374" max="4375" width="14.42578125" style="28" customWidth="1"/>
    <col min="4376" max="4376" width="48.5703125" style="28" customWidth="1"/>
    <col min="4377" max="4377" width="45.5703125" style="28" customWidth="1"/>
    <col min="4378" max="4623" width="9.42578125" style="28"/>
    <col min="4624" max="4624" width="21.5703125" style="28" customWidth="1"/>
    <col min="4625" max="4625" width="10.42578125" style="28" customWidth="1"/>
    <col min="4626" max="4626" width="14.42578125" style="28" customWidth="1"/>
    <col min="4627" max="4627" width="10.42578125" style="28" customWidth="1"/>
    <col min="4628" max="4628" width="14.42578125" style="28" customWidth="1"/>
    <col min="4629" max="4629" width="10.42578125" style="28" customWidth="1"/>
    <col min="4630" max="4631" width="14.42578125" style="28" customWidth="1"/>
    <col min="4632" max="4632" width="48.5703125" style="28" customWidth="1"/>
    <col min="4633" max="4633" width="45.5703125" style="28" customWidth="1"/>
    <col min="4634" max="4879" width="9.42578125" style="28"/>
    <col min="4880" max="4880" width="21.5703125" style="28" customWidth="1"/>
    <col min="4881" max="4881" width="10.42578125" style="28" customWidth="1"/>
    <col min="4882" max="4882" width="14.42578125" style="28" customWidth="1"/>
    <col min="4883" max="4883" width="10.42578125" style="28" customWidth="1"/>
    <col min="4884" max="4884" width="14.42578125" style="28" customWidth="1"/>
    <col min="4885" max="4885" width="10.42578125" style="28" customWidth="1"/>
    <col min="4886" max="4887" width="14.42578125" style="28" customWidth="1"/>
    <col min="4888" max="4888" width="48.5703125" style="28" customWidth="1"/>
    <col min="4889" max="4889" width="45.5703125" style="28" customWidth="1"/>
    <col min="4890" max="5135" width="9.42578125" style="28"/>
    <col min="5136" max="5136" width="21.5703125" style="28" customWidth="1"/>
    <col min="5137" max="5137" width="10.42578125" style="28" customWidth="1"/>
    <col min="5138" max="5138" width="14.42578125" style="28" customWidth="1"/>
    <col min="5139" max="5139" width="10.42578125" style="28" customWidth="1"/>
    <col min="5140" max="5140" width="14.42578125" style="28" customWidth="1"/>
    <col min="5141" max="5141" width="10.42578125" style="28" customWidth="1"/>
    <col min="5142" max="5143" width="14.42578125" style="28" customWidth="1"/>
    <col min="5144" max="5144" width="48.5703125" style="28" customWidth="1"/>
    <col min="5145" max="5145" width="45.5703125" style="28" customWidth="1"/>
    <col min="5146" max="5391" width="9.42578125" style="28"/>
    <col min="5392" max="5392" width="21.5703125" style="28" customWidth="1"/>
    <col min="5393" max="5393" width="10.42578125" style="28" customWidth="1"/>
    <col min="5394" max="5394" width="14.42578125" style="28" customWidth="1"/>
    <col min="5395" max="5395" width="10.42578125" style="28" customWidth="1"/>
    <col min="5396" max="5396" width="14.42578125" style="28" customWidth="1"/>
    <col min="5397" max="5397" width="10.42578125" style="28" customWidth="1"/>
    <col min="5398" max="5399" width="14.42578125" style="28" customWidth="1"/>
    <col min="5400" max="5400" width="48.5703125" style="28" customWidth="1"/>
    <col min="5401" max="5401" width="45.5703125" style="28" customWidth="1"/>
    <col min="5402" max="5647" width="9.42578125" style="28"/>
    <col min="5648" max="5648" width="21.5703125" style="28" customWidth="1"/>
    <col min="5649" max="5649" width="10.42578125" style="28" customWidth="1"/>
    <col min="5650" max="5650" width="14.42578125" style="28" customWidth="1"/>
    <col min="5651" max="5651" width="10.42578125" style="28" customWidth="1"/>
    <col min="5652" max="5652" width="14.42578125" style="28" customWidth="1"/>
    <col min="5653" max="5653" width="10.42578125" style="28" customWidth="1"/>
    <col min="5654" max="5655" width="14.42578125" style="28" customWidth="1"/>
    <col min="5656" max="5656" width="48.5703125" style="28" customWidth="1"/>
    <col min="5657" max="5657" width="45.5703125" style="28" customWidth="1"/>
    <col min="5658" max="5903" width="9.42578125" style="28"/>
    <col min="5904" max="5904" width="21.5703125" style="28" customWidth="1"/>
    <col min="5905" max="5905" width="10.42578125" style="28" customWidth="1"/>
    <col min="5906" max="5906" width="14.42578125" style="28" customWidth="1"/>
    <col min="5907" max="5907" width="10.42578125" style="28" customWidth="1"/>
    <col min="5908" max="5908" width="14.42578125" style="28" customWidth="1"/>
    <col min="5909" max="5909" width="10.42578125" style="28" customWidth="1"/>
    <col min="5910" max="5911" width="14.42578125" style="28" customWidth="1"/>
    <col min="5912" max="5912" width="48.5703125" style="28" customWidth="1"/>
    <col min="5913" max="5913" width="45.5703125" style="28" customWidth="1"/>
    <col min="5914" max="6159" width="9.42578125" style="28"/>
    <col min="6160" max="6160" width="21.5703125" style="28" customWidth="1"/>
    <col min="6161" max="6161" width="10.42578125" style="28" customWidth="1"/>
    <col min="6162" max="6162" width="14.42578125" style="28" customWidth="1"/>
    <col min="6163" max="6163" width="10.42578125" style="28" customWidth="1"/>
    <col min="6164" max="6164" width="14.42578125" style="28" customWidth="1"/>
    <col min="6165" max="6165" width="10.42578125" style="28" customWidth="1"/>
    <col min="6166" max="6167" width="14.42578125" style="28" customWidth="1"/>
    <col min="6168" max="6168" width="48.5703125" style="28" customWidth="1"/>
    <col min="6169" max="6169" width="45.5703125" style="28" customWidth="1"/>
    <col min="6170" max="6415" width="9.42578125" style="28"/>
    <col min="6416" max="6416" width="21.5703125" style="28" customWidth="1"/>
    <col min="6417" max="6417" width="10.42578125" style="28" customWidth="1"/>
    <col min="6418" max="6418" width="14.42578125" style="28" customWidth="1"/>
    <col min="6419" max="6419" width="10.42578125" style="28" customWidth="1"/>
    <col min="6420" max="6420" width="14.42578125" style="28" customWidth="1"/>
    <col min="6421" max="6421" width="10.42578125" style="28" customWidth="1"/>
    <col min="6422" max="6423" width="14.42578125" style="28" customWidth="1"/>
    <col min="6424" max="6424" width="48.5703125" style="28" customWidth="1"/>
    <col min="6425" max="6425" width="45.5703125" style="28" customWidth="1"/>
    <col min="6426" max="6671" width="9.42578125" style="28"/>
    <col min="6672" max="6672" width="21.5703125" style="28" customWidth="1"/>
    <col min="6673" max="6673" width="10.42578125" style="28" customWidth="1"/>
    <col min="6674" max="6674" width="14.42578125" style="28" customWidth="1"/>
    <col min="6675" max="6675" width="10.42578125" style="28" customWidth="1"/>
    <col min="6676" max="6676" width="14.42578125" style="28" customWidth="1"/>
    <col min="6677" max="6677" width="10.42578125" style="28" customWidth="1"/>
    <col min="6678" max="6679" width="14.42578125" style="28" customWidth="1"/>
    <col min="6680" max="6680" width="48.5703125" style="28" customWidth="1"/>
    <col min="6681" max="6681" width="45.5703125" style="28" customWidth="1"/>
    <col min="6682" max="6927" width="9.42578125" style="28"/>
    <col min="6928" max="6928" width="21.5703125" style="28" customWidth="1"/>
    <col min="6929" max="6929" width="10.42578125" style="28" customWidth="1"/>
    <col min="6930" max="6930" width="14.42578125" style="28" customWidth="1"/>
    <col min="6931" max="6931" width="10.42578125" style="28" customWidth="1"/>
    <col min="6932" max="6932" width="14.42578125" style="28" customWidth="1"/>
    <col min="6933" max="6933" width="10.42578125" style="28" customWidth="1"/>
    <col min="6934" max="6935" width="14.42578125" style="28" customWidth="1"/>
    <col min="6936" max="6936" width="48.5703125" style="28" customWidth="1"/>
    <col min="6937" max="6937" width="45.5703125" style="28" customWidth="1"/>
    <col min="6938" max="7183" width="9.42578125" style="28"/>
    <col min="7184" max="7184" width="21.5703125" style="28" customWidth="1"/>
    <col min="7185" max="7185" width="10.42578125" style="28" customWidth="1"/>
    <col min="7186" max="7186" width="14.42578125" style="28" customWidth="1"/>
    <col min="7187" max="7187" width="10.42578125" style="28" customWidth="1"/>
    <col min="7188" max="7188" width="14.42578125" style="28" customWidth="1"/>
    <col min="7189" max="7189" width="10.42578125" style="28" customWidth="1"/>
    <col min="7190" max="7191" width="14.42578125" style="28" customWidth="1"/>
    <col min="7192" max="7192" width="48.5703125" style="28" customWidth="1"/>
    <col min="7193" max="7193" width="45.5703125" style="28" customWidth="1"/>
    <col min="7194" max="7439" width="9.42578125" style="28"/>
    <col min="7440" max="7440" width="21.5703125" style="28" customWidth="1"/>
    <col min="7441" max="7441" width="10.42578125" style="28" customWidth="1"/>
    <col min="7442" max="7442" width="14.42578125" style="28" customWidth="1"/>
    <col min="7443" max="7443" width="10.42578125" style="28" customWidth="1"/>
    <col min="7444" max="7444" width="14.42578125" style="28" customWidth="1"/>
    <col min="7445" max="7445" width="10.42578125" style="28" customWidth="1"/>
    <col min="7446" max="7447" width="14.42578125" style="28" customWidth="1"/>
    <col min="7448" max="7448" width="48.5703125" style="28" customWidth="1"/>
    <col min="7449" max="7449" width="45.5703125" style="28" customWidth="1"/>
    <col min="7450" max="7695" width="9.42578125" style="28"/>
    <col min="7696" max="7696" width="21.5703125" style="28" customWidth="1"/>
    <col min="7697" max="7697" width="10.42578125" style="28" customWidth="1"/>
    <col min="7698" max="7698" width="14.42578125" style="28" customWidth="1"/>
    <col min="7699" max="7699" width="10.42578125" style="28" customWidth="1"/>
    <col min="7700" max="7700" width="14.42578125" style="28" customWidth="1"/>
    <col min="7701" max="7701" width="10.42578125" style="28" customWidth="1"/>
    <col min="7702" max="7703" width="14.42578125" style="28" customWidth="1"/>
    <col min="7704" max="7704" width="48.5703125" style="28" customWidth="1"/>
    <col min="7705" max="7705" width="45.5703125" style="28" customWidth="1"/>
    <col min="7706" max="7951" width="9.42578125" style="28"/>
    <col min="7952" max="7952" width="21.5703125" style="28" customWidth="1"/>
    <col min="7953" max="7953" width="10.42578125" style="28" customWidth="1"/>
    <col min="7954" max="7954" width="14.42578125" style="28" customWidth="1"/>
    <col min="7955" max="7955" width="10.42578125" style="28" customWidth="1"/>
    <col min="7956" max="7956" width="14.42578125" style="28" customWidth="1"/>
    <col min="7957" max="7957" width="10.42578125" style="28" customWidth="1"/>
    <col min="7958" max="7959" width="14.42578125" style="28" customWidth="1"/>
    <col min="7960" max="7960" width="48.5703125" style="28" customWidth="1"/>
    <col min="7961" max="7961" width="45.5703125" style="28" customWidth="1"/>
    <col min="7962" max="8207" width="9.42578125" style="28"/>
    <col min="8208" max="8208" width="21.5703125" style="28" customWidth="1"/>
    <col min="8209" max="8209" width="10.42578125" style="28" customWidth="1"/>
    <col min="8210" max="8210" width="14.42578125" style="28" customWidth="1"/>
    <col min="8211" max="8211" width="10.42578125" style="28" customWidth="1"/>
    <col min="8212" max="8212" width="14.42578125" style="28" customWidth="1"/>
    <col min="8213" max="8213" width="10.42578125" style="28" customWidth="1"/>
    <col min="8214" max="8215" width="14.42578125" style="28" customWidth="1"/>
    <col min="8216" max="8216" width="48.5703125" style="28" customWidth="1"/>
    <col min="8217" max="8217" width="45.5703125" style="28" customWidth="1"/>
    <col min="8218" max="8463" width="9.42578125" style="28"/>
    <col min="8464" max="8464" width="21.5703125" style="28" customWidth="1"/>
    <col min="8465" max="8465" width="10.42578125" style="28" customWidth="1"/>
    <col min="8466" max="8466" width="14.42578125" style="28" customWidth="1"/>
    <col min="8467" max="8467" width="10.42578125" style="28" customWidth="1"/>
    <col min="8468" max="8468" width="14.42578125" style="28" customWidth="1"/>
    <col min="8469" max="8469" width="10.42578125" style="28" customWidth="1"/>
    <col min="8470" max="8471" width="14.42578125" style="28" customWidth="1"/>
    <col min="8472" max="8472" width="48.5703125" style="28" customWidth="1"/>
    <col min="8473" max="8473" width="45.5703125" style="28" customWidth="1"/>
    <col min="8474" max="8719" width="9.42578125" style="28"/>
    <col min="8720" max="8720" width="21.5703125" style="28" customWidth="1"/>
    <col min="8721" max="8721" width="10.42578125" style="28" customWidth="1"/>
    <col min="8722" max="8722" width="14.42578125" style="28" customWidth="1"/>
    <col min="8723" max="8723" width="10.42578125" style="28" customWidth="1"/>
    <col min="8724" max="8724" width="14.42578125" style="28" customWidth="1"/>
    <col min="8725" max="8725" width="10.42578125" style="28" customWidth="1"/>
    <col min="8726" max="8727" width="14.42578125" style="28" customWidth="1"/>
    <col min="8728" max="8728" width="48.5703125" style="28" customWidth="1"/>
    <col min="8729" max="8729" width="45.5703125" style="28" customWidth="1"/>
    <col min="8730" max="8975" width="9.42578125" style="28"/>
    <col min="8976" max="8976" width="21.5703125" style="28" customWidth="1"/>
    <col min="8977" max="8977" width="10.42578125" style="28" customWidth="1"/>
    <col min="8978" max="8978" width="14.42578125" style="28" customWidth="1"/>
    <col min="8979" max="8979" width="10.42578125" style="28" customWidth="1"/>
    <col min="8980" max="8980" width="14.42578125" style="28" customWidth="1"/>
    <col min="8981" max="8981" width="10.42578125" style="28" customWidth="1"/>
    <col min="8982" max="8983" width="14.42578125" style="28" customWidth="1"/>
    <col min="8984" max="8984" width="48.5703125" style="28" customWidth="1"/>
    <col min="8985" max="8985" width="45.5703125" style="28" customWidth="1"/>
    <col min="8986" max="9231" width="9.42578125" style="28"/>
    <col min="9232" max="9232" width="21.5703125" style="28" customWidth="1"/>
    <col min="9233" max="9233" width="10.42578125" style="28" customWidth="1"/>
    <col min="9234" max="9234" width="14.42578125" style="28" customWidth="1"/>
    <col min="9235" max="9235" width="10.42578125" style="28" customWidth="1"/>
    <col min="9236" max="9236" width="14.42578125" style="28" customWidth="1"/>
    <col min="9237" max="9237" width="10.42578125" style="28" customWidth="1"/>
    <col min="9238" max="9239" width="14.42578125" style="28" customWidth="1"/>
    <col min="9240" max="9240" width="48.5703125" style="28" customWidth="1"/>
    <col min="9241" max="9241" width="45.5703125" style="28" customWidth="1"/>
    <col min="9242" max="9487" width="9.42578125" style="28"/>
    <col min="9488" max="9488" width="21.5703125" style="28" customWidth="1"/>
    <col min="9489" max="9489" width="10.42578125" style="28" customWidth="1"/>
    <col min="9490" max="9490" width="14.42578125" style="28" customWidth="1"/>
    <col min="9491" max="9491" width="10.42578125" style="28" customWidth="1"/>
    <col min="9492" max="9492" width="14.42578125" style="28" customWidth="1"/>
    <col min="9493" max="9493" width="10.42578125" style="28" customWidth="1"/>
    <col min="9494" max="9495" width="14.42578125" style="28" customWidth="1"/>
    <col min="9496" max="9496" width="48.5703125" style="28" customWidth="1"/>
    <col min="9497" max="9497" width="45.5703125" style="28" customWidth="1"/>
    <col min="9498" max="9743" width="9.42578125" style="28"/>
    <col min="9744" max="9744" width="21.5703125" style="28" customWidth="1"/>
    <col min="9745" max="9745" width="10.42578125" style="28" customWidth="1"/>
    <col min="9746" max="9746" width="14.42578125" style="28" customWidth="1"/>
    <col min="9747" max="9747" width="10.42578125" style="28" customWidth="1"/>
    <col min="9748" max="9748" width="14.42578125" style="28" customWidth="1"/>
    <col min="9749" max="9749" width="10.42578125" style="28" customWidth="1"/>
    <col min="9750" max="9751" width="14.42578125" style="28" customWidth="1"/>
    <col min="9752" max="9752" width="48.5703125" style="28" customWidth="1"/>
    <col min="9753" max="9753" width="45.5703125" style="28" customWidth="1"/>
    <col min="9754" max="9999" width="9.42578125" style="28"/>
    <col min="10000" max="10000" width="21.5703125" style="28" customWidth="1"/>
    <col min="10001" max="10001" width="10.42578125" style="28" customWidth="1"/>
    <col min="10002" max="10002" width="14.42578125" style="28" customWidth="1"/>
    <col min="10003" max="10003" width="10.42578125" style="28" customWidth="1"/>
    <col min="10004" max="10004" width="14.42578125" style="28" customWidth="1"/>
    <col min="10005" max="10005" width="10.42578125" style="28" customWidth="1"/>
    <col min="10006" max="10007" width="14.42578125" style="28" customWidth="1"/>
    <col min="10008" max="10008" width="48.5703125" style="28" customWidth="1"/>
    <col min="10009" max="10009" width="45.5703125" style="28" customWidth="1"/>
    <col min="10010" max="10255" width="9.42578125" style="28"/>
    <col min="10256" max="10256" width="21.5703125" style="28" customWidth="1"/>
    <col min="10257" max="10257" width="10.42578125" style="28" customWidth="1"/>
    <col min="10258" max="10258" width="14.42578125" style="28" customWidth="1"/>
    <col min="10259" max="10259" width="10.42578125" style="28" customWidth="1"/>
    <col min="10260" max="10260" width="14.42578125" style="28" customWidth="1"/>
    <col min="10261" max="10261" width="10.42578125" style="28" customWidth="1"/>
    <col min="10262" max="10263" width="14.42578125" style="28" customWidth="1"/>
    <col min="10264" max="10264" width="48.5703125" style="28" customWidth="1"/>
    <col min="10265" max="10265" width="45.5703125" style="28" customWidth="1"/>
    <col min="10266" max="10511" width="9.42578125" style="28"/>
    <col min="10512" max="10512" width="21.5703125" style="28" customWidth="1"/>
    <col min="10513" max="10513" width="10.42578125" style="28" customWidth="1"/>
    <col min="10514" max="10514" width="14.42578125" style="28" customWidth="1"/>
    <col min="10515" max="10515" width="10.42578125" style="28" customWidth="1"/>
    <col min="10516" max="10516" width="14.42578125" style="28" customWidth="1"/>
    <col min="10517" max="10517" width="10.42578125" style="28" customWidth="1"/>
    <col min="10518" max="10519" width="14.42578125" style="28" customWidth="1"/>
    <col min="10520" max="10520" width="48.5703125" style="28" customWidth="1"/>
    <col min="10521" max="10521" width="45.5703125" style="28" customWidth="1"/>
    <col min="10522" max="10767" width="9.42578125" style="28"/>
    <col min="10768" max="10768" width="21.5703125" style="28" customWidth="1"/>
    <col min="10769" max="10769" width="10.42578125" style="28" customWidth="1"/>
    <col min="10770" max="10770" width="14.42578125" style="28" customWidth="1"/>
    <col min="10771" max="10771" width="10.42578125" style="28" customWidth="1"/>
    <col min="10772" max="10772" width="14.42578125" style="28" customWidth="1"/>
    <col min="10773" max="10773" width="10.42578125" style="28" customWidth="1"/>
    <col min="10774" max="10775" width="14.42578125" style="28" customWidth="1"/>
    <col min="10776" max="10776" width="48.5703125" style="28" customWidth="1"/>
    <col min="10777" max="10777" width="45.5703125" style="28" customWidth="1"/>
    <col min="10778" max="11023" width="9.42578125" style="28"/>
    <col min="11024" max="11024" width="21.5703125" style="28" customWidth="1"/>
    <col min="11025" max="11025" width="10.42578125" style="28" customWidth="1"/>
    <col min="11026" max="11026" width="14.42578125" style="28" customWidth="1"/>
    <col min="11027" max="11027" width="10.42578125" style="28" customWidth="1"/>
    <col min="11028" max="11028" width="14.42578125" style="28" customWidth="1"/>
    <col min="11029" max="11029" width="10.42578125" style="28" customWidth="1"/>
    <col min="11030" max="11031" width="14.42578125" style="28" customWidth="1"/>
    <col min="11032" max="11032" width="48.5703125" style="28" customWidth="1"/>
    <col min="11033" max="11033" width="45.5703125" style="28" customWidth="1"/>
    <col min="11034" max="11279" width="9.42578125" style="28"/>
    <col min="11280" max="11280" width="21.5703125" style="28" customWidth="1"/>
    <col min="11281" max="11281" width="10.42578125" style="28" customWidth="1"/>
    <col min="11282" max="11282" width="14.42578125" style="28" customWidth="1"/>
    <col min="11283" max="11283" width="10.42578125" style="28" customWidth="1"/>
    <col min="11284" max="11284" width="14.42578125" style="28" customWidth="1"/>
    <col min="11285" max="11285" width="10.42578125" style="28" customWidth="1"/>
    <col min="11286" max="11287" width="14.42578125" style="28" customWidth="1"/>
    <col min="11288" max="11288" width="48.5703125" style="28" customWidth="1"/>
    <col min="11289" max="11289" width="45.5703125" style="28" customWidth="1"/>
    <col min="11290" max="11535" width="9.42578125" style="28"/>
    <col min="11536" max="11536" width="21.5703125" style="28" customWidth="1"/>
    <col min="11537" max="11537" width="10.42578125" style="28" customWidth="1"/>
    <col min="11538" max="11538" width="14.42578125" style="28" customWidth="1"/>
    <col min="11539" max="11539" width="10.42578125" style="28" customWidth="1"/>
    <col min="11540" max="11540" width="14.42578125" style="28" customWidth="1"/>
    <col min="11541" max="11541" width="10.42578125" style="28" customWidth="1"/>
    <col min="11542" max="11543" width="14.42578125" style="28" customWidth="1"/>
    <col min="11544" max="11544" width="48.5703125" style="28" customWidth="1"/>
    <col min="11545" max="11545" width="45.5703125" style="28" customWidth="1"/>
    <col min="11546" max="11791" width="9.42578125" style="28"/>
    <col min="11792" max="11792" width="21.5703125" style="28" customWidth="1"/>
    <col min="11793" max="11793" width="10.42578125" style="28" customWidth="1"/>
    <col min="11794" max="11794" width="14.42578125" style="28" customWidth="1"/>
    <col min="11795" max="11795" width="10.42578125" style="28" customWidth="1"/>
    <col min="11796" max="11796" width="14.42578125" style="28" customWidth="1"/>
    <col min="11797" max="11797" width="10.42578125" style="28" customWidth="1"/>
    <col min="11798" max="11799" width="14.42578125" style="28" customWidth="1"/>
    <col min="11800" max="11800" width="48.5703125" style="28" customWidth="1"/>
    <col min="11801" max="11801" width="45.5703125" style="28" customWidth="1"/>
    <col min="11802" max="12047" width="9.42578125" style="28"/>
    <col min="12048" max="12048" width="21.5703125" style="28" customWidth="1"/>
    <col min="12049" max="12049" width="10.42578125" style="28" customWidth="1"/>
    <col min="12050" max="12050" width="14.42578125" style="28" customWidth="1"/>
    <col min="12051" max="12051" width="10.42578125" style="28" customWidth="1"/>
    <col min="12052" max="12052" width="14.42578125" style="28" customWidth="1"/>
    <col min="12053" max="12053" width="10.42578125" style="28" customWidth="1"/>
    <col min="12054" max="12055" width="14.42578125" style="28" customWidth="1"/>
    <col min="12056" max="12056" width="48.5703125" style="28" customWidth="1"/>
    <col min="12057" max="12057" width="45.5703125" style="28" customWidth="1"/>
    <col min="12058" max="12303" width="9.42578125" style="28"/>
    <col min="12304" max="12304" width="21.5703125" style="28" customWidth="1"/>
    <col min="12305" max="12305" width="10.42578125" style="28" customWidth="1"/>
    <col min="12306" max="12306" width="14.42578125" style="28" customWidth="1"/>
    <col min="12307" max="12307" width="10.42578125" style="28" customWidth="1"/>
    <col min="12308" max="12308" width="14.42578125" style="28" customWidth="1"/>
    <col min="12309" max="12309" width="10.42578125" style="28" customWidth="1"/>
    <col min="12310" max="12311" width="14.42578125" style="28" customWidth="1"/>
    <col min="12312" max="12312" width="48.5703125" style="28" customWidth="1"/>
    <col min="12313" max="12313" width="45.5703125" style="28" customWidth="1"/>
    <col min="12314" max="12559" width="9.42578125" style="28"/>
    <col min="12560" max="12560" width="21.5703125" style="28" customWidth="1"/>
    <col min="12561" max="12561" width="10.42578125" style="28" customWidth="1"/>
    <col min="12562" max="12562" width="14.42578125" style="28" customWidth="1"/>
    <col min="12563" max="12563" width="10.42578125" style="28" customWidth="1"/>
    <col min="12564" max="12564" width="14.42578125" style="28" customWidth="1"/>
    <col min="12565" max="12565" width="10.42578125" style="28" customWidth="1"/>
    <col min="12566" max="12567" width="14.42578125" style="28" customWidth="1"/>
    <col min="12568" max="12568" width="48.5703125" style="28" customWidth="1"/>
    <col min="12569" max="12569" width="45.5703125" style="28" customWidth="1"/>
    <col min="12570" max="12815" width="9.42578125" style="28"/>
    <col min="12816" max="12816" width="21.5703125" style="28" customWidth="1"/>
    <col min="12817" max="12817" width="10.42578125" style="28" customWidth="1"/>
    <col min="12818" max="12818" width="14.42578125" style="28" customWidth="1"/>
    <col min="12819" max="12819" width="10.42578125" style="28" customWidth="1"/>
    <col min="12820" max="12820" width="14.42578125" style="28" customWidth="1"/>
    <col min="12821" max="12821" width="10.42578125" style="28" customWidth="1"/>
    <col min="12822" max="12823" width="14.42578125" style="28" customWidth="1"/>
    <col min="12824" max="12824" width="48.5703125" style="28" customWidth="1"/>
    <col min="12825" max="12825" width="45.5703125" style="28" customWidth="1"/>
    <col min="12826" max="13071" width="9.42578125" style="28"/>
    <col min="13072" max="13072" width="21.5703125" style="28" customWidth="1"/>
    <col min="13073" max="13073" width="10.42578125" style="28" customWidth="1"/>
    <col min="13074" max="13074" width="14.42578125" style="28" customWidth="1"/>
    <col min="13075" max="13075" width="10.42578125" style="28" customWidth="1"/>
    <col min="13076" max="13076" width="14.42578125" style="28" customWidth="1"/>
    <col min="13077" max="13077" width="10.42578125" style="28" customWidth="1"/>
    <col min="13078" max="13079" width="14.42578125" style="28" customWidth="1"/>
    <col min="13080" max="13080" width="48.5703125" style="28" customWidth="1"/>
    <col min="13081" max="13081" width="45.5703125" style="28" customWidth="1"/>
    <col min="13082" max="13327" width="9.42578125" style="28"/>
    <col min="13328" max="13328" width="21.5703125" style="28" customWidth="1"/>
    <col min="13329" max="13329" width="10.42578125" style="28" customWidth="1"/>
    <col min="13330" max="13330" width="14.42578125" style="28" customWidth="1"/>
    <col min="13331" max="13331" width="10.42578125" style="28" customWidth="1"/>
    <col min="13332" max="13332" width="14.42578125" style="28" customWidth="1"/>
    <col min="13333" max="13333" width="10.42578125" style="28" customWidth="1"/>
    <col min="13334" max="13335" width="14.42578125" style="28" customWidth="1"/>
    <col min="13336" max="13336" width="48.5703125" style="28" customWidth="1"/>
    <col min="13337" max="13337" width="45.5703125" style="28" customWidth="1"/>
    <col min="13338" max="13583" width="9.42578125" style="28"/>
    <col min="13584" max="13584" width="21.5703125" style="28" customWidth="1"/>
    <col min="13585" max="13585" width="10.42578125" style="28" customWidth="1"/>
    <col min="13586" max="13586" width="14.42578125" style="28" customWidth="1"/>
    <col min="13587" max="13587" width="10.42578125" style="28" customWidth="1"/>
    <col min="13588" max="13588" width="14.42578125" style="28" customWidth="1"/>
    <col min="13589" max="13589" width="10.42578125" style="28" customWidth="1"/>
    <col min="13590" max="13591" width="14.42578125" style="28" customWidth="1"/>
    <col min="13592" max="13592" width="48.5703125" style="28" customWidth="1"/>
    <col min="13593" max="13593" width="45.5703125" style="28" customWidth="1"/>
    <col min="13594" max="13839" width="9.42578125" style="28"/>
    <col min="13840" max="13840" width="21.5703125" style="28" customWidth="1"/>
    <col min="13841" max="13841" width="10.42578125" style="28" customWidth="1"/>
    <col min="13842" max="13842" width="14.42578125" style="28" customWidth="1"/>
    <col min="13843" max="13843" width="10.42578125" style="28" customWidth="1"/>
    <col min="13844" max="13844" width="14.42578125" style="28" customWidth="1"/>
    <col min="13845" max="13845" width="10.42578125" style="28" customWidth="1"/>
    <col min="13846" max="13847" width="14.42578125" style="28" customWidth="1"/>
    <col min="13848" max="13848" width="48.5703125" style="28" customWidth="1"/>
    <col min="13849" max="13849" width="45.5703125" style="28" customWidth="1"/>
    <col min="13850" max="14095" width="9.42578125" style="28"/>
    <col min="14096" max="14096" width="21.5703125" style="28" customWidth="1"/>
    <col min="14097" max="14097" width="10.42578125" style="28" customWidth="1"/>
    <col min="14098" max="14098" width="14.42578125" style="28" customWidth="1"/>
    <col min="14099" max="14099" width="10.42578125" style="28" customWidth="1"/>
    <col min="14100" max="14100" width="14.42578125" style="28" customWidth="1"/>
    <col min="14101" max="14101" width="10.42578125" style="28" customWidth="1"/>
    <col min="14102" max="14103" width="14.42578125" style="28" customWidth="1"/>
    <col min="14104" max="14104" width="48.5703125" style="28" customWidth="1"/>
    <col min="14105" max="14105" width="45.5703125" style="28" customWidth="1"/>
    <col min="14106" max="14351" width="9.42578125" style="28"/>
    <col min="14352" max="14352" width="21.5703125" style="28" customWidth="1"/>
    <col min="14353" max="14353" width="10.42578125" style="28" customWidth="1"/>
    <col min="14354" max="14354" width="14.42578125" style="28" customWidth="1"/>
    <col min="14355" max="14355" width="10.42578125" style="28" customWidth="1"/>
    <col min="14356" max="14356" width="14.42578125" style="28" customWidth="1"/>
    <col min="14357" max="14357" width="10.42578125" style="28" customWidth="1"/>
    <col min="14358" max="14359" width="14.42578125" style="28" customWidth="1"/>
    <col min="14360" max="14360" width="48.5703125" style="28" customWidth="1"/>
    <col min="14361" max="14361" width="45.5703125" style="28" customWidth="1"/>
    <col min="14362" max="14607" width="9.42578125" style="28"/>
    <col min="14608" max="14608" width="21.5703125" style="28" customWidth="1"/>
    <col min="14609" max="14609" width="10.42578125" style="28" customWidth="1"/>
    <col min="14610" max="14610" width="14.42578125" style="28" customWidth="1"/>
    <col min="14611" max="14611" width="10.42578125" style="28" customWidth="1"/>
    <col min="14612" max="14612" width="14.42578125" style="28" customWidth="1"/>
    <col min="14613" max="14613" width="10.42578125" style="28" customWidth="1"/>
    <col min="14614" max="14615" width="14.42578125" style="28" customWidth="1"/>
    <col min="14616" max="14616" width="48.5703125" style="28" customWidth="1"/>
    <col min="14617" max="14617" width="45.5703125" style="28" customWidth="1"/>
    <col min="14618" max="14863" width="9.42578125" style="28"/>
    <col min="14864" max="14864" width="21.5703125" style="28" customWidth="1"/>
    <col min="14865" max="14865" width="10.42578125" style="28" customWidth="1"/>
    <col min="14866" max="14866" width="14.42578125" style="28" customWidth="1"/>
    <col min="14867" max="14867" width="10.42578125" style="28" customWidth="1"/>
    <col min="14868" max="14868" width="14.42578125" style="28" customWidth="1"/>
    <col min="14869" max="14869" width="10.42578125" style="28" customWidth="1"/>
    <col min="14870" max="14871" width="14.42578125" style="28" customWidth="1"/>
    <col min="14872" max="14872" width="48.5703125" style="28" customWidth="1"/>
    <col min="14873" max="14873" width="45.5703125" style="28" customWidth="1"/>
    <col min="14874" max="15119" width="9.42578125" style="28"/>
    <col min="15120" max="15120" width="21.5703125" style="28" customWidth="1"/>
    <col min="15121" max="15121" width="10.42578125" style="28" customWidth="1"/>
    <col min="15122" max="15122" width="14.42578125" style="28" customWidth="1"/>
    <col min="15123" max="15123" width="10.42578125" style="28" customWidth="1"/>
    <col min="15124" max="15124" width="14.42578125" style="28" customWidth="1"/>
    <col min="15125" max="15125" width="10.42578125" style="28" customWidth="1"/>
    <col min="15126" max="15127" width="14.42578125" style="28" customWidth="1"/>
    <col min="15128" max="15128" width="48.5703125" style="28" customWidth="1"/>
    <col min="15129" max="15129" width="45.5703125" style="28" customWidth="1"/>
    <col min="15130" max="15375" width="9.42578125" style="28"/>
    <col min="15376" max="15376" width="21.5703125" style="28" customWidth="1"/>
    <col min="15377" max="15377" width="10.42578125" style="28" customWidth="1"/>
    <col min="15378" max="15378" width="14.42578125" style="28" customWidth="1"/>
    <col min="15379" max="15379" width="10.42578125" style="28" customWidth="1"/>
    <col min="15380" max="15380" width="14.42578125" style="28" customWidth="1"/>
    <col min="15381" max="15381" width="10.42578125" style="28" customWidth="1"/>
    <col min="15382" max="15383" width="14.42578125" style="28" customWidth="1"/>
    <col min="15384" max="15384" width="48.5703125" style="28" customWidth="1"/>
    <col min="15385" max="15385" width="45.5703125" style="28" customWidth="1"/>
    <col min="15386" max="15631" width="9.42578125" style="28"/>
    <col min="15632" max="15632" width="21.5703125" style="28" customWidth="1"/>
    <col min="15633" max="15633" width="10.42578125" style="28" customWidth="1"/>
    <col min="15634" max="15634" width="14.42578125" style="28" customWidth="1"/>
    <col min="15635" max="15635" width="10.42578125" style="28" customWidth="1"/>
    <col min="15636" max="15636" width="14.42578125" style="28" customWidth="1"/>
    <col min="15637" max="15637" width="10.42578125" style="28" customWidth="1"/>
    <col min="15638" max="15639" width="14.42578125" style="28" customWidth="1"/>
    <col min="15640" max="15640" width="48.5703125" style="28" customWidth="1"/>
    <col min="15641" max="15641" width="45.5703125" style="28" customWidth="1"/>
    <col min="15642" max="15887" width="9.42578125" style="28"/>
    <col min="15888" max="15888" width="21.5703125" style="28" customWidth="1"/>
    <col min="15889" max="15889" width="10.42578125" style="28" customWidth="1"/>
    <col min="15890" max="15890" width="14.42578125" style="28" customWidth="1"/>
    <col min="15891" max="15891" width="10.42578125" style="28" customWidth="1"/>
    <col min="15892" max="15892" width="14.42578125" style="28" customWidth="1"/>
    <col min="15893" max="15893" width="10.42578125" style="28" customWidth="1"/>
    <col min="15894" max="15895" width="14.42578125" style="28" customWidth="1"/>
    <col min="15896" max="15896" width="48.5703125" style="28" customWidth="1"/>
    <col min="15897" max="15897" width="45.5703125" style="28" customWidth="1"/>
    <col min="15898" max="16143" width="9.42578125" style="28"/>
    <col min="16144" max="16144" width="21.5703125" style="28" customWidth="1"/>
    <col min="16145" max="16145" width="10.42578125" style="28" customWidth="1"/>
    <col min="16146" max="16146" width="14.42578125" style="28" customWidth="1"/>
    <col min="16147" max="16147" width="10.42578125" style="28" customWidth="1"/>
    <col min="16148" max="16148" width="14.42578125" style="28" customWidth="1"/>
    <col min="16149" max="16149" width="10.42578125" style="28" customWidth="1"/>
    <col min="16150" max="16151" width="14.42578125" style="28" customWidth="1"/>
    <col min="16152" max="16152" width="48.5703125" style="28" customWidth="1"/>
    <col min="16153" max="16153" width="45.5703125" style="28" customWidth="1"/>
    <col min="16154" max="16384" width="9.42578125" style="28"/>
  </cols>
  <sheetData>
    <row r="1" spans="1:31" x14ac:dyDescent="0.25">
      <c r="A1" s="217" t="s">
        <v>34</v>
      </c>
      <c r="B1" s="217"/>
      <c r="C1" s="217"/>
      <c r="D1" s="217"/>
      <c r="E1" s="217"/>
      <c r="F1" s="217"/>
      <c r="G1" s="217"/>
      <c r="H1" s="217"/>
      <c r="I1" s="217"/>
      <c r="J1" s="217"/>
      <c r="K1" s="217"/>
      <c r="L1" s="217"/>
      <c r="M1" s="217"/>
      <c r="N1" s="217"/>
      <c r="O1" s="217"/>
      <c r="P1" s="217"/>
      <c r="Q1" s="217"/>
      <c r="R1" s="217"/>
      <c r="S1" s="217"/>
      <c r="T1" s="217"/>
      <c r="U1" s="217"/>
      <c r="V1" s="217"/>
      <c r="W1" s="217"/>
      <c r="X1" s="217"/>
      <c r="Y1" s="217"/>
      <c r="Z1" s="217"/>
      <c r="AA1" s="217"/>
      <c r="AB1" s="217"/>
      <c r="AC1" s="217"/>
      <c r="AD1" s="217"/>
      <c r="AE1" s="217"/>
    </row>
    <row r="2" spans="1:31" ht="16.5" customHeight="1" thickBot="1" x14ac:dyDescent="0.3">
      <c r="A2" s="218" t="s">
        <v>35</v>
      </c>
      <c r="B2" s="218"/>
      <c r="C2" s="218"/>
      <c r="D2" s="218"/>
      <c r="E2" s="218"/>
      <c r="F2" s="218"/>
      <c r="G2" s="218"/>
      <c r="H2" s="218"/>
      <c r="I2" s="218"/>
      <c r="J2" s="218"/>
      <c r="K2" s="218"/>
      <c r="L2" s="218"/>
      <c r="M2" s="218"/>
      <c r="N2" s="218"/>
      <c r="O2" s="218"/>
      <c r="P2" s="218"/>
      <c r="Q2" s="218"/>
      <c r="R2" s="218"/>
      <c r="S2" s="218"/>
      <c r="T2" s="218"/>
      <c r="U2" s="218"/>
      <c r="V2" s="218"/>
      <c r="W2" s="218"/>
      <c r="X2" s="218"/>
      <c r="Y2" s="218"/>
      <c r="Z2" s="218"/>
      <c r="AA2" s="218"/>
      <c r="AB2" s="218"/>
      <c r="AC2" s="219"/>
      <c r="AD2" s="218"/>
      <c r="AE2" s="218"/>
    </row>
    <row r="3" spans="1:31" x14ac:dyDescent="0.25">
      <c r="A3" s="29" t="s">
        <v>9</v>
      </c>
      <c r="B3" s="220" t="s">
        <v>36</v>
      </c>
      <c r="C3" s="221"/>
      <c r="D3" s="222" t="s">
        <v>36</v>
      </c>
      <c r="E3" s="221"/>
      <c r="F3" s="222" t="s">
        <v>36</v>
      </c>
      <c r="G3" s="221"/>
      <c r="H3" s="222" t="s">
        <v>36</v>
      </c>
      <c r="I3" s="221"/>
      <c r="J3" s="222" t="s">
        <v>36</v>
      </c>
      <c r="K3" s="221"/>
      <c r="L3" s="223" t="s">
        <v>37</v>
      </c>
      <c r="M3" s="224"/>
      <c r="N3" s="29" t="s">
        <v>9</v>
      </c>
      <c r="O3" s="222" t="s">
        <v>36</v>
      </c>
      <c r="P3" s="221"/>
      <c r="Q3" s="215" t="s">
        <v>36</v>
      </c>
      <c r="R3" s="225"/>
      <c r="S3" s="215" t="s">
        <v>36</v>
      </c>
      <c r="T3" s="225"/>
      <c r="U3" s="215" t="s">
        <v>36</v>
      </c>
      <c r="V3" s="225"/>
      <c r="W3" s="215" t="s">
        <v>36</v>
      </c>
      <c r="X3" s="225"/>
      <c r="Y3" s="215" t="s">
        <v>36</v>
      </c>
      <c r="Z3" s="225"/>
      <c r="AA3" s="215" t="s">
        <v>36</v>
      </c>
      <c r="AB3" s="216"/>
      <c r="AC3" s="30" t="s">
        <v>36</v>
      </c>
      <c r="AD3" s="31" t="s">
        <v>36</v>
      </c>
      <c r="AE3" s="212" t="s">
        <v>10</v>
      </c>
    </row>
    <row r="4" spans="1:31" x14ac:dyDescent="0.25">
      <c r="A4" s="29" t="s">
        <v>11</v>
      </c>
      <c r="B4" s="220" t="s">
        <v>13</v>
      </c>
      <c r="C4" s="221"/>
      <c r="D4" s="222" t="s">
        <v>14</v>
      </c>
      <c r="E4" s="221"/>
      <c r="F4" s="222" t="s">
        <v>15</v>
      </c>
      <c r="G4" s="221"/>
      <c r="H4" s="222" t="s">
        <v>16</v>
      </c>
      <c r="I4" s="221"/>
      <c r="J4" s="222" t="s">
        <v>17</v>
      </c>
      <c r="K4" s="221"/>
      <c r="L4" s="223" t="s">
        <v>38</v>
      </c>
      <c r="M4" s="224"/>
      <c r="N4" s="29" t="s">
        <v>11</v>
      </c>
      <c r="O4" s="222" t="s">
        <v>18</v>
      </c>
      <c r="P4" s="221"/>
      <c r="Q4" s="215" t="s">
        <v>19</v>
      </c>
      <c r="R4" s="225"/>
      <c r="S4" s="215" t="s">
        <v>20</v>
      </c>
      <c r="T4" s="225"/>
      <c r="U4" s="215" t="s">
        <v>21</v>
      </c>
      <c r="V4" s="225"/>
      <c r="W4" s="215" t="s">
        <v>22</v>
      </c>
      <c r="X4" s="225"/>
      <c r="Y4" s="215" t="s">
        <v>23</v>
      </c>
      <c r="Z4" s="225"/>
      <c r="AA4" s="215" t="s">
        <v>24</v>
      </c>
      <c r="AB4" s="216"/>
      <c r="AC4" s="32" t="s">
        <v>39</v>
      </c>
      <c r="AD4" s="33" t="s">
        <v>40</v>
      </c>
      <c r="AE4" s="213"/>
    </row>
    <row r="5" spans="1:31" s="42" customFormat="1" ht="10.5" customHeight="1" x14ac:dyDescent="0.25">
      <c r="A5" s="34"/>
      <c r="B5" s="35"/>
      <c r="C5" s="36" t="s">
        <v>25</v>
      </c>
      <c r="D5" s="36"/>
      <c r="E5" s="36" t="s">
        <v>25</v>
      </c>
      <c r="F5" s="36"/>
      <c r="G5" s="36" t="s">
        <v>25</v>
      </c>
      <c r="H5" s="36"/>
      <c r="I5" s="36" t="s">
        <v>25</v>
      </c>
      <c r="J5" s="36"/>
      <c r="K5" s="37" t="s">
        <v>25</v>
      </c>
      <c r="L5" s="37"/>
      <c r="M5" s="37"/>
      <c r="N5" s="34"/>
      <c r="O5" s="36"/>
      <c r="P5" s="36" t="s">
        <v>25</v>
      </c>
      <c r="Q5" s="38"/>
      <c r="R5" s="38" t="s">
        <v>25</v>
      </c>
      <c r="S5" s="38"/>
      <c r="T5" s="38" t="s">
        <v>25</v>
      </c>
      <c r="U5" s="38"/>
      <c r="V5" s="38" t="s">
        <v>25</v>
      </c>
      <c r="W5" s="38"/>
      <c r="X5" s="38" t="s">
        <v>25</v>
      </c>
      <c r="Y5" s="38"/>
      <c r="Z5" s="38" t="s">
        <v>25</v>
      </c>
      <c r="AA5" s="38"/>
      <c r="AB5" s="39" t="s">
        <v>25</v>
      </c>
      <c r="AC5" s="40" t="s">
        <v>25</v>
      </c>
      <c r="AD5" s="41" t="s">
        <v>25</v>
      </c>
      <c r="AE5" s="213"/>
    </row>
    <row r="6" spans="1:31" ht="38.25" x14ac:dyDescent="0.25">
      <c r="A6" s="15" t="s">
        <v>26</v>
      </c>
      <c r="B6" s="43" t="s">
        <v>41</v>
      </c>
      <c r="C6" s="44" t="s">
        <v>28</v>
      </c>
      <c r="D6" s="43" t="s">
        <v>41</v>
      </c>
      <c r="E6" s="44" t="s">
        <v>28</v>
      </c>
      <c r="F6" s="43" t="s">
        <v>41</v>
      </c>
      <c r="G6" s="44" t="s">
        <v>28</v>
      </c>
      <c r="H6" s="43" t="s">
        <v>41</v>
      </c>
      <c r="I6" s="44" t="s">
        <v>28</v>
      </c>
      <c r="J6" s="43" t="s">
        <v>41</v>
      </c>
      <c r="K6" s="46" t="s">
        <v>28</v>
      </c>
      <c r="L6" s="45" t="s">
        <v>41</v>
      </c>
      <c r="M6" s="46" t="s">
        <v>28</v>
      </c>
      <c r="N6" s="15" t="s">
        <v>26</v>
      </c>
      <c r="O6" s="43" t="s">
        <v>41</v>
      </c>
      <c r="P6" s="44" t="s">
        <v>28</v>
      </c>
      <c r="Q6" s="47" t="s">
        <v>42</v>
      </c>
      <c r="R6" s="10" t="s">
        <v>29</v>
      </c>
      <c r="S6" s="47" t="s">
        <v>42</v>
      </c>
      <c r="T6" s="10" t="s">
        <v>29</v>
      </c>
      <c r="U6" s="47" t="s">
        <v>42</v>
      </c>
      <c r="V6" s="10" t="s">
        <v>29</v>
      </c>
      <c r="W6" s="47" t="s">
        <v>42</v>
      </c>
      <c r="X6" s="10" t="s">
        <v>29</v>
      </c>
      <c r="Y6" s="47" t="s">
        <v>43</v>
      </c>
      <c r="Z6" s="10" t="s">
        <v>29</v>
      </c>
      <c r="AA6" s="47" t="s">
        <v>42</v>
      </c>
      <c r="AB6" s="10" t="s">
        <v>29</v>
      </c>
      <c r="AC6" s="10" t="s">
        <v>29</v>
      </c>
      <c r="AD6" s="10" t="s">
        <v>29</v>
      </c>
      <c r="AE6" s="214"/>
    </row>
    <row r="7" spans="1:31" x14ac:dyDescent="0.25">
      <c r="A7" s="48">
        <v>1</v>
      </c>
      <c r="B7" s="49">
        <v>2</v>
      </c>
      <c r="C7" s="50">
        <v>3</v>
      </c>
      <c r="D7" s="50">
        <v>4</v>
      </c>
      <c r="E7" s="50">
        <v>5</v>
      </c>
      <c r="F7" s="50">
        <v>6</v>
      </c>
      <c r="G7" s="50">
        <v>7</v>
      </c>
      <c r="H7" s="50">
        <v>8</v>
      </c>
      <c r="I7" s="50">
        <v>9</v>
      </c>
      <c r="J7" s="50">
        <v>10</v>
      </c>
      <c r="K7" s="178">
        <v>11</v>
      </c>
      <c r="L7" s="51"/>
      <c r="M7" s="51"/>
      <c r="N7" s="48">
        <v>1</v>
      </c>
      <c r="O7" s="50">
        <v>12</v>
      </c>
      <c r="P7" s="52">
        <v>13</v>
      </c>
      <c r="Q7" s="53">
        <v>14</v>
      </c>
      <c r="R7" s="54">
        <v>15</v>
      </c>
      <c r="S7" s="53">
        <v>16</v>
      </c>
      <c r="T7" s="54">
        <v>17</v>
      </c>
      <c r="U7" s="53">
        <v>18</v>
      </c>
      <c r="V7" s="54">
        <v>19</v>
      </c>
      <c r="W7" s="53">
        <v>20</v>
      </c>
      <c r="X7" s="54">
        <v>21</v>
      </c>
      <c r="Y7" s="53">
        <v>22</v>
      </c>
      <c r="Z7" s="54">
        <v>23</v>
      </c>
      <c r="AA7" s="53">
        <v>24</v>
      </c>
      <c r="AB7" s="53">
        <v>25</v>
      </c>
      <c r="AC7" s="53">
        <v>26</v>
      </c>
      <c r="AD7" s="53">
        <v>27</v>
      </c>
      <c r="AE7" s="48">
        <v>28</v>
      </c>
    </row>
    <row r="8" spans="1:31" ht="25.5" x14ac:dyDescent="0.25">
      <c r="A8" s="55" t="s">
        <v>44</v>
      </c>
      <c r="B8" s="56">
        <v>341</v>
      </c>
      <c r="C8" s="57">
        <v>47471.81</v>
      </c>
      <c r="D8" s="58">
        <v>321</v>
      </c>
      <c r="E8" s="57">
        <v>44611.71</v>
      </c>
      <c r="F8" s="58">
        <v>316</v>
      </c>
      <c r="G8" s="57">
        <v>48262.38</v>
      </c>
      <c r="H8" s="58">
        <v>292</v>
      </c>
      <c r="I8" s="57">
        <v>43583.21</v>
      </c>
      <c r="J8" s="59">
        <v>310</v>
      </c>
      <c r="K8" s="179">
        <v>44229.87</v>
      </c>
      <c r="L8" s="60">
        <f t="shared" ref="L8:M40" si="0">B8+D8+F8+H8+J8</f>
        <v>1580</v>
      </c>
      <c r="M8" s="61">
        <f t="shared" si="0"/>
        <v>228158.97999999998</v>
      </c>
      <c r="N8" s="55" t="s">
        <v>44</v>
      </c>
      <c r="O8" s="58">
        <v>290</v>
      </c>
      <c r="P8" s="62">
        <v>41556.879999999997</v>
      </c>
      <c r="Q8" s="63">
        <f t="shared" ref="Q8:R10" si="1">L8/5</f>
        <v>316</v>
      </c>
      <c r="R8" s="64">
        <f t="shared" si="1"/>
        <v>45631.795999999995</v>
      </c>
      <c r="S8" s="63">
        <f t="shared" ref="S8:AB14" si="2">Q8</f>
        <v>316</v>
      </c>
      <c r="T8" s="64">
        <f t="shared" si="2"/>
        <v>45631.795999999995</v>
      </c>
      <c r="U8" s="63">
        <f t="shared" si="2"/>
        <v>316</v>
      </c>
      <c r="V8" s="64">
        <f t="shared" si="2"/>
        <v>45631.795999999995</v>
      </c>
      <c r="W8" s="63">
        <f t="shared" si="2"/>
        <v>316</v>
      </c>
      <c r="X8" s="64">
        <f t="shared" si="2"/>
        <v>45631.795999999995</v>
      </c>
      <c r="Y8" s="63">
        <f t="shared" si="2"/>
        <v>316</v>
      </c>
      <c r="Z8" s="64">
        <f t="shared" si="2"/>
        <v>45631.795999999995</v>
      </c>
      <c r="AA8" s="65">
        <f t="shared" si="2"/>
        <v>316</v>
      </c>
      <c r="AB8" s="64">
        <f t="shared" si="2"/>
        <v>45631.795999999995</v>
      </c>
      <c r="AC8" s="64">
        <f>R8+T8+V8+X8+Z8</f>
        <v>228158.97999999998</v>
      </c>
      <c r="AD8" s="64">
        <f t="shared" ref="AD8:AD16" si="3">M8+P8+R8+T8+V8+X8+Z8+AB8</f>
        <v>543506.63599999982</v>
      </c>
      <c r="AE8" s="66" t="s">
        <v>45</v>
      </c>
    </row>
    <row r="9" spans="1:31" ht="42.4" customHeight="1" x14ac:dyDescent="0.25">
      <c r="A9" s="55" t="s">
        <v>46</v>
      </c>
      <c r="B9" s="56">
        <v>473</v>
      </c>
      <c r="C9" s="57">
        <v>121443.11</v>
      </c>
      <c r="D9" s="58">
        <v>453</v>
      </c>
      <c r="E9" s="57">
        <v>117342.04</v>
      </c>
      <c r="F9" s="58">
        <v>432</v>
      </c>
      <c r="G9" s="57">
        <v>110019.74</v>
      </c>
      <c r="H9" s="58">
        <v>447</v>
      </c>
      <c r="I9" s="57">
        <v>121240.99</v>
      </c>
      <c r="J9" s="59">
        <v>429</v>
      </c>
      <c r="K9" s="179">
        <v>110632.48</v>
      </c>
      <c r="L9" s="60">
        <f t="shared" si="0"/>
        <v>2234</v>
      </c>
      <c r="M9" s="61">
        <f t="shared" si="0"/>
        <v>580678.36</v>
      </c>
      <c r="N9" s="55" t="s">
        <v>46</v>
      </c>
      <c r="O9" s="58">
        <v>410</v>
      </c>
      <c r="P9" s="62">
        <v>104573.21</v>
      </c>
      <c r="Q9" s="67">
        <f t="shared" si="1"/>
        <v>446.8</v>
      </c>
      <c r="R9" s="64">
        <f t="shared" si="1"/>
        <v>116135.67199999999</v>
      </c>
      <c r="S9" s="67">
        <f t="shared" si="2"/>
        <v>446.8</v>
      </c>
      <c r="T9" s="64">
        <f t="shared" si="2"/>
        <v>116135.67199999999</v>
      </c>
      <c r="U9" s="67">
        <f t="shared" si="2"/>
        <v>446.8</v>
      </c>
      <c r="V9" s="64">
        <f t="shared" si="2"/>
        <v>116135.67199999999</v>
      </c>
      <c r="W9" s="67">
        <f t="shared" si="2"/>
        <v>446.8</v>
      </c>
      <c r="X9" s="64">
        <f t="shared" si="2"/>
        <v>116135.67199999999</v>
      </c>
      <c r="Y9" s="67">
        <f t="shared" si="2"/>
        <v>446.8</v>
      </c>
      <c r="Z9" s="64">
        <f t="shared" si="2"/>
        <v>116135.67199999999</v>
      </c>
      <c r="AA9" s="65">
        <f t="shared" si="2"/>
        <v>446.8</v>
      </c>
      <c r="AB9" s="64">
        <f t="shared" si="2"/>
        <v>116135.67199999999</v>
      </c>
      <c r="AC9" s="64">
        <f t="shared" ref="AC9:AC35" si="4">R9+T9+V9+X9+Z9</f>
        <v>580678.36</v>
      </c>
      <c r="AD9" s="64">
        <f t="shared" si="3"/>
        <v>1382065.602</v>
      </c>
      <c r="AE9" s="66" t="s">
        <v>45</v>
      </c>
    </row>
    <row r="10" spans="1:31" ht="39" customHeight="1" x14ac:dyDescent="0.25">
      <c r="A10" s="55" t="s">
        <v>47</v>
      </c>
      <c r="B10" s="56">
        <v>140</v>
      </c>
      <c r="C10" s="57">
        <v>14032.12</v>
      </c>
      <c r="D10" s="58">
        <v>104</v>
      </c>
      <c r="E10" s="57">
        <v>10261.61</v>
      </c>
      <c r="F10" s="58">
        <v>83</v>
      </c>
      <c r="G10" s="57">
        <v>7838.05</v>
      </c>
      <c r="H10" s="58">
        <v>99</v>
      </c>
      <c r="I10" s="57">
        <v>11645.8</v>
      </c>
      <c r="J10" s="59">
        <v>89</v>
      </c>
      <c r="K10" s="179">
        <v>7083.16</v>
      </c>
      <c r="L10" s="60">
        <f t="shared" si="0"/>
        <v>515</v>
      </c>
      <c r="M10" s="61">
        <f t="shared" si="0"/>
        <v>50860.740000000005</v>
      </c>
      <c r="N10" s="55" t="s">
        <v>47</v>
      </c>
      <c r="O10" s="58">
        <v>78</v>
      </c>
      <c r="P10" s="62">
        <v>7225.36</v>
      </c>
      <c r="Q10" s="63">
        <f t="shared" si="1"/>
        <v>103</v>
      </c>
      <c r="R10" s="64">
        <f t="shared" si="1"/>
        <v>10172.148000000001</v>
      </c>
      <c r="S10" s="63">
        <f t="shared" si="2"/>
        <v>103</v>
      </c>
      <c r="T10" s="64">
        <f t="shared" si="2"/>
        <v>10172.148000000001</v>
      </c>
      <c r="U10" s="63">
        <f t="shared" si="2"/>
        <v>103</v>
      </c>
      <c r="V10" s="64">
        <f t="shared" si="2"/>
        <v>10172.148000000001</v>
      </c>
      <c r="W10" s="63">
        <f t="shared" si="2"/>
        <v>103</v>
      </c>
      <c r="X10" s="64">
        <f t="shared" si="2"/>
        <v>10172.148000000001</v>
      </c>
      <c r="Y10" s="63">
        <f t="shared" si="2"/>
        <v>103</v>
      </c>
      <c r="Z10" s="64">
        <f t="shared" si="2"/>
        <v>10172.148000000001</v>
      </c>
      <c r="AA10" s="65">
        <f t="shared" si="2"/>
        <v>103</v>
      </c>
      <c r="AB10" s="64">
        <f t="shared" si="2"/>
        <v>10172.148000000001</v>
      </c>
      <c r="AC10" s="64">
        <f t="shared" si="4"/>
        <v>50860.740000000005</v>
      </c>
      <c r="AD10" s="64">
        <f t="shared" si="3"/>
        <v>119118.98800000001</v>
      </c>
      <c r="AE10" s="66" t="s">
        <v>45</v>
      </c>
    </row>
    <row r="11" spans="1:31" ht="35.65" customHeight="1" x14ac:dyDescent="0.25">
      <c r="A11" s="55" t="s">
        <v>48</v>
      </c>
      <c r="B11" s="56">
        <v>6671</v>
      </c>
      <c r="C11" s="57">
        <v>567520.88</v>
      </c>
      <c r="D11" s="58">
        <v>6308</v>
      </c>
      <c r="E11" s="57">
        <v>545157.77</v>
      </c>
      <c r="F11" s="58">
        <v>6119</v>
      </c>
      <c r="G11" s="57">
        <v>527272.93999999994</v>
      </c>
      <c r="H11" s="58">
        <v>5471</v>
      </c>
      <c r="I11" s="57">
        <v>440922.64</v>
      </c>
      <c r="J11" s="59">
        <v>4898</v>
      </c>
      <c r="K11" s="179">
        <v>404017.96</v>
      </c>
      <c r="L11" s="60">
        <f t="shared" si="0"/>
        <v>29467</v>
      </c>
      <c r="M11" s="61">
        <f t="shared" si="0"/>
        <v>2484892.19</v>
      </c>
      <c r="N11" s="55" t="s">
        <v>48</v>
      </c>
      <c r="O11" s="58">
        <v>4416</v>
      </c>
      <c r="P11" s="62">
        <v>361883.32</v>
      </c>
      <c r="Q11" s="67">
        <f>L11/5</f>
        <v>5893.4</v>
      </c>
      <c r="R11" s="64">
        <f>M11/5*1.15</f>
        <v>571525.20369999995</v>
      </c>
      <c r="S11" s="67">
        <f t="shared" si="2"/>
        <v>5893.4</v>
      </c>
      <c r="T11" s="64">
        <f t="shared" si="2"/>
        <v>571525.20369999995</v>
      </c>
      <c r="U11" s="67">
        <f t="shared" si="2"/>
        <v>5893.4</v>
      </c>
      <c r="V11" s="64">
        <f t="shared" si="2"/>
        <v>571525.20369999995</v>
      </c>
      <c r="W11" s="67">
        <f t="shared" si="2"/>
        <v>5893.4</v>
      </c>
      <c r="X11" s="64">
        <f t="shared" si="2"/>
        <v>571525.20369999995</v>
      </c>
      <c r="Y11" s="67">
        <f t="shared" si="2"/>
        <v>5893.4</v>
      </c>
      <c r="Z11" s="64">
        <f t="shared" si="2"/>
        <v>571525.20369999995</v>
      </c>
      <c r="AA11" s="65">
        <f t="shared" si="2"/>
        <v>5893.4</v>
      </c>
      <c r="AB11" s="64">
        <f t="shared" si="2"/>
        <v>571525.20369999995</v>
      </c>
      <c r="AC11" s="64">
        <f t="shared" si="4"/>
        <v>2857626.0184999998</v>
      </c>
      <c r="AD11" s="64">
        <f t="shared" si="3"/>
        <v>6275926.7322000004</v>
      </c>
      <c r="AE11" s="66" t="s">
        <v>49</v>
      </c>
    </row>
    <row r="12" spans="1:31" ht="27" customHeight="1" x14ac:dyDescent="0.25">
      <c r="A12" s="55" t="s">
        <v>50</v>
      </c>
      <c r="B12" s="56">
        <v>816</v>
      </c>
      <c r="C12" s="57">
        <v>202370</v>
      </c>
      <c r="D12" s="58">
        <v>628</v>
      </c>
      <c r="E12" s="57">
        <v>156356</v>
      </c>
      <c r="F12" s="58">
        <v>605</v>
      </c>
      <c r="G12" s="57">
        <v>152674</v>
      </c>
      <c r="H12" s="58">
        <v>423</v>
      </c>
      <c r="I12" s="57">
        <v>104716</v>
      </c>
      <c r="J12" s="59">
        <v>363</v>
      </c>
      <c r="K12" s="179">
        <v>90150</v>
      </c>
      <c r="L12" s="60">
        <f t="shared" si="0"/>
        <v>2835</v>
      </c>
      <c r="M12" s="61">
        <f t="shared" si="0"/>
        <v>706266</v>
      </c>
      <c r="N12" s="55" t="s">
        <v>50</v>
      </c>
      <c r="O12" s="58">
        <v>446</v>
      </c>
      <c r="P12" s="62">
        <v>113948</v>
      </c>
      <c r="Q12" s="63">
        <f>L12/5</f>
        <v>567</v>
      </c>
      <c r="R12" s="64">
        <f>M12/5</f>
        <v>141253.20000000001</v>
      </c>
      <c r="S12" s="63">
        <f t="shared" si="2"/>
        <v>567</v>
      </c>
      <c r="T12" s="64">
        <f t="shared" si="2"/>
        <v>141253.20000000001</v>
      </c>
      <c r="U12" s="63">
        <f t="shared" si="2"/>
        <v>567</v>
      </c>
      <c r="V12" s="64">
        <f t="shared" si="2"/>
        <v>141253.20000000001</v>
      </c>
      <c r="W12" s="63">
        <f t="shared" si="2"/>
        <v>567</v>
      </c>
      <c r="X12" s="64">
        <f t="shared" si="2"/>
        <v>141253.20000000001</v>
      </c>
      <c r="Y12" s="63">
        <f t="shared" si="2"/>
        <v>567</v>
      </c>
      <c r="Z12" s="64">
        <f t="shared" si="2"/>
        <v>141253.20000000001</v>
      </c>
      <c r="AA12" s="65">
        <f t="shared" si="2"/>
        <v>567</v>
      </c>
      <c r="AB12" s="64">
        <f t="shared" si="2"/>
        <v>141253.20000000001</v>
      </c>
      <c r="AC12" s="64">
        <f t="shared" si="4"/>
        <v>706266</v>
      </c>
      <c r="AD12" s="64">
        <f t="shared" si="3"/>
        <v>1667733.1999999997</v>
      </c>
      <c r="AE12" s="66" t="s">
        <v>45</v>
      </c>
    </row>
    <row r="13" spans="1:31" ht="40.15" customHeight="1" x14ac:dyDescent="0.25">
      <c r="A13" s="55" t="s">
        <v>51</v>
      </c>
      <c r="B13" s="56">
        <v>5156</v>
      </c>
      <c r="C13" s="57">
        <v>716601.25</v>
      </c>
      <c r="D13" s="58">
        <v>5655</v>
      </c>
      <c r="E13" s="57">
        <v>888002.39</v>
      </c>
      <c r="F13" s="58">
        <v>6018</v>
      </c>
      <c r="G13" s="57">
        <v>976591.67</v>
      </c>
      <c r="H13" s="58">
        <v>5911</v>
      </c>
      <c r="I13" s="57">
        <v>893401.79</v>
      </c>
      <c r="J13" s="59">
        <v>5694</v>
      </c>
      <c r="K13" s="179">
        <v>718064.93</v>
      </c>
      <c r="L13" s="60">
        <f t="shared" si="0"/>
        <v>28434</v>
      </c>
      <c r="M13" s="61">
        <f t="shared" si="0"/>
        <v>4192662.0300000003</v>
      </c>
      <c r="N13" s="55" t="s">
        <v>51</v>
      </c>
      <c r="O13" s="58">
        <v>4437</v>
      </c>
      <c r="P13" s="62">
        <v>473345.1</v>
      </c>
      <c r="Q13" s="67">
        <f>L13/5*0.95</f>
        <v>5402.46</v>
      </c>
      <c r="R13" s="64">
        <f>M13/5*0.95</f>
        <v>796605.78570000001</v>
      </c>
      <c r="S13" s="67">
        <f t="shared" si="2"/>
        <v>5402.46</v>
      </c>
      <c r="T13" s="64">
        <f t="shared" si="2"/>
        <v>796605.78570000001</v>
      </c>
      <c r="U13" s="67">
        <f t="shared" si="2"/>
        <v>5402.46</v>
      </c>
      <c r="V13" s="64">
        <f t="shared" si="2"/>
        <v>796605.78570000001</v>
      </c>
      <c r="W13" s="67">
        <f t="shared" si="2"/>
        <v>5402.46</v>
      </c>
      <c r="X13" s="64">
        <f t="shared" si="2"/>
        <v>796605.78570000001</v>
      </c>
      <c r="Y13" s="67">
        <f>L13/5</f>
        <v>5686.8</v>
      </c>
      <c r="Z13" s="64">
        <f>M13/5</f>
        <v>838532.40600000008</v>
      </c>
      <c r="AA13" s="65">
        <f>Y13</f>
        <v>5686.8</v>
      </c>
      <c r="AB13" s="64">
        <f>Z13</f>
        <v>838532.40600000008</v>
      </c>
      <c r="AC13" s="64">
        <f t="shared" si="4"/>
        <v>4024955.5488</v>
      </c>
      <c r="AD13" s="64">
        <f t="shared" si="3"/>
        <v>9529495.0847999994</v>
      </c>
      <c r="AE13" s="66" t="s">
        <v>52</v>
      </c>
    </row>
    <row r="14" spans="1:31" ht="27.4" customHeight="1" x14ac:dyDescent="0.25">
      <c r="A14" s="55" t="s">
        <v>53</v>
      </c>
      <c r="B14" s="56">
        <v>573</v>
      </c>
      <c r="C14" s="57">
        <v>50357.46</v>
      </c>
      <c r="D14" s="58">
        <v>657</v>
      </c>
      <c r="E14" s="57">
        <v>60892.6</v>
      </c>
      <c r="F14" s="58">
        <v>715</v>
      </c>
      <c r="G14" s="57">
        <v>80793.960000000006</v>
      </c>
      <c r="H14" s="58">
        <v>660</v>
      </c>
      <c r="I14" s="57">
        <v>77020.94</v>
      </c>
      <c r="J14" s="59">
        <v>540</v>
      </c>
      <c r="K14" s="179">
        <v>61048.88</v>
      </c>
      <c r="L14" s="60">
        <f t="shared" si="0"/>
        <v>3145</v>
      </c>
      <c r="M14" s="61">
        <f t="shared" si="0"/>
        <v>330113.84000000003</v>
      </c>
      <c r="N14" s="55" t="s">
        <v>53</v>
      </c>
      <c r="O14" s="58">
        <v>507</v>
      </c>
      <c r="P14" s="62">
        <v>75253.58</v>
      </c>
      <c r="Q14" s="63">
        <f>L14/5</f>
        <v>629</v>
      </c>
      <c r="R14" s="64">
        <f>M14/5</f>
        <v>66022.768000000011</v>
      </c>
      <c r="S14" s="63">
        <f t="shared" si="2"/>
        <v>629</v>
      </c>
      <c r="T14" s="64">
        <f t="shared" si="2"/>
        <v>66022.768000000011</v>
      </c>
      <c r="U14" s="63">
        <f t="shared" si="2"/>
        <v>629</v>
      </c>
      <c r="V14" s="64">
        <f t="shared" si="2"/>
        <v>66022.768000000011</v>
      </c>
      <c r="W14" s="63">
        <f t="shared" si="2"/>
        <v>629</v>
      </c>
      <c r="X14" s="64">
        <f t="shared" si="2"/>
        <v>66022.768000000011</v>
      </c>
      <c r="Y14" s="63">
        <f>W14</f>
        <v>629</v>
      </c>
      <c r="Z14" s="64">
        <f>X14</f>
        <v>66022.768000000011</v>
      </c>
      <c r="AA14" s="65">
        <f>Y14</f>
        <v>629</v>
      </c>
      <c r="AB14" s="64">
        <f>Z14</f>
        <v>66022.768000000011</v>
      </c>
      <c r="AC14" s="64">
        <f t="shared" si="4"/>
        <v>330113.84000000008</v>
      </c>
      <c r="AD14" s="64">
        <f t="shared" si="3"/>
        <v>801504.02800000028</v>
      </c>
      <c r="AE14" s="66" t="s">
        <v>45</v>
      </c>
    </row>
    <row r="15" spans="1:31" ht="40.9" customHeight="1" x14ac:dyDescent="0.25">
      <c r="A15" s="55" t="s">
        <v>54</v>
      </c>
      <c r="B15" s="56">
        <v>5</v>
      </c>
      <c r="C15" s="57">
        <v>1146.28</v>
      </c>
      <c r="D15" s="58">
        <v>6</v>
      </c>
      <c r="E15" s="57">
        <v>1437.05</v>
      </c>
      <c r="F15" s="58">
        <v>8</v>
      </c>
      <c r="G15" s="57">
        <v>1524.47</v>
      </c>
      <c r="H15" s="58">
        <v>7</v>
      </c>
      <c r="I15" s="57">
        <v>1701.9</v>
      </c>
      <c r="J15" s="59">
        <v>5</v>
      </c>
      <c r="K15" s="179">
        <v>1273.94</v>
      </c>
      <c r="L15" s="60">
        <f t="shared" si="0"/>
        <v>31</v>
      </c>
      <c r="M15" s="61">
        <f t="shared" si="0"/>
        <v>7083.6400000000012</v>
      </c>
      <c r="N15" s="55" t="s">
        <v>54</v>
      </c>
      <c r="O15" s="58">
        <v>9</v>
      </c>
      <c r="P15" s="62">
        <v>3780.06</v>
      </c>
      <c r="Q15" s="67">
        <f>L15/5+1</f>
        <v>7.2</v>
      </c>
      <c r="R15" s="64">
        <f>M15/L15*Q15</f>
        <v>1645.2325161290328</v>
      </c>
      <c r="S15" s="67">
        <f>Q15+1</f>
        <v>8.1999999999999993</v>
      </c>
      <c r="T15" s="64">
        <f>R15/Q15*S15</f>
        <v>1873.7370322580648</v>
      </c>
      <c r="U15" s="67">
        <f>S15+1</f>
        <v>9.1999999999999993</v>
      </c>
      <c r="V15" s="64">
        <f>T15/S15*U15</f>
        <v>2102.2415483870973</v>
      </c>
      <c r="W15" s="67">
        <f>U15+1</f>
        <v>10.199999999999999</v>
      </c>
      <c r="X15" s="64">
        <f>V15/U15*W15</f>
        <v>2330.7460645161295</v>
      </c>
      <c r="Y15" s="67">
        <f>W15+1</f>
        <v>11.2</v>
      </c>
      <c r="Z15" s="64">
        <f>X15/W15*Y15</f>
        <v>2559.2505806451618</v>
      </c>
      <c r="AA15" s="65">
        <f>Y15+1</f>
        <v>12.2</v>
      </c>
      <c r="AB15" s="64">
        <f>Z15/Y15*AA15</f>
        <v>2787.755096774194</v>
      </c>
      <c r="AC15" s="64">
        <f t="shared" si="4"/>
        <v>10511.207741935486</v>
      </c>
      <c r="AD15" s="64">
        <f t="shared" si="3"/>
        <v>24162.662838709683</v>
      </c>
      <c r="AE15" s="68" t="s">
        <v>55</v>
      </c>
    </row>
    <row r="16" spans="1:31" ht="40.9" customHeight="1" x14ac:dyDescent="0.25">
      <c r="A16" s="55" t="s">
        <v>56</v>
      </c>
      <c r="B16" s="56"/>
      <c r="C16" s="57"/>
      <c r="D16" s="58"/>
      <c r="E16" s="57"/>
      <c r="F16" s="58"/>
      <c r="G16" s="57"/>
      <c r="H16" s="58"/>
      <c r="I16" s="57"/>
      <c r="J16" s="59">
        <v>0</v>
      </c>
      <c r="K16" s="179">
        <v>0</v>
      </c>
      <c r="L16" s="60">
        <f t="shared" si="0"/>
        <v>0</v>
      </c>
      <c r="M16" s="61">
        <f t="shared" si="0"/>
        <v>0</v>
      </c>
      <c r="N16" s="55" t="s">
        <v>56</v>
      </c>
      <c r="O16" s="58"/>
      <c r="P16" s="62"/>
      <c r="Q16" s="63"/>
      <c r="R16" s="64"/>
      <c r="S16" s="63"/>
      <c r="T16" s="64"/>
      <c r="U16" s="63"/>
      <c r="V16" s="64"/>
      <c r="W16" s="63"/>
      <c r="X16" s="64"/>
      <c r="Y16" s="63"/>
      <c r="Z16" s="64"/>
      <c r="AA16" s="69"/>
      <c r="AB16" s="64"/>
      <c r="AC16" s="64">
        <f t="shared" si="4"/>
        <v>0</v>
      </c>
      <c r="AD16" s="64">
        <f t="shared" si="3"/>
        <v>0</v>
      </c>
      <c r="AE16" s="66"/>
    </row>
    <row r="17" spans="1:31" ht="49.5" customHeight="1" x14ac:dyDescent="0.25">
      <c r="A17" s="55" t="s">
        <v>57</v>
      </c>
      <c r="B17" s="56"/>
      <c r="C17" s="57"/>
      <c r="D17" s="58">
        <v>6</v>
      </c>
      <c r="E17" s="57">
        <v>1657.28</v>
      </c>
      <c r="F17" s="58">
        <v>4</v>
      </c>
      <c r="G17" s="57">
        <v>242</v>
      </c>
      <c r="H17" s="58">
        <v>4</v>
      </c>
      <c r="I17" s="57">
        <v>864.38</v>
      </c>
      <c r="J17" s="59">
        <v>2</v>
      </c>
      <c r="K17" s="179">
        <v>1083.2</v>
      </c>
      <c r="L17" s="60">
        <f t="shared" si="0"/>
        <v>16</v>
      </c>
      <c r="M17" s="61">
        <f t="shared" si="0"/>
        <v>3846.8599999999997</v>
      </c>
      <c r="N17" s="55" t="s">
        <v>57</v>
      </c>
      <c r="O17" s="58">
        <v>2</v>
      </c>
      <c r="P17" s="62">
        <v>4205.6000000000004</v>
      </c>
      <c r="Q17" s="63">
        <f>L17/4</f>
        <v>4</v>
      </c>
      <c r="R17" s="64">
        <f>K17/J17*Q17</f>
        <v>2166.4</v>
      </c>
      <c r="S17" s="63">
        <f t="shared" ref="S17:AB18" si="5">Q17</f>
        <v>4</v>
      </c>
      <c r="T17" s="64">
        <f t="shared" si="5"/>
        <v>2166.4</v>
      </c>
      <c r="U17" s="63">
        <f t="shared" si="5"/>
        <v>4</v>
      </c>
      <c r="V17" s="64">
        <f t="shared" si="5"/>
        <v>2166.4</v>
      </c>
      <c r="W17" s="63">
        <f t="shared" si="5"/>
        <v>4</v>
      </c>
      <c r="X17" s="64">
        <f t="shared" si="5"/>
        <v>2166.4</v>
      </c>
      <c r="Y17" s="63">
        <f t="shared" si="5"/>
        <v>4</v>
      </c>
      <c r="Z17" s="64">
        <f t="shared" si="5"/>
        <v>2166.4</v>
      </c>
      <c r="AA17" s="65">
        <f t="shared" si="5"/>
        <v>4</v>
      </c>
      <c r="AB17" s="64">
        <f t="shared" si="5"/>
        <v>2166.4</v>
      </c>
      <c r="AC17" s="64">
        <f t="shared" si="4"/>
        <v>10832</v>
      </c>
      <c r="AD17" s="64">
        <f>M17+P17+R17+T17+V17+X17+Z17</f>
        <v>18884.460000000003</v>
      </c>
      <c r="AE17" s="68" t="s">
        <v>58</v>
      </c>
    </row>
    <row r="18" spans="1:31" ht="61.15" customHeight="1" x14ac:dyDescent="0.25">
      <c r="A18" s="55" t="s">
        <v>59</v>
      </c>
      <c r="B18" s="56">
        <v>1</v>
      </c>
      <c r="C18" s="57">
        <v>713</v>
      </c>
      <c r="D18" s="58">
        <v>1</v>
      </c>
      <c r="E18" s="57">
        <v>902.1</v>
      </c>
      <c r="F18" s="58">
        <v>1</v>
      </c>
      <c r="G18" s="57">
        <v>814.8</v>
      </c>
      <c r="H18" s="58">
        <v>1</v>
      </c>
      <c r="I18" s="57">
        <v>902.1</v>
      </c>
      <c r="J18" s="59">
        <v>0</v>
      </c>
      <c r="K18" s="179">
        <v>0</v>
      </c>
      <c r="L18" s="60">
        <f t="shared" si="0"/>
        <v>4</v>
      </c>
      <c r="M18" s="61">
        <f t="shared" si="0"/>
        <v>3331.9999999999995</v>
      </c>
      <c r="N18" s="55" t="s">
        <v>59</v>
      </c>
      <c r="O18" s="58">
        <v>1</v>
      </c>
      <c r="P18" s="62">
        <v>420</v>
      </c>
      <c r="Q18" s="63">
        <f>H18</f>
        <v>1</v>
      </c>
      <c r="R18" s="64">
        <f>I18</f>
        <v>902.1</v>
      </c>
      <c r="S18" s="63">
        <f t="shared" si="5"/>
        <v>1</v>
      </c>
      <c r="T18" s="64">
        <f t="shared" si="5"/>
        <v>902.1</v>
      </c>
      <c r="U18" s="63">
        <f t="shared" si="5"/>
        <v>1</v>
      </c>
      <c r="V18" s="64">
        <f t="shared" si="5"/>
        <v>902.1</v>
      </c>
      <c r="W18" s="63">
        <f t="shared" si="5"/>
        <v>1</v>
      </c>
      <c r="X18" s="64">
        <f t="shared" si="5"/>
        <v>902.1</v>
      </c>
      <c r="Y18" s="63">
        <f t="shared" si="5"/>
        <v>1</v>
      </c>
      <c r="Z18" s="64">
        <f t="shared" si="5"/>
        <v>902.1</v>
      </c>
      <c r="AA18" s="65">
        <f t="shared" si="5"/>
        <v>1</v>
      </c>
      <c r="AB18" s="64">
        <f t="shared" si="5"/>
        <v>902.1</v>
      </c>
      <c r="AC18" s="64">
        <f t="shared" si="4"/>
        <v>4510.5</v>
      </c>
      <c r="AD18" s="64">
        <f t="shared" ref="AD18:AD81" si="6">M18+P18+R18+T18+V18+X18+Z18</f>
        <v>8262.5</v>
      </c>
      <c r="AE18" s="68" t="s">
        <v>45</v>
      </c>
    </row>
    <row r="19" spans="1:31" ht="49.9" customHeight="1" x14ac:dyDescent="0.25">
      <c r="A19" s="55" t="s">
        <v>60</v>
      </c>
      <c r="B19" s="56">
        <v>8</v>
      </c>
      <c r="C19" s="57">
        <v>9667.9</v>
      </c>
      <c r="D19" s="58">
        <v>11</v>
      </c>
      <c r="E19" s="57">
        <v>11290.47</v>
      </c>
      <c r="F19" s="58">
        <v>13</v>
      </c>
      <c r="G19" s="57">
        <v>13814.07</v>
      </c>
      <c r="H19" s="58">
        <v>13</v>
      </c>
      <c r="I19" s="57">
        <v>16908.62</v>
      </c>
      <c r="J19" s="59">
        <v>15</v>
      </c>
      <c r="K19" s="179">
        <v>17091.38</v>
      </c>
      <c r="L19" s="60">
        <f t="shared" si="0"/>
        <v>60</v>
      </c>
      <c r="M19" s="61">
        <f t="shared" si="0"/>
        <v>68772.44</v>
      </c>
      <c r="N19" s="55" t="s">
        <v>60</v>
      </c>
      <c r="O19" s="58">
        <v>19</v>
      </c>
      <c r="P19" s="62">
        <v>26343.07</v>
      </c>
      <c r="Q19" s="70">
        <f>J19+1</f>
        <v>16</v>
      </c>
      <c r="R19" s="64">
        <f>K19/J19*Q19</f>
        <v>18230.805333333334</v>
      </c>
      <c r="S19" s="70">
        <f>Q19+1</f>
        <v>17</v>
      </c>
      <c r="T19" s="64">
        <f>R19/Q19*S19</f>
        <v>19370.230666666666</v>
      </c>
      <c r="U19" s="70">
        <f>S19+1</f>
        <v>18</v>
      </c>
      <c r="V19" s="64">
        <f>T19/S19*U19</f>
        <v>20509.655999999999</v>
      </c>
      <c r="W19" s="70">
        <f>U19+1</f>
        <v>19</v>
      </c>
      <c r="X19" s="64">
        <f>V19/U19*W19</f>
        <v>21649.081333333335</v>
      </c>
      <c r="Y19" s="70">
        <f>W19+1</f>
        <v>20</v>
      </c>
      <c r="Z19" s="64">
        <f>X19/W19*Y19</f>
        <v>22788.506666666668</v>
      </c>
      <c r="AA19" s="65">
        <f>Y19+1</f>
        <v>21</v>
      </c>
      <c r="AB19" s="64">
        <f>Z19/Y19*AA19</f>
        <v>23927.932000000001</v>
      </c>
      <c r="AC19" s="64">
        <f t="shared" si="4"/>
        <v>102548.28</v>
      </c>
      <c r="AD19" s="64">
        <f t="shared" si="6"/>
        <v>197663.78999999998</v>
      </c>
      <c r="AE19" s="68" t="s">
        <v>55</v>
      </c>
    </row>
    <row r="20" spans="1:31" ht="61.5" customHeight="1" x14ac:dyDescent="0.25">
      <c r="A20" s="55" t="s">
        <v>61</v>
      </c>
      <c r="B20" s="56">
        <v>94</v>
      </c>
      <c r="C20" s="57">
        <v>25857.87</v>
      </c>
      <c r="D20" s="58">
        <v>106</v>
      </c>
      <c r="E20" s="57">
        <v>35396.92</v>
      </c>
      <c r="F20" s="58">
        <v>82</v>
      </c>
      <c r="G20" s="57">
        <v>21862.73</v>
      </c>
      <c r="H20" s="58">
        <v>76</v>
      </c>
      <c r="I20" s="57">
        <v>22283.01</v>
      </c>
      <c r="J20" s="59">
        <v>84</v>
      </c>
      <c r="K20" s="179">
        <v>20672.900000000001</v>
      </c>
      <c r="L20" s="60">
        <f t="shared" si="0"/>
        <v>442</v>
      </c>
      <c r="M20" s="61">
        <f t="shared" si="0"/>
        <v>126073.43</v>
      </c>
      <c r="N20" s="55" t="s">
        <v>61</v>
      </c>
      <c r="O20" s="58">
        <v>101</v>
      </c>
      <c r="P20" s="62">
        <v>24287.69</v>
      </c>
      <c r="Q20" s="71">
        <f>L20/5</f>
        <v>88.4</v>
      </c>
      <c r="R20" s="72">
        <f>M20/5</f>
        <v>25214.685999999998</v>
      </c>
      <c r="S20" s="71">
        <f t="shared" ref="S20:AB21" si="7">Q20</f>
        <v>88.4</v>
      </c>
      <c r="T20" s="72">
        <f t="shared" si="7"/>
        <v>25214.685999999998</v>
      </c>
      <c r="U20" s="71">
        <f t="shared" si="7"/>
        <v>88.4</v>
      </c>
      <c r="V20" s="72">
        <f t="shared" si="7"/>
        <v>25214.685999999998</v>
      </c>
      <c r="W20" s="71">
        <f t="shared" si="7"/>
        <v>88.4</v>
      </c>
      <c r="X20" s="72">
        <f t="shared" si="7"/>
        <v>25214.685999999998</v>
      </c>
      <c r="Y20" s="71">
        <f t="shared" si="7"/>
        <v>88.4</v>
      </c>
      <c r="Z20" s="72">
        <f t="shared" si="7"/>
        <v>25214.685999999998</v>
      </c>
      <c r="AA20" s="73">
        <f t="shared" si="7"/>
        <v>88.4</v>
      </c>
      <c r="AB20" s="72">
        <f t="shared" si="7"/>
        <v>25214.685999999998</v>
      </c>
      <c r="AC20" s="64">
        <f t="shared" si="4"/>
        <v>126073.43</v>
      </c>
      <c r="AD20" s="64">
        <f t="shared" si="6"/>
        <v>276434.54999999993</v>
      </c>
      <c r="AE20" s="68" t="s">
        <v>45</v>
      </c>
    </row>
    <row r="21" spans="1:31" x14ac:dyDescent="0.25">
      <c r="A21" s="55" t="s">
        <v>62</v>
      </c>
      <c r="B21" s="56">
        <v>94</v>
      </c>
      <c r="C21" s="57">
        <v>25857.87</v>
      </c>
      <c r="D21" s="58">
        <v>106</v>
      </c>
      <c r="E21" s="57">
        <v>35396.92</v>
      </c>
      <c r="F21" s="58">
        <v>82</v>
      </c>
      <c r="G21" s="57">
        <v>21862.73</v>
      </c>
      <c r="H21" s="58">
        <v>76</v>
      </c>
      <c r="I21" s="57">
        <v>22283.01</v>
      </c>
      <c r="J21" s="59">
        <v>84</v>
      </c>
      <c r="K21" s="179">
        <v>20672.900000000001</v>
      </c>
      <c r="L21" s="60">
        <f t="shared" si="0"/>
        <v>442</v>
      </c>
      <c r="M21" s="61">
        <f t="shared" si="0"/>
        <v>126073.43</v>
      </c>
      <c r="N21" s="55" t="s">
        <v>62</v>
      </c>
      <c r="O21" s="58">
        <v>101</v>
      </c>
      <c r="P21" s="62">
        <v>24287.69</v>
      </c>
      <c r="Q21" s="74">
        <f>L21/5</f>
        <v>88.4</v>
      </c>
      <c r="R21" s="75">
        <f>M21/5</f>
        <v>25214.685999999998</v>
      </c>
      <c r="S21" s="74">
        <f t="shared" si="7"/>
        <v>88.4</v>
      </c>
      <c r="T21" s="75">
        <f t="shared" si="7"/>
        <v>25214.685999999998</v>
      </c>
      <c r="U21" s="74">
        <f t="shared" si="7"/>
        <v>88.4</v>
      </c>
      <c r="V21" s="75">
        <f t="shared" si="7"/>
        <v>25214.685999999998</v>
      </c>
      <c r="W21" s="74">
        <f t="shared" si="7"/>
        <v>88.4</v>
      </c>
      <c r="X21" s="75">
        <f t="shared" si="7"/>
        <v>25214.685999999998</v>
      </c>
      <c r="Y21" s="74">
        <f t="shared" si="7"/>
        <v>88.4</v>
      </c>
      <c r="Z21" s="75">
        <f t="shared" si="7"/>
        <v>25214.685999999998</v>
      </c>
      <c r="AA21" s="76">
        <f t="shared" si="7"/>
        <v>88.4</v>
      </c>
      <c r="AB21" s="75">
        <f t="shared" si="7"/>
        <v>25214.685999999998</v>
      </c>
      <c r="AC21" s="64">
        <f t="shared" si="4"/>
        <v>126073.43</v>
      </c>
      <c r="AD21" s="64">
        <f t="shared" si="6"/>
        <v>276434.54999999993</v>
      </c>
      <c r="AE21" s="66"/>
    </row>
    <row r="22" spans="1:31" x14ac:dyDescent="0.25">
      <c r="A22" s="55" t="s">
        <v>63</v>
      </c>
      <c r="B22" s="56"/>
      <c r="C22" s="57"/>
      <c r="D22" s="58"/>
      <c r="E22" s="57"/>
      <c r="F22" s="58"/>
      <c r="G22" s="57"/>
      <c r="H22" s="58"/>
      <c r="I22" s="57"/>
      <c r="J22" s="59">
        <v>0</v>
      </c>
      <c r="K22" s="179">
        <v>0</v>
      </c>
      <c r="L22" s="60">
        <f t="shared" si="0"/>
        <v>0</v>
      </c>
      <c r="M22" s="61">
        <f t="shared" si="0"/>
        <v>0</v>
      </c>
      <c r="N22" s="55" t="s">
        <v>63</v>
      </c>
      <c r="O22" s="58"/>
      <c r="P22" s="62"/>
      <c r="Q22" s="77"/>
      <c r="R22" s="72"/>
      <c r="S22" s="77"/>
      <c r="T22" s="72"/>
      <c r="U22" s="77"/>
      <c r="V22" s="72"/>
      <c r="W22" s="77"/>
      <c r="X22" s="72"/>
      <c r="Y22" s="77"/>
      <c r="Z22" s="72"/>
      <c r="AA22" s="73"/>
      <c r="AB22" s="72"/>
      <c r="AC22" s="64">
        <f t="shared" si="4"/>
        <v>0</v>
      </c>
      <c r="AD22" s="64">
        <f t="shared" si="6"/>
        <v>0</v>
      </c>
      <c r="AE22" s="66"/>
    </row>
    <row r="23" spans="1:31" ht="57" customHeight="1" x14ac:dyDescent="0.25">
      <c r="A23" s="55" t="s">
        <v>64</v>
      </c>
      <c r="B23" s="56">
        <v>167</v>
      </c>
      <c r="C23" s="57">
        <v>56800.76</v>
      </c>
      <c r="D23" s="58">
        <v>385</v>
      </c>
      <c r="E23" s="57">
        <v>139914.70000000001</v>
      </c>
      <c r="F23" s="58">
        <v>402</v>
      </c>
      <c r="G23" s="57">
        <v>168159.86</v>
      </c>
      <c r="H23" s="58">
        <v>382</v>
      </c>
      <c r="I23" s="57">
        <v>147091.25</v>
      </c>
      <c r="J23" s="59">
        <v>391</v>
      </c>
      <c r="K23" s="179">
        <v>148543.93</v>
      </c>
      <c r="L23" s="60">
        <f t="shared" si="0"/>
        <v>1727</v>
      </c>
      <c r="M23" s="61">
        <f t="shared" si="0"/>
        <v>660510.5</v>
      </c>
      <c r="N23" s="55" t="s">
        <v>64</v>
      </c>
      <c r="O23" s="58">
        <v>340</v>
      </c>
      <c r="P23" s="62">
        <v>132793.23000000001</v>
      </c>
      <c r="Q23" s="71">
        <f t="shared" ref="Q23:R25" si="8">(D23+F23+H23+J23)/4</f>
        <v>390</v>
      </c>
      <c r="R23" s="72">
        <f t="shared" si="8"/>
        <v>150927.435</v>
      </c>
      <c r="S23" s="71">
        <f t="shared" ref="S23:AB25" si="9">Q23</f>
        <v>390</v>
      </c>
      <c r="T23" s="72">
        <f t="shared" si="9"/>
        <v>150927.435</v>
      </c>
      <c r="U23" s="71">
        <f t="shared" si="9"/>
        <v>390</v>
      </c>
      <c r="V23" s="72">
        <f t="shared" si="9"/>
        <v>150927.435</v>
      </c>
      <c r="W23" s="71">
        <f t="shared" si="9"/>
        <v>390</v>
      </c>
      <c r="X23" s="72">
        <f t="shared" si="9"/>
        <v>150927.435</v>
      </c>
      <c r="Y23" s="71">
        <f t="shared" si="9"/>
        <v>390</v>
      </c>
      <c r="Z23" s="72">
        <f t="shared" si="9"/>
        <v>150927.435</v>
      </c>
      <c r="AA23" s="73">
        <f t="shared" si="9"/>
        <v>390</v>
      </c>
      <c r="AB23" s="72">
        <f t="shared" si="9"/>
        <v>150927.435</v>
      </c>
      <c r="AC23" s="64">
        <f t="shared" si="4"/>
        <v>754637.17500000005</v>
      </c>
      <c r="AD23" s="64">
        <f t="shared" si="6"/>
        <v>1547940.9050000003</v>
      </c>
      <c r="AE23" s="66" t="s">
        <v>45</v>
      </c>
    </row>
    <row r="24" spans="1:31" ht="19.149999999999999" customHeight="1" x14ac:dyDescent="0.25">
      <c r="A24" s="55" t="s">
        <v>65</v>
      </c>
      <c r="B24" s="56">
        <v>167</v>
      </c>
      <c r="C24" s="57">
        <v>56800.76</v>
      </c>
      <c r="D24" s="58">
        <v>381</v>
      </c>
      <c r="E24" s="57">
        <v>138275.45000000001</v>
      </c>
      <c r="F24" s="58">
        <v>398</v>
      </c>
      <c r="G24" s="57">
        <v>166834.74</v>
      </c>
      <c r="H24" s="58">
        <v>378</v>
      </c>
      <c r="I24" s="57">
        <v>144739.73000000001</v>
      </c>
      <c r="J24" s="59">
        <v>386</v>
      </c>
      <c r="K24" s="179">
        <v>146304.81</v>
      </c>
      <c r="L24" s="60">
        <f t="shared" si="0"/>
        <v>1710</v>
      </c>
      <c r="M24" s="61">
        <f t="shared" si="0"/>
        <v>652955.49</v>
      </c>
      <c r="N24" s="55" t="s">
        <v>65</v>
      </c>
      <c r="O24" s="58">
        <v>338</v>
      </c>
      <c r="P24" s="62">
        <v>131755.79999999999</v>
      </c>
      <c r="Q24" s="74">
        <f t="shared" si="8"/>
        <v>385.75</v>
      </c>
      <c r="R24" s="75">
        <f t="shared" si="8"/>
        <v>149038.6825</v>
      </c>
      <c r="S24" s="74">
        <f t="shared" si="9"/>
        <v>385.75</v>
      </c>
      <c r="T24" s="75">
        <f t="shared" si="9"/>
        <v>149038.6825</v>
      </c>
      <c r="U24" s="74">
        <f t="shared" si="9"/>
        <v>385.75</v>
      </c>
      <c r="V24" s="75">
        <f t="shared" si="9"/>
        <v>149038.6825</v>
      </c>
      <c r="W24" s="74">
        <f t="shared" si="9"/>
        <v>385.75</v>
      </c>
      <c r="X24" s="75">
        <f t="shared" si="9"/>
        <v>149038.6825</v>
      </c>
      <c r="Y24" s="74">
        <f t="shared" si="9"/>
        <v>385.75</v>
      </c>
      <c r="Z24" s="75">
        <f t="shared" si="9"/>
        <v>149038.6825</v>
      </c>
      <c r="AA24" s="76">
        <f t="shared" si="9"/>
        <v>385.75</v>
      </c>
      <c r="AB24" s="75">
        <f t="shared" si="9"/>
        <v>149038.6825</v>
      </c>
      <c r="AC24" s="64">
        <f t="shared" si="4"/>
        <v>745193.41249999998</v>
      </c>
      <c r="AD24" s="64">
        <f t="shared" si="6"/>
        <v>1529904.7025000001</v>
      </c>
      <c r="AE24" s="78"/>
    </row>
    <row r="25" spans="1:31" x14ac:dyDescent="0.25">
      <c r="A25" s="55" t="s">
        <v>63</v>
      </c>
      <c r="B25" s="56"/>
      <c r="C25" s="57"/>
      <c r="D25" s="58">
        <v>4</v>
      </c>
      <c r="E25" s="57">
        <v>1639.25</v>
      </c>
      <c r="F25" s="58">
        <v>4</v>
      </c>
      <c r="G25" s="57">
        <v>1325.12</v>
      </c>
      <c r="H25" s="58">
        <v>4</v>
      </c>
      <c r="I25" s="57">
        <v>2351.52</v>
      </c>
      <c r="J25" s="59">
        <v>5</v>
      </c>
      <c r="K25" s="179">
        <v>2239.12</v>
      </c>
      <c r="L25" s="60">
        <f t="shared" si="0"/>
        <v>17</v>
      </c>
      <c r="M25" s="61">
        <f t="shared" si="0"/>
        <v>7555.0099999999993</v>
      </c>
      <c r="N25" s="55" t="s">
        <v>63</v>
      </c>
      <c r="O25" s="58">
        <v>2</v>
      </c>
      <c r="P25" s="62">
        <v>1037.43</v>
      </c>
      <c r="Q25" s="74">
        <f t="shared" si="8"/>
        <v>4.25</v>
      </c>
      <c r="R25" s="75">
        <f t="shared" si="8"/>
        <v>1888.7524999999998</v>
      </c>
      <c r="S25" s="74">
        <f t="shared" si="9"/>
        <v>4.25</v>
      </c>
      <c r="T25" s="75">
        <f t="shared" si="9"/>
        <v>1888.7524999999998</v>
      </c>
      <c r="U25" s="74">
        <f t="shared" si="9"/>
        <v>4.25</v>
      </c>
      <c r="V25" s="75">
        <f t="shared" si="9"/>
        <v>1888.7524999999998</v>
      </c>
      <c r="W25" s="74">
        <f t="shared" si="9"/>
        <v>4.25</v>
      </c>
      <c r="X25" s="75">
        <f t="shared" si="9"/>
        <v>1888.7524999999998</v>
      </c>
      <c r="Y25" s="74">
        <f t="shared" si="9"/>
        <v>4.25</v>
      </c>
      <c r="Z25" s="75">
        <f t="shared" si="9"/>
        <v>1888.7524999999998</v>
      </c>
      <c r="AA25" s="76">
        <f t="shared" si="9"/>
        <v>4.25</v>
      </c>
      <c r="AB25" s="75">
        <f t="shared" si="9"/>
        <v>1888.7524999999998</v>
      </c>
      <c r="AC25" s="64">
        <f t="shared" si="4"/>
        <v>9443.7624999999989</v>
      </c>
      <c r="AD25" s="64">
        <f t="shared" si="6"/>
        <v>18036.202499999999</v>
      </c>
      <c r="AE25" s="78"/>
    </row>
    <row r="26" spans="1:31" ht="44.65" customHeight="1" x14ac:dyDescent="0.25">
      <c r="A26" s="79" t="s">
        <v>66</v>
      </c>
      <c r="B26" s="80">
        <f t="shared" ref="B26:K26" si="10">SUM(B27:B101)</f>
        <v>1028</v>
      </c>
      <c r="C26" s="81">
        <f t="shared" si="10"/>
        <v>92333.29</v>
      </c>
      <c r="D26" s="80">
        <f t="shared" si="10"/>
        <v>941</v>
      </c>
      <c r="E26" s="81">
        <f t="shared" si="10"/>
        <v>94416.369999999981</v>
      </c>
      <c r="F26" s="80">
        <f t="shared" si="10"/>
        <v>1015</v>
      </c>
      <c r="G26" s="81">
        <f t="shared" si="10"/>
        <v>97920.83</v>
      </c>
      <c r="H26" s="80">
        <f t="shared" si="10"/>
        <v>1104</v>
      </c>
      <c r="I26" s="81">
        <f t="shared" si="10"/>
        <v>116011.74000000003</v>
      </c>
      <c r="J26" s="80">
        <f t="shared" si="10"/>
        <v>1123</v>
      </c>
      <c r="K26" s="180">
        <f t="shared" si="10"/>
        <v>95675.24</v>
      </c>
      <c r="L26" s="60">
        <f t="shared" si="0"/>
        <v>5211</v>
      </c>
      <c r="M26" s="61">
        <f t="shared" si="0"/>
        <v>496357.47000000003</v>
      </c>
      <c r="N26" s="82" t="s">
        <v>66</v>
      </c>
      <c r="O26" s="80">
        <f t="shared" ref="O26:AB26" si="11">SUM(O27:O101)</f>
        <v>1116</v>
      </c>
      <c r="P26" s="83">
        <f t="shared" si="11"/>
        <v>131764.18999999997</v>
      </c>
      <c r="Q26" s="84">
        <f t="shared" si="11"/>
        <v>1073.7839999999999</v>
      </c>
      <c r="R26" s="83">
        <f t="shared" si="11"/>
        <v>102532.02454666667</v>
      </c>
      <c r="S26" s="84">
        <f t="shared" si="11"/>
        <v>1106.1979200000001</v>
      </c>
      <c r="T26" s="83">
        <f t="shared" si="11"/>
        <v>105606.21532906666</v>
      </c>
      <c r="U26" s="84">
        <f t="shared" si="11"/>
        <v>1139.8933775999999</v>
      </c>
      <c r="V26" s="83">
        <f t="shared" si="11"/>
        <v>108800.84532023867</v>
      </c>
      <c r="W26" s="84">
        <f t="shared" si="11"/>
        <v>1174.9242749279999</v>
      </c>
      <c r="X26" s="83">
        <f t="shared" si="11"/>
        <v>112120.93837071084</v>
      </c>
      <c r="Y26" s="84">
        <f t="shared" si="11"/>
        <v>1211.3469039758402</v>
      </c>
      <c r="Z26" s="83">
        <f t="shared" si="11"/>
        <v>115571.73958024042</v>
      </c>
      <c r="AA26" s="84">
        <f t="shared" si="11"/>
        <v>1249.2200569351153</v>
      </c>
      <c r="AB26" s="85">
        <f t="shared" si="11"/>
        <v>119158.72546197628</v>
      </c>
      <c r="AC26" s="85">
        <f>SUM(AC27:AC101)</f>
        <v>544631.76314692316</v>
      </c>
      <c r="AD26" s="85">
        <f>SUM(AD27:AD101)</f>
        <v>1172753.4231469231</v>
      </c>
      <c r="AE26" s="86"/>
    </row>
    <row r="27" spans="1:31" ht="24" x14ac:dyDescent="0.25">
      <c r="A27" s="55" t="s">
        <v>67</v>
      </c>
      <c r="B27" s="56">
        <v>1</v>
      </c>
      <c r="C27" s="57">
        <v>430</v>
      </c>
      <c r="D27" s="58">
        <v>2</v>
      </c>
      <c r="E27" s="57">
        <v>930</v>
      </c>
      <c r="F27" s="58">
        <v>6</v>
      </c>
      <c r="G27" s="57">
        <v>1833.24</v>
      </c>
      <c r="H27" s="58">
        <v>4</v>
      </c>
      <c r="I27" s="57">
        <v>1243.24</v>
      </c>
      <c r="J27" s="59">
        <v>4</v>
      </c>
      <c r="K27" s="179">
        <v>1640</v>
      </c>
      <c r="L27" s="60">
        <f t="shared" si="0"/>
        <v>17</v>
      </c>
      <c r="M27" s="61">
        <f t="shared" si="0"/>
        <v>6076.48</v>
      </c>
      <c r="N27" s="55" t="s">
        <v>68</v>
      </c>
      <c r="O27" s="58">
        <v>3</v>
      </c>
      <c r="P27" s="62">
        <v>893.24</v>
      </c>
      <c r="Q27" s="67">
        <f>L40/5*1.03</f>
        <v>565.26400000000001</v>
      </c>
      <c r="R27" s="64">
        <f>M40/5*1.03</f>
        <v>55450.550579999996</v>
      </c>
      <c r="S27" s="67">
        <f t="shared" ref="S27:AB27" si="12">Q27*1.03</f>
        <v>582.22192000000007</v>
      </c>
      <c r="T27" s="64">
        <f t="shared" si="12"/>
        <v>57114.067097399995</v>
      </c>
      <c r="U27" s="67">
        <f t="shared" si="12"/>
        <v>599.68857760000003</v>
      </c>
      <c r="V27" s="64">
        <f t="shared" si="12"/>
        <v>58827.489110322</v>
      </c>
      <c r="W27" s="67">
        <f t="shared" si="12"/>
        <v>617.67923492800003</v>
      </c>
      <c r="X27" s="64">
        <f t="shared" si="12"/>
        <v>60592.31378363166</v>
      </c>
      <c r="Y27" s="67">
        <f t="shared" si="12"/>
        <v>636.20961197584006</v>
      </c>
      <c r="Z27" s="64">
        <f t="shared" si="12"/>
        <v>62410.083197140615</v>
      </c>
      <c r="AA27" s="65">
        <f t="shared" si="12"/>
        <v>655.29590033511533</v>
      </c>
      <c r="AB27" s="64">
        <f t="shared" si="12"/>
        <v>64282.385693054835</v>
      </c>
      <c r="AC27" s="64">
        <f t="shared" si="4"/>
        <v>294394.50376849424</v>
      </c>
      <c r="AD27" s="64">
        <f t="shared" si="6"/>
        <v>301364.22376849427</v>
      </c>
      <c r="AE27" s="66" t="s">
        <v>69</v>
      </c>
    </row>
    <row r="28" spans="1:31" ht="24" x14ac:dyDescent="0.25">
      <c r="A28" s="87" t="s">
        <v>70</v>
      </c>
      <c r="B28" s="56"/>
      <c r="C28" s="57"/>
      <c r="D28" s="58"/>
      <c r="E28" s="57"/>
      <c r="F28" s="58">
        <v>1</v>
      </c>
      <c r="G28" s="57">
        <v>147</v>
      </c>
      <c r="H28" s="58">
        <v>1</v>
      </c>
      <c r="I28" s="57">
        <v>147</v>
      </c>
      <c r="J28" s="88">
        <v>1</v>
      </c>
      <c r="K28" s="181">
        <v>147</v>
      </c>
      <c r="L28" s="60">
        <f t="shared" si="0"/>
        <v>3</v>
      </c>
      <c r="M28" s="61">
        <f t="shared" si="0"/>
        <v>441</v>
      </c>
      <c r="N28" s="55" t="s">
        <v>71</v>
      </c>
      <c r="O28" s="58"/>
      <c r="P28" s="62"/>
      <c r="Q28" s="67">
        <f>L80/5*1.05</f>
        <v>309.12</v>
      </c>
      <c r="R28" s="64">
        <f>M80/5*1.05</f>
        <v>28213.485299999997</v>
      </c>
      <c r="S28" s="67">
        <f t="shared" ref="S28:AB28" si="13">Q28*1.05</f>
        <v>324.57600000000002</v>
      </c>
      <c r="T28" s="64">
        <f t="shared" si="13"/>
        <v>29624.159564999998</v>
      </c>
      <c r="U28" s="67">
        <f t="shared" si="13"/>
        <v>340.80480000000006</v>
      </c>
      <c r="V28" s="64">
        <f t="shared" si="13"/>
        <v>31105.367543249999</v>
      </c>
      <c r="W28" s="67">
        <f t="shared" si="13"/>
        <v>357.8450400000001</v>
      </c>
      <c r="X28" s="64">
        <f t="shared" si="13"/>
        <v>32660.6359204125</v>
      </c>
      <c r="Y28" s="67">
        <f t="shared" si="13"/>
        <v>375.73729200000014</v>
      </c>
      <c r="Z28" s="64">
        <f t="shared" si="13"/>
        <v>34293.667716433127</v>
      </c>
      <c r="AA28" s="65">
        <f t="shared" si="13"/>
        <v>394.52415660000014</v>
      </c>
      <c r="AB28" s="64">
        <f t="shared" si="13"/>
        <v>36008.351102254783</v>
      </c>
      <c r="AC28" s="64">
        <f t="shared" si="4"/>
        <v>155897.31604509562</v>
      </c>
      <c r="AD28" s="64">
        <f t="shared" si="6"/>
        <v>156338.31604509562</v>
      </c>
      <c r="AE28" s="66" t="s">
        <v>72</v>
      </c>
    </row>
    <row r="29" spans="1:31" ht="24" x14ac:dyDescent="0.25">
      <c r="A29" s="87" t="s">
        <v>73</v>
      </c>
      <c r="B29" s="56">
        <v>1</v>
      </c>
      <c r="C29" s="57">
        <v>71.86</v>
      </c>
      <c r="D29" s="58">
        <v>1</v>
      </c>
      <c r="E29" s="57">
        <v>71.86</v>
      </c>
      <c r="F29" s="58">
        <v>1</v>
      </c>
      <c r="G29" s="57">
        <v>71.86</v>
      </c>
      <c r="H29" s="58">
        <v>0</v>
      </c>
      <c r="I29" s="57">
        <v>0</v>
      </c>
      <c r="J29" s="88">
        <v>0</v>
      </c>
      <c r="K29" s="181">
        <v>0</v>
      </c>
      <c r="L29" s="60">
        <f t="shared" si="0"/>
        <v>3</v>
      </c>
      <c r="M29" s="61">
        <f t="shared" si="0"/>
        <v>215.57999999999998</v>
      </c>
      <c r="N29" s="55" t="s">
        <v>74</v>
      </c>
      <c r="O29" s="58"/>
      <c r="P29" s="62"/>
      <c r="Q29" s="70">
        <f>(L29+L30+L49+L90+L94+L100)/5</f>
        <v>9.8000000000000007</v>
      </c>
      <c r="R29" s="64">
        <f>(M29+M30+M49+M90+M94+M100)/5</f>
        <v>2936.62</v>
      </c>
      <c r="S29" s="70">
        <f t="shared" ref="S29:AB36" si="14">Q29</f>
        <v>9.8000000000000007</v>
      </c>
      <c r="T29" s="64">
        <f t="shared" si="14"/>
        <v>2936.62</v>
      </c>
      <c r="U29" s="70">
        <f t="shared" si="14"/>
        <v>9.8000000000000007</v>
      </c>
      <c r="V29" s="64">
        <f t="shared" si="14"/>
        <v>2936.62</v>
      </c>
      <c r="W29" s="70">
        <f t="shared" si="14"/>
        <v>9.8000000000000007</v>
      </c>
      <c r="X29" s="64">
        <f t="shared" si="14"/>
        <v>2936.62</v>
      </c>
      <c r="Y29" s="70">
        <f t="shared" si="14"/>
        <v>9.8000000000000007</v>
      </c>
      <c r="Z29" s="64">
        <f t="shared" si="14"/>
        <v>2936.62</v>
      </c>
      <c r="AA29" s="65">
        <f t="shared" si="14"/>
        <v>9.8000000000000007</v>
      </c>
      <c r="AB29" s="64">
        <f t="shared" si="14"/>
        <v>2936.62</v>
      </c>
      <c r="AC29" s="64">
        <f t="shared" si="4"/>
        <v>14683.099999999999</v>
      </c>
      <c r="AD29" s="64">
        <f t="shared" si="6"/>
        <v>14898.679999999997</v>
      </c>
      <c r="AE29" s="66" t="s">
        <v>45</v>
      </c>
    </row>
    <row r="30" spans="1:31" ht="24" x14ac:dyDescent="0.25">
      <c r="A30" s="87" t="s">
        <v>74</v>
      </c>
      <c r="B30" s="56">
        <v>2</v>
      </c>
      <c r="C30" s="57">
        <v>526.9</v>
      </c>
      <c r="D30" s="58">
        <v>2</v>
      </c>
      <c r="E30" s="57">
        <v>526.9</v>
      </c>
      <c r="F30" s="58">
        <v>2</v>
      </c>
      <c r="G30" s="57">
        <v>479</v>
      </c>
      <c r="H30" s="58">
        <v>1</v>
      </c>
      <c r="I30" s="57">
        <v>56.21</v>
      </c>
      <c r="J30" s="88">
        <v>3</v>
      </c>
      <c r="K30" s="181">
        <v>327.05</v>
      </c>
      <c r="L30" s="60">
        <f t="shared" si="0"/>
        <v>10</v>
      </c>
      <c r="M30" s="61">
        <f t="shared" si="0"/>
        <v>1916.06</v>
      </c>
      <c r="N30" s="87" t="s">
        <v>75</v>
      </c>
      <c r="O30" s="58">
        <v>3</v>
      </c>
      <c r="P30" s="62">
        <v>715.41</v>
      </c>
      <c r="Q30" s="70">
        <f>(L35+L36+L84+L85+L86+L87+L88)/5</f>
        <v>9.8000000000000007</v>
      </c>
      <c r="R30" s="64">
        <f>(M35+M36+M84+M85+M86+M87+M88)/5</f>
        <v>1320.6100000000001</v>
      </c>
      <c r="S30" s="70">
        <f>+Q30</f>
        <v>9.8000000000000007</v>
      </c>
      <c r="T30" s="64">
        <f t="shared" si="14"/>
        <v>1320.6100000000001</v>
      </c>
      <c r="U30" s="70">
        <f t="shared" si="14"/>
        <v>9.8000000000000007</v>
      </c>
      <c r="V30" s="64">
        <f t="shared" si="14"/>
        <v>1320.6100000000001</v>
      </c>
      <c r="W30" s="70">
        <f t="shared" si="14"/>
        <v>9.8000000000000007</v>
      </c>
      <c r="X30" s="64">
        <f t="shared" si="14"/>
        <v>1320.6100000000001</v>
      </c>
      <c r="Y30" s="70">
        <f t="shared" si="14"/>
        <v>9.8000000000000007</v>
      </c>
      <c r="Z30" s="64">
        <f t="shared" si="14"/>
        <v>1320.6100000000001</v>
      </c>
      <c r="AA30" s="65">
        <f t="shared" si="14"/>
        <v>9.8000000000000007</v>
      </c>
      <c r="AB30" s="64">
        <f t="shared" si="14"/>
        <v>1320.6100000000001</v>
      </c>
      <c r="AC30" s="64">
        <f t="shared" si="4"/>
        <v>6603.0500000000011</v>
      </c>
      <c r="AD30" s="64">
        <f t="shared" si="6"/>
        <v>9234.5200000000023</v>
      </c>
      <c r="AE30" s="66" t="s">
        <v>45</v>
      </c>
    </row>
    <row r="31" spans="1:31" ht="24" x14ac:dyDescent="0.25">
      <c r="A31" s="87" t="s">
        <v>76</v>
      </c>
      <c r="B31" s="56">
        <v>3</v>
      </c>
      <c r="C31" s="57">
        <v>21</v>
      </c>
      <c r="D31" s="58"/>
      <c r="E31" s="57"/>
      <c r="F31" s="58">
        <v>3</v>
      </c>
      <c r="G31" s="57">
        <v>21</v>
      </c>
      <c r="H31" s="58">
        <v>3</v>
      </c>
      <c r="I31" s="57">
        <v>21</v>
      </c>
      <c r="J31" s="88">
        <v>3</v>
      </c>
      <c r="K31" s="181">
        <v>21</v>
      </c>
      <c r="L31" s="60">
        <f t="shared" si="0"/>
        <v>12</v>
      </c>
      <c r="M31" s="61">
        <f t="shared" si="0"/>
        <v>84</v>
      </c>
      <c r="N31" s="89" t="s">
        <v>77</v>
      </c>
      <c r="O31" s="58"/>
      <c r="P31" s="62"/>
      <c r="Q31" s="70">
        <f>(L34+L42+L44+L45:L45+L46+L47+L64+L65+L66+L67+L74+L96+L97)/5</f>
        <v>74</v>
      </c>
      <c r="R31" s="64">
        <f>(M34+M42+M44+M45+M46+M47+M64+M65+M66+M67+M74+M96+M97)/5</f>
        <v>4307.134</v>
      </c>
      <c r="S31" s="70">
        <f t="shared" ref="S31:S36" si="15">Q31</f>
        <v>74</v>
      </c>
      <c r="T31" s="64">
        <f t="shared" si="14"/>
        <v>4307.134</v>
      </c>
      <c r="U31" s="70">
        <f t="shared" si="14"/>
        <v>74</v>
      </c>
      <c r="V31" s="64">
        <f>T31</f>
        <v>4307.134</v>
      </c>
      <c r="W31" s="70">
        <f t="shared" si="14"/>
        <v>74</v>
      </c>
      <c r="X31" s="64">
        <f>V31</f>
        <v>4307.134</v>
      </c>
      <c r="Y31" s="70">
        <f t="shared" si="14"/>
        <v>74</v>
      </c>
      <c r="Z31" s="64">
        <f t="shared" si="14"/>
        <v>4307.134</v>
      </c>
      <c r="AA31" s="65">
        <f t="shared" si="14"/>
        <v>74</v>
      </c>
      <c r="AB31" s="64">
        <f t="shared" si="14"/>
        <v>4307.134</v>
      </c>
      <c r="AC31" s="64">
        <f t="shared" si="4"/>
        <v>21535.67</v>
      </c>
      <c r="AD31" s="64">
        <f t="shared" si="6"/>
        <v>21619.67</v>
      </c>
      <c r="AE31" s="66" t="s">
        <v>45</v>
      </c>
    </row>
    <row r="32" spans="1:31" ht="63.6" customHeight="1" x14ac:dyDescent="0.25">
      <c r="A32" s="55" t="s">
        <v>78</v>
      </c>
      <c r="B32" s="56"/>
      <c r="C32" s="57"/>
      <c r="D32" s="58"/>
      <c r="E32" s="57"/>
      <c r="F32" s="58"/>
      <c r="G32" s="57"/>
      <c r="H32" s="58"/>
      <c r="I32" s="57"/>
      <c r="J32" s="59">
        <v>1</v>
      </c>
      <c r="K32" s="179">
        <v>300</v>
      </c>
      <c r="L32" s="60">
        <f t="shared" si="0"/>
        <v>1</v>
      </c>
      <c r="M32" s="61">
        <f t="shared" si="0"/>
        <v>300</v>
      </c>
      <c r="N32" s="55" t="s">
        <v>79</v>
      </c>
      <c r="O32" s="58">
        <v>1</v>
      </c>
      <c r="P32" s="62">
        <v>350</v>
      </c>
      <c r="Q32" s="70">
        <f>L54/5</f>
        <v>13.6</v>
      </c>
      <c r="R32" s="64">
        <f>M54/5</f>
        <v>3465.1940000000004</v>
      </c>
      <c r="S32" s="70">
        <f t="shared" si="15"/>
        <v>13.6</v>
      </c>
      <c r="T32" s="64">
        <f t="shared" si="14"/>
        <v>3465.1940000000004</v>
      </c>
      <c r="U32" s="70">
        <f t="shared" si="14"/>
        <v>13.6</v>
      </c>
      <c r="V32" s="64">
        <f t="shared" si="14"/>
        <v>3465.1940000000004</v>
      </c>
      <c r="W32" s="70">
        <f t="shared" si="14"/>
        <v>13.6</v>
      </c>
      <c r="X32" s="64">
        <f t="shared" si="14"/>
        <v>3465.1940000000004</v>
      </c>
      <c r="Y32" s="70">
        <f t="shared" si="14"/>
        <v>13.6</v>
      </c>
      <c r="Z32" s="64">
        <f>X32</f>
        <v>3465.1940000000004</v>
      </c>
      <c r="AA32" s="65">
        <f t="shared" si="14"/>
        <v>13.6</v>
      </c>
      <c r="AB32" s="64">
        <f>Z32</f>
        <v>3465.1940000000004</v>
      </c>
      <c r="AC32" s="64">
        <f t="shared" si="4"/>
        <v>17325.97</v>
      </c>
      <c r="AD32" s="64">
        <f t="shared" si="6"/>
        <v>17975.97</v>
      </c>
      <c r="AE32" s="68" t="s">
        <v>45</v>
      </c>
    </row>
    <row r="33" spans="1:31" ht="24" x14ac:dyDescent="0.25">
      <c r="A33" s="55" t="s">
        <v>80</v>
      </c>
      <c r="B33" s="56"/>
      <c r="C33" s="57"/>
      <c r="D33" s="58"/>
      <c r="E33" s="57"/>
      <c r="F33" s="58"/>
      <c r="G33" s="57"/>
      <c r="H33" s="58">
        <v>1</v>
      </c>
      <c r="I33" s="57">
        <v>270</v>
      </c>
      <c r="J33" s="59">
        <v>0</v>
      </c>
      <c r="K33" s="179">
        <v>0</v>
      </c>
      <c r="L33" s="60">
        <f t="shared" si="0"/>
        <v>1</v>
      </c>
      <c r="M33" s="61">
        <f t="shared" si="0"/>
        <v>270</v>
      </c>
      <c r="N33" s="55" t="s">
        <v>81</v>
      </c>
      <c r="O33" s="58"/>
      <c r="P33" s="62"/>
      <c r="Q33" s="70">
        <f>L56/5</f>
        <v>7.4</v>
      </c>
      <c r="R33" s="64">
        <f>M56/5</f>
        <v>843.93200000000002</v>
      </c>
      <c r="S33" s="70">
        <f t="shared" si="15"/>
        <v>7.4</v>
      </c>
      <c r="T33" s="64">
        <f t="shared" si="14"/>
        <v>843.93200000000002</v>
      </c>
      <c r="U33" s="70">
        <f t="shared" si="14"/>
        <v>7.4</v>
      </c>
      <c r="V33" s="64">
        <f t="shared" si="14"/>
        <v>843.93200000000002</v>
      </c>
      <c r="W33" s="70">
        <f t="shared" si="14"/>
        <v>7.4</v>
      </c>
      <c r="X33" s="64">
        <f t="shared" si="14"/>
        <v>843.93200000000002</v>
      </c>
      <c r="Y33" s="70">
        <f t="shared" si="14"/>
        <v>7.4</v>
      </c>
      <c r="Z33" s="64">
        <f t="shared" si="14"/>
        <v>843.93200000000002</v>
      </c>
      <c r="AA33" s="65">
        <f t="shared" si="14"/>
        <v>7.4</v>
      </c>
      <c r="AB33" s="64">
        <f t="shared" si="14"/>
        <v>843.93200000000002</v>
      </c>
      <c r="AC33" s="64">
        <f t="shared" si="4"/>
        <v>4219.66</v>
      </c>
      <c r="AD33" s="64">
        <f t="shared" si="6"/>
        <v>4489.66</v>
      </c>
      <c r="AE33" s="66" t="s">
        <v>45</v>
      </c>
    </row>
    <row r="34" spans="1:31" ht="24" x14ac:dyDescent="0.25">
      <c r="A34" s="87" t="s">
        <v>82</v>
      </c>
      <c r="B34" s="56">
        <v>1</v>
      </c>
      <c r="C34" s="57">
        <v>30.94</v>
      </c>
      <c r="D34" s="58">
        <v>2</v>
      </c>
      <c r="E34" s="57">
        <v>59.43</v>
      </c>
      <c r="F34" s="58"/>
      <c r="G34" s="57"/>
      <c r="H34" s="58">
        <v>3</v>
      </c>
      <c r="I34" s="57">
        <v>170.96</v>
      </c>
      <c r="J34" s="90">
        <v>2</v>
      </c>
      <c r="K34" s="182">
        <v>70.5</v>
      </c>
      <c r="L34" s="60">
        <f t="shared" si="0"/>
        <v>8</v>
      </c>
      <c r="M34" s="61">
        <f t="shared" si="0"/>
        <v>331.83000000000004</v>
      </c>
      <c r="N34" s="55" t="s">
        <v>83</v>
      </c>
      <c r="O34" s="58">
        <v>2</v>
      </c>
      <c r="P34" s="62">
        <v>62.48</v>
      </c>
      <c r="Q34" s="70">
        <f>L82/3</f>
        <v>1</v>
      </c>
      <c r="R34" s="64">
        <f>M82/3</f>
        <v>796.91666666666663</v>
      </c>
      <c r="S34" s="70">
        <f t="shared" si="15"/>
        <v>1</v>
      </c>
      <c r="T34" s="64">
        <f t="shared" si="14"/>
        <v>796.91666666666663</v>
      </c>
      <c r="U34" s="63">
        <f t="shared" si="14"/>
        <v>1</v>
      </c>
      <c r="V34" s="64">
        <f t="shared" si="14"/>
        <v>796.91666666666663</v>
      </c>
      <c r="W34" s="63">
        <f t="shared" si="14"/>
        <v>1</v>
      </c>
      <c r="X34" s="64">
        <f t="shared" si="14"/>
        <v>796.91666666666663</v>
      </c>
      <c r="Y34" s="63">
        <f t="shared" si="14"/>
        <v>1</v>
      </c>
      <c r="Z34" s="64">
        <f t="shared" si="14"/>
        <v>796.91666666666663</v>
      </c>
      <c r="AA34" s="65">
        <f t="shared" si="14"/>
        <v>1</v>
      </c>
      <c r="AB34" s="64">
        <f t="shared" si="14"/>
        <v>796.91666666666663</v>
      </c>
      <c r="AC34" s="64">
        <f t="shared" si="4"/>
        <v>3984.583333333333</v>
      </c>
      <c r="AD34" s="64">
        <f t="shared" si="6"/>
        <v>4378.8933333333334</v>
      </c>
      <c r="AE34" s="66" t="s">
        <v>45</v>
      </c>
    </row>
    <row r="35" spans="1:31" ht="25.5" x14ac:dyDescent="0.25">
      <c r="A35" s="87" t="s">
        <v>84</v>
      </c>
      <c r="B35" s="56">
        <v>13</v>
      </c>
      <c r="C35" s="57">
        <v>195</v>
      </c>
      <c r="D35" s="58"/>
      <c r="E35" s="57"/>
      <c r="F35" s="58"/>
      <c r="G35" s="57"/>
      <c r="H35" s="58">
        <v>0</v>
      </c>
      <c r="I35" s="57">
        <v>0</v>
      </c>
      <c r="J35" s="90">
        <v>0</v>
      </c>
      <c r="K35" s="182">
        <v>0</v>
      </c>
      <c r="L35" s="60">
        <f t="shared" si="0"/>
        <v>13</v>
      </c>
      <c r="M35" s="61">
        <f t="shared" si="0"/>
        <v>195</v>
      </c>
      <c r="N35" s="87" t="s">
        <v>85</v>
      </c>
      <c r="O35" s="58"/>
      <c r="P35" s="62"/>
      <c r="Q35" s="67">
        <f>(L76+L79+L89)/5</f>
        <v>32.799999999999997</v>
      </c>
      <c r="R35" s="64">
        <f>(M76+M79+M89)/5</f>
        <v>1065.5</v>
      </c>
      <c r="S35" s="67">
        <f t="shared" si="15"/>
        <v>32.799999999999997</v>
      </c>
      <c r="T35" s="64">
        <f t="shared" si="14"/>
        <v>1065.5</v>
      </c>
      <c r="U35" s="67">
        <f t="shared" si="14"/>
        <v>32.799999999999997</v>
      </c>
      <c r="V35" s="64">
        <f t="shared" si="14"/>
        <v>1065.5</v>
      </c>
      <c r="W35" s="67">
        <f t="shared" si="14"/>
        <v>32.799999999999997</v>
      </c>
      <c r="X35" s="64">
        <f t="shared" si="14"/>
        <v>1065.5</v>
      </c>
      <c r="Y35" s="67">
        <f>U35</f>
        <v>32.799999999999997</v>
      </c>
      <c r="Z35" s="64">
        <f t="shared" si="14"/>
        <v>1065.5</v>
      </c>
      <c r="AA35" s="65">
        <f t="shared" si="14"/>
        <v>32.799999999999997</v>
      </c>
      <c r="AB35" s="64">
        <f t="shared" si="14"/>
        <v>1065.5</v>
      </c>
      <c r="AC35" s="64">
        <f t="shared" si="4"/>
        <v>5327.5</v>
      </c>
      <c r="AD35" s="64">
        <f t="shared" si="6"/>
        <v>5522.5</v>
      </c>
      <c r="AE35" s="66" t="s">
        <v>45</v>
      </c>
    </row>
    <row r="36" spans="1:31" ht="25.5" x14ac:dyDescent="0.25">
      <c r="A36" s="87" t="s">
        <v>86</v>
      </c>
      <c r="B36" s="56">
        <v>1</v>
      </c>
      <c r="C36" s="57">
        <v>3735</v>
      </c>
      <c r="D36" s="58"/>
      <c r="E36" s="57"/>
      <c r="F36" s="58"/>
      <c r="G36" s="57"/>
      <c r="H36" s="58"/>
      <c r="I36" s="57"/>
      <c r="J36" s="90"/>
      <c r="K36" s="182"/>
      <c r="L36" s="60">
        <f t="shared" si="0"/>
        <v>1</v>
      </c>
      <c r="M36" s="61">
        <f t="shared" si="0"/>
        <v>3735</v>
      </c>
      <c r="N36" s="89" t="s">
        <v>87</v>
      </c>
      <c r="O36" s="58"/>
      <c r="P36" s="62"/>
      <c r="Q36" s="70">
        <f>(L27+L28+L31+L32+L33+L37+L39+L41+L48+L50+L52+L53+L55+L57+L58+L59+L60+L61+L62+L63+L68+L69+L70+L71+L72+L73+L75+L77+L78+L81+L83+L91+L92+L93+L95+L101)/5</f>
        <v>51</v>
      </c>
      <c r="R36" s="64">
        <f>(M27+M28+M32+M33+M37+M39+M41+M48+M50+M52+M53+M55+M57+M58+M59+M60+M61+M62+N62+M63+M68+M69+M70+M71+M72+M73+M75+M77+M78+M81+M83+M91+M92+M93+M95+M101)/5</f>
        <v>4132.0820000000003</v>
      </c>
      <c r="S36" s="70">
        <f t="shared" si="15"/>
        <v>51</v>
      </c>
      <c r="T36" s="64">
        <f t="shared" si="14"/>
        <v>4132.0820000000003</v>
      </c>
      <c r="U36" s="70">
        <f t="shared" si="14"/>
        <v>51</v>
      </c>
      <c r="V36" s="64">
        <f t="shared" si="14"/>
        <v>4132.0820000000003</v>
      </c>
      <c r="W36" s="70">
        <f t="shared" si="14"/>
        <v>51</v>
      </c>
      <c r="X36" s="64">
        <f t="shared" si="14"/>
        <v>4132.0820000000003</v>
      </c>
      <c r="Y36" s="70">
        <f>W36</f>
        <v>51</v>
      </c>
      <c r="Z36" s="64">
        <f t="shared" si="14"/>
        <v>4132.0820000000003</v>
      </c>
      <c r="AA36" s="65">
        <f t="shared" si="14"/>
        <v>51</v>
      </c>
      <c r="AB36" s="64">
        <f t="shared" si="14"/>
        <v>4132.0820000000003</v>
      </c>
      <c r="AC36" s="64">
        <f>R36+T36+V36+X36+Z36</f>
        <v>20660.410000000003</v>
      </c>
      <c r="AD36" s="64">
        <f t="shared" si="6"/>
        <v>24395.410000000003</v>
      </c>
      <c r="AE36" s="66" t="s">
        <v>45</v>
      </c>
    </row>
    <row r="37" spans="1:31" x14ac:dyDescent="0.25">
      <c r="A37" s="87" t="s">
        <v>88</v>
      </c>
      <c r="B37" s="56"/>
      <c r="C37" s="57"/>
      <c r="D37" s="58">
        <v>1</v>
      </c>
      <c r="E37" s="57">
        <v>165.62</v>
      </c>
      <c r="F37" s="58">
        <v>1</v>
      </c>
      <c r="G37" s="57">
        <v>191.1</v>
      </c>
      <c r="H37" s="58">
        <v>1</v>
      </c>
      <c r="I37" s="57">
        <v>350</v>
      </c>
      <c r="J37" s="90">
        <v>1</v>
      </c>
      <c r="K37" s="182">
        <v>210</v>
      </c>
      <c r="L37" s="60">
        <f t="shared" si="0"/>
        <v>4</v>
      </c>
      <c r="M37" s="61">
        <f t="shared" si="0"/>
        <v>916.72</v>
      </c>
      <c r="N37" s="57"/>
      <c r="O37" s="58">
        <v>1</v>
      </c>
      <c r="P37" s="62">
        <v>332.5</v>
      </c>
      <c r="Q37" s="63"/>
      <c r="R37" s="64"/>
      <c r="S37" s="63"/>
      <c r="T37" s="64"/>
      <c r="U37" s="63"/>
      <c r="V37" s="64"/>
      <c r="W37" s="63"/>
      <c r="X37" s="64"/>
      <c r="Y37" s="63"/>
      <c r="Z37" s="64"/>
      <c r="AA37" s="69"/>
      <c r="AB37" s="64"/>
      <c r="AC37" s="64"/>
      <c r="AD37" s="64">
        <f t="shared" si="6"/>
        <v>1249.22</v>
      </c>
      <c r="AE37" s="78"/>
    </row>
    <row r="38" spans="1:31" x14ac:dyDescent="0.25">
      <c r="A38" s="87" t="s">
        <v>89</v>
      </c>
      <c r="B38" s="56"/>
      <c r="C38" s="57"/>
      <c r="D38" s="58"/>
      <c r="E38" s="57"/>
      <c r="F38" s="58"/>
      <c r="G38" s="57"/>
      <c r="H38" s="58"/>
      <c r="I38" s="57"/>
      <c r="J38" s="90"/>
      <c r="K38" s="182"/>
      <c r="L38" s="60"/>
      <c r="M38" s="61"/>
      <c r="N38" s="57"/>
      <c r="O38" s="58">
        <v>1</v>
      </c>
      <c r="P38" s="62">
        <v>150</v>
      </c>
      <c r="Q38" s="63"/>
      <c r="R38" s="64"/>
      <c r="S38" s="63"/>
      <c r="T38" s="64"/>
      <c r="U38" s="63"/>
      <c r="V38" s="64"/>
      <c r="W38" s="63"/>
      <c r="X38" s="64"/>
      <c r="Y38" s="63"/>
      <c r="Z38" s="64"/>
      <c r="AA38" s="69"/>
      <c r="AB38" s="64"/>
      <c r="AC38" s="64"/>
      <c r="AD38" s="64">
        <f t="shared" si="6"/>
        <v>150</v>
      </c>
      <c r="AE38" s="78"/>
    </row>
    <row r="39" spans="1:31" x14ac:dyDescent="0.25">
      <c r="A39" s="87" t="s">
        <v>90</v>
      </c>
      <c r="B39" s="56">
        <v>2</v>
      </c>
      <c r="C39" s="57">
        <v>100</v>
      </c>
      <c r="D39" s="58">
        <v>2</v>
      </c>
      <c r="E39" s="57">
        <v>100</v>
      </c>
      <c r="F39" s="58">
        <v>2</v>
      </c>
      <c r="G39" s="57">
        <v>100</v>
      </c>
      <c r="H39" s="58">
        <v>2</v>
      </c>
      <c r="I39" s="57">
        <v>100</v>
      </c>
      <c r="J39" s="90">
        <v>2</v>
      </c>
      <c r="K39" s="182">
        <v>100</v>
      </c>
      <c r="L39" s="60">
        <f t="shared" si="0"/>
        <v>10</v>
      </c>
      <c r="M39" s="61">
        <f t="shared" si="0"/>
        <v>500</v>
      </c>
      <c r="N39" s="57"/>
      <c r="O39" s="58">
        <v>1</v>
      </c>
      <c r="P39" s="62">
        <v>50</v>
      </c>
      <c r="Q39" s="63"/>
      <c r="R39" s="64"/>
      <c r="S39" s="63"/>
      <c r="T39" s="64"/>
      <c r="U39" s="63"/>
      <c r="V39" s="64"/>
      <c r="W39" s="63"/>
      <c r="X39" s="64"/>
      <c r="Y39" s="63"/>
      <c r="Z39" s="64"/>
      <c r="AA39" s="69"/>
      <c r="AB39" s="64"/>
      <c r="AC39" s="64"/>
      <c r="AD39" s="64">
        <f t="shared" si="6"/>
        <v>550</v>
      </c>
      <c r="AE39" s="78"/>
    </row>
    <row r="40" spans="1:31" ht="25.5" x14ac:dyDescent="0.25">
      <c r="A40" s="87" t="s">
        <v>68</v>
      </c>
      <c r="B40" s="56">
        <v>527</v>
      </c>
      <c r="C40" s="57">
        <v>49770.3</v>
      </c>
      <c r="D40" s="58">
        <v>522</v>
      </c>
      <c r="E40" s="57">
        <v>56590.26</v>
      </c>
      <c r="F40" s="58">
        <v>540</v>
      </c>
      <c r="G40" s="57">
        <v>52801.06</v>
      </c>
      <c r="H40" s="58">
        <v>555</v>
      </c>
      <c r="I40" s="57">
        <v>61202.05</v>
      </c>
      <c r="J40" s="90">
        <v>600</v>
      </c>
      <c r="K40" s="182">
        <v>48813.760000000002</v>
      </c>
      <c r="L40" s="60">
        <f t="shared" si="0"/>
        <v>2744</v>
      </c>
      <c r="M40" s="61">
        <f t="shared" si="0"/>
        <v>269177.43</v>
      </c>
      <c r="N40" s="57"/>
      <c r="O40" s="58">
        <v>561</v>
      </c>
      <c r="P40" s="62">
        <v>55417.61</v>
      </c>
      <c r="Q40" s="63"/>
      <c r="R40" s="64"/>
      <c r="S40" s="63"/>
      <c r="T40" s="64"/>
      <c r="U40" s="63"/>
      <c r="V40" s="64"/>
      <c r="W40" s="63"/>
      <c r="X40" s="64"/>
      <c r="Y40" s="63"/>
      <c r="Z40" s="64"/>
      <c r="AA40" s="69"/>
      <c r="AB40" s="64"/>
      <c r="AC40" s="64"/>
      <c r="AD40" s="64">
        <f t="shared" si="6"/>
        <v>324595.03999999998</v>
      </c>
      <c r="AE40" s="78"/>
    </row>
    <row r="41" spans="1:31" x14ac:dyDescent="0.25">
      <c r="A41" s="87" t="s">
        <v>91</v>
      </c>
      <c r="B41" s="56"/>
      <c r="C41" s="57"/>
      <c r="D41" s="58"/>
      <c r="E41" s="57"/>
      <c r="F41" s="58">
        <v>1</v>
      </c>
      <c r="G41" s="57">
        <v>75</v>
      </c>
      <c r="H41" s="58">
        <v>0</v>
      </c>
      <c r="I41" s="57">
        <v>0</v>
      </c>
      <c r="J41" s="90">
        <v>0</v>
      </c>
      <c r="K41" s="182">
        <v>0</v>
      </c>
      <c r="L41" s="60">
        <f t="shared" ref="L41:M74" si="16">B41+D41+F41+H41+J41</f>
        <v>1</v>
      </c>
      <c r="M41" s="61">
        <f t="shared" si="16"/>
        <v>75</v>
      </c>
      <c r="N41" s="57"/>
      <c r="O41" s="58"/>
      <c r="P41" s="62"/>
      <c r="Q41" s="63"/>
      <c r="R41" s="64"/>
      <c r="S41" s="63"/>
      <c r="T41" s="64"/>
      <c r="U41" s="63"/>
      <c r="V41" s="64"/>
      <c r="W41" s="63"/>
      <c r="X41" s="64"/>
      <c r="Y41" s="63"/>
      <c r="Z41" s="64"/>
      <c r="AA41" s="69"/>
      <c r="AB41" s="64"/>
      <c r="AC41" s="64"/>
      <c r="AD41" s="64">
        <f t="shared" si="6"/>
        <v>75</v>
      </c>
      <c r="AE41" s="78"/>
    </row>
    <row r="42" spans="1:31" x14ac:dyDescent="0.25">
      <c r="A42" s="87" t="s">
        <v>92</v>
      </c>
      <c r="B42" s="56"/>
      <c r="C42" s="57"/>
      <c r="D42" s="58"/>
      <c r="E42" s="57"/>
      <c r="F42" s="58"/>
      <c r="G42" s="57"/>
      <c r="H42" s="58"/>
      <c r="I42" s="57"/>
      <c r="J42" s="90">
        <v>4</v>
      </c>
      <c r="K42" s="182">
        <v>43</v>
      </c>
      <c r="L42" s="60">
        <f t="shared" si="16"/>
        <v>4</v>
      </c>
      <c r="M42" s="61">
        <f t="shared" si="16"/>
        <v>43</v>
      </c>
      <c r="N42" s="57"/>
      <c r="O42" s="58">
        <v>3</v>
      </c>
      <c r="P42" s="62">
        <v>303</v>
      </c>
      <c r="Q42" s="63"/>
      <c r="R42" s="64"/>
      <c r="S42" s="63"/>
      <c r="T42" s="64"/>
      <c r="U42" s="63"/>
      <c r="V42" s="64"/>
      <c r="W42" s="63"/>
      <c r="X42" s="64"/>
      <c r="Y42" s="63"/>
      <c r="Z42" s="64"/>
      <c r="AA42" s="69"/>
      <c r="AB42" s="64"/>
      <c r="AC42" s="64"/>
      <c r="AD42" s="64">
        <f t="shared" si="6"/>
        <v>346</v>
      </c>
      <c r="AE42" s="78"/>
    </row>
    <row r="43" spans="1:31" x14ac:dyDescent="0.25">
      <c r="A43" s="87" t="s">
        <v>93</v>
      </c>
      <c r="B43" s="56"/>
      <c r="C43" s="57"/>
      <c r="D43" s="58"/>
      <c r="E43" s="57"/>
      <c r="F43" s="58"/>
      <c r="G43" s="57"/>
      <c r="H43" s="58"/>
      <c r="I43" s="57"/>
      <c r="J43" s="90"/>
      <c r="K43" s="182"/>
      <c r="L43" s="60"/>
      <c r="M43" s="61"/>
      <c r="N43" s="57"/>
      <c r="O43" s="58">
        <v>1</v>
      </c>
      <c r="P43" s="62">
        <v>79.5</v>
      </c>
      <c r="Q43" s="63"/>
      <c r="R43" s="64"/>
      <c r="S43" s="63"/>
      <c r="T43" s="64"/>
      <c r="U43" s="63"/>
      <c r="V43" s="64"/>
      <c r="W43" s="63"/>
      <c r="X43" s="64"/>
      <c r="Y43" s="63"/>
      <c r="Z43" s="64"/>
      <c r="AA43" s="69"/>
      <c r="AB43" s="64"/>
      <c r="AC43" s="64"/>
      <c r="AD43" s="64">
        <f t="shared" si="6"/>
        <v>79.5</v>
      </c>
      <c r="AE43" s="78"/>
    </row>
    <row r="44" spans="1:31" ht="38.25" x14ac:dyDescent="0.25">
      <c r="A44" s="87" t="s">
        <v>94</v>
      </c>
      <c r="B44" s="56"/>
      <c r="C44" s="57"/>
      <c r="D44" s="58"/>
      <c r="E44" s="57"/>
      <c r="F44" s="58"/>
      <c r="G44" s="57"/>
      <c r="H44" s="58">
        <v>57</v>
      </c>
      <c r="I44" s="57">
        <v>9857.3799999999992</v>
      </c>
      <c r="J44" s="90">
        <v>54</v>
      </c>
      <c r="K44" s="182">
        <v>2182.46</v>
      </c>
      <c r="L44" s="60">
        <f t="shared" si="16"/>
        <v>111</v>
      </c>
      <c r="M44" s="61">
        <f t="shared" si="16"/>
        <v>12039.84</v>
      </c>
      <c r="N44" s="57"/>
      <c r="O44" s="58">
        <v>49</v>
      </c>
      <c r="P44" s="62">
        <v>2214.14</v>
      </c>
      <c r="Q44" s="63"/>
      <c r="R44" s="64"/>
      <c r="S44" s="63"/>
      <c r="T44" s="64"/>
      <c r="U44" s="63"/>
      <c r="V44" s="64"/>
      <c r="W44" s="63"/>
      <c r="X44" s="64"/>
      <c r="Y44" s="63"/>
      <c r="Z44" s="64"/>
      <c r="AA44" s="69"/>
      <c r="AB44" s="64"/>
      <c r="AC44" s="64"/>
      <c r="AD44" s="64">
        <f t="shared" si="6"/>
        <v>14253.98</v>
      </c>
      <c r="AE44" s="78"/>
    </row>
    <row r="45" spans="1:31" ht="25.5" x14ac:dyDescent="0.25">
      <c r="A45" s="87" t="s">
        <v>95</v>
      </c>
      <c r="B45" s="56">
        <v>8</v>
      </c>
      <c r="C45" s="57">
        <v>241.78</v>
      </c>
      <c r="D45" s="58">
        <v>8</v>
      </c>
      <c r="E45" s="57">
        <v>257.39999999999998</v>
      </c>
      <c r="F45" s="58">
        <v>6</v>
      </c>
      <c r="G45" s="57">
        <v>236</v>
      </c>
      <c r="H45" s="58">
        <v>5</v>
      </c>
      <c r="I45" s="57">
        <v>115.85</v>
      </c>
      <c r="J45" s="90">
        <v>7</v>
      </c>
      <c r="K45" s="182">
        <v>201.4</v>
      </c>
      <c r="L45" s="60">
        <f t="shared" si="16"/>
        <v>34</v>
      </c>
      <c r="M45" s="61">
        <f t="shared" si="16"/>
        <v>1052.43</v>
      </c>
      <c r="N45" s="57"/>
      <c r="O45" s="58">
        <v>7</v>
      </c>
      <c r="P45" s="62">
        <v>200.2</v>
      </c>
      <c r="Q45" s="63"/>
      <c r="R45" s="64"/>
      <c r="S45" s="63"/>
      <c r="T45" s="64"/>
      <c r="U45" s="63"/>
      <c r="V45" s="64"/>
      <c r="W45" s="63"/>
      <c r="X45" s="64"/>
      <c r="Y45" s="63"/>
      <c r="Z45" s="64"/>
      <c r="AA45" s="69"/>
      <c r="AB45" s="64"/>
      <c r="AC45" s="64"/>
      <c r="AD45" s="64">
        <f t="shared" si="6"/>
        <v>1252.6300000000001</v>
      </c>
      <c r="AE45" s="78"/>
    </row>
    <row r="46" spans="1:31" x14ac:dyDescent="0.25">
      <c r="A46" s="87" t="s">
        <v>96</v>
      </c>
      <c r="B46" s="56">
        <v>9</v>
      </c>
      <c r="C46" s="57">
        <v>316.95</v>
      </c>
      <c r="D46" s="58">
        <v>9</v>
      </c>
      <c r="E46" s="57">
        <v>388.29</v>
      </c>
      <c r="F46" s="58">
        <v>10</v>
      </c>
      <c r="G46" s="57">
        <v>426.83</v>
      </c>
      <c r="H46" s="58">
        <v>9</v>
      </c>
      <c r="I46" s="57">
        <v>528.77</v>
      </c>
      <c r="J46" s="90">
        <v>8</v>
      </c>
      <c r="K46" s="182">
        <v>368.48</v>
      </c>
      <c r="L46" s="60">
        <f t="shared" si="16"/>
        <v>45</v>
      </c>
      <c r="M46" s="61">
        <f t="shared" si="16"/>
        <v>2029.32</v>
      </c>
      <c r="N46" s="57"/>
      <c r="O46" s="58">
        <v>9</v>
      </c>
      <c r="P46" s="62">
        <v>361.84</v>
      </c>
      <c r="Q46" s="63"/>
      <c r="R46" s="64"/>
      <c r="S46" s="63"/>
      <c r="T46" s="64"/>
      <c r="U46" s="63"/>
      <c r="V46" s="64"/>
      <c r="W46" s="63"/>
      <c r="X46" s="64"/>
      <c r="Y46" s="63"/>
      <c r="Z46" s="64"/>
      <c r="AA46" s="69"/>
      <c r="AB46" s="64"/>
      <c r="AC46" s="64"/>
      <c r="AD46" s="64">
        <f t="shared" si="6"/>
        <v>2391.16</v>
      </c>
      <c r="AE46" s="78"/>
    </row>
    <row r="47" spans="1:31" x14ac:dyDescent="0.25">
      <c r="A47" s="87" t="s">
        <v>97</v>
      </c>
      <c r="B47" s="56">
        <v>6</v>
      </c>
      <c r="C47" s="57">
        <v>170.7</v>
      </c>
      <c r="D47" s="58">
        <v>5</v>
      </c>
      <c r="E47" s="57">
        <v>204.7</v>
      </c>
      <c r="F47" s="58">
        <v>4</v>
      </c>
      <c r="G47" s="57">
        <v>148.4</v>
      </c>
      <c r="H47" s="58">
        <v>3</v>
      </c>
      <c r="I47" s="57">
        <v>114.8</v>
      </c>
      <c r="J47" s="90">
        <v>3</v>
      </c>
      <c r="K47" s="182">
        <v>109.2</v>
      </c>
      <c r="L47" s="60">
        <f t="shared" si="16"/>
        <v>21</v>
      </c>
      <c r="M47" s="61">
        <f t="shared" si="16"/>
        <v>747.8</v>
      </c>
      <c r="N47" s="57"/>
      <c r="O47" s="58">
        <v>3</v>
      </c>
      <c r="P47" s="62">
        <v>117.6</v>
      </c>
      <c r="Q47" s="63"/>
      <c r="R47" s="64"/>
      <c r="S47" s="63"/>
      <c r="T47" s="64"/>
      <c r="U47" s="63"/>
      <c r="V47" s="64"/>
      <c r="W47" s="63"/>
      <c r="X47" s="64"/>
      <c r="Y47" s="63"/>
      <c r="Z47" s="64"/>
      <c r="AA47" s="69"/>
      <c r="AB47" s="64"/>
      <c r="AC47" s="64"/>
      <c r="AD47" s="64">
        <f t="shared" si="6"/>
        <v>865.4</v>
      </c>
      <c r="AE47" s="78"/>
    </row>
    <row r="48" spans="1:31" ht="25.5" x14ac:dyDescent="0.25">
      <c r="A48" s="87" t="s">
        <v>98</v>
      </c>
      <c r="B48" s="56"/>
      <c r="C48" s="57"/>
      <c r="D48" s="58"/>
      <c r="E48" s="57"/>
      <c r="F48" s="58"/>
      <c r="G48" s="57"/>
      <c r="H48" s="58"/>
      <c r="I48" s="57"/>
      <c r="J48" s="90">
        <v>1</v>
      </c>
      <c r="K48" s="182">
        <v>4.2</v>
      </c>
      <c r="L48" s="60">
        <f t="shared" si="16"/>
        <v>1</v>
      </c>
      <c r="M48" s="61">
        <f t="shared" si="16"/>
        <v>4.2</v>
      </c>
      <c r="N48" s="57"/>
      <c r="O48" s="58"/>
      <c r="P48" s="62"/>
      <c r="Q48" s="63"/>
      <c r="R48" s="64"/>
      <c r="S48" s="63"/>
      <c r="T48" s="64"/>
      <c r="U48" s="63"/>
      <c r="V48" s="64"/>
      <c r="W48" s="63"/>
      <c r="X48" s="64"/>
      <c r="Y48" s="63"/>
      <c r="Z48" s="64"/>
      <c r="AA48" s="69"/>
      <c r="AB48" s="64"/>
      <c r="AC48" s="64"/>
      <c r="AD48" s="64">
        <f t="shared" si="6"/>
        <v>4.2</v>
      </c>
      <c r="AE48" s="78"/>
    </row>
    <row r="49" spans="1:31" x14ac:dyDescent="0.25">
      <c r="A49" s="87" t="s">
        <v>99</v>
      </c>
      <c r="B49" s="56">
        <v>5</v>
      </c>
      <c r="C49" s="57">
        <v>1440.04</v>
      </c>
      <c r="D49" s="58">
        <v>5</v>
      </c>
      <c r="E49" s="57">
        <v>1916</v>
      </c>
      <c r="F49" s="58">
        <v>5</v>
      </c>
      <c r="G49" s="57">
        <v>1916</v>
      </c>
      <c r="H49" s="58">
        <v>5</v>
      </c>
      <c r="I49" s="57">
        <v>1916</v>
      </c>
      <c r="J49" s="90">
        <v>6</v>
      </c>
      <c r="K49" s="182">
        <v>2223.23</v>
      </c>
      <c r="L49" s="60">
        <f t="shared" si="16"/>
        <v>26</v>
      </c>
      <c r="M49" s="61">
        <f t="shared" si="16"/>
        <v>9411.27</v>
      </c>
      <c r="N49" s="57"/>
      <c r="O49" s="58">
        <v>7</v>
      </c>
      <c r="P49" s="62">
        <v>2409.4299999999998</v>
      </c>
      <c r="Q49" s="63"/>
      <c r="R49" s="64"/>
      <c r="S49" s="63"/>
      <c r="T49" s="64"/>
      <c r="U49" s="63"/>
      <c r="V49" s="64"/>
      <c r="W49" s="63"/>
      <c r="X49" s="64"/>
      <c r="Y49" s="63"/>
      <c r="Z49" s="64"/>
      <c r="AA49" s="69"/>
      <c r="AB49" s="64"/>
      <c r="AC49" s="64"/>
      <c r="AD49" s="64">
        <f t="shared" si="6"/>
        <v>11820.7</v>
      </c>
      <c r="AE49" s="78"/>
    </row>
    <row r="50" spans="1:31" ht="25.5" x14ac:dyDescent="0.25">
      <c r="A50" s="87" t="s">
        <v>100</v>
      </c>
      <c r="B50" s="56"/>
      <c r="C50" s="57"/>
      <c r="D50" s="58"/>
      <c r="E50" s="57"/>
      <c r="F50" s="58"/>
      <c r="G50" s="57"/>
      <c r="H50" s="58"/>
      <c r="I50" s="57"/>
      <c r="J50" s="90">
        <v>1</v>
      </c>
      <c r="K50" s="182">
        <v>153.30000000000001</v>
      </c>
      <c r="L50" s="60">
        <f t="shared" si="16"/>
        <v>1</v>
      </c>
      <c r="M50" s="61">
        <f t="shared" si="16"/>
        <v>153.30000000000001</v>
      </c>
      <c r="N50" s="57"/>
      <c r="O50" s="58">
        <v>1</v>
      </c>
      <c r="P50" s="62">
        <v>153.30000000000001</v>
      </c>
      <c r="Q50" s="63"/>
      <c r="R50" s="64"/>
      <c r="S50" s="63"/>
      <c r="T50" s="64"/>
      <c r="U50" s="63"/>
      <c r="V50" s="64"/>
      <c r="W50" s="63"/>
      <c r="X50" s="64"/>
      <c r="Y50" s="63"/>
      <c r="Z50" s="64"/>
      <c r="AA50" s="69"/>
      <c r="AB50" s="64"/>
      <c r="AC50" s="64"/>
      <c r="AD50" s="64">
        <f t="shared" si="6"/>
        <v>306.60000000000002</v>
      </c>
      <c r="AE50" s="78"/>
    </row>
    <row r="51" spans="1:31" x14ac:dyDescent="0.25">
      <c r="A51" s="87" t="s">
        <v>101</v>
      </c>
      <c r="B51" s="56"/>
      <c r="C51" s="57"/>
      <c r="D51" s="58"/>
      <c r="E51" s="57"/>
      <c r="F51" s="58"/>
      <c r="G51" s="57"/>
      <c r="H51" s="58"/>
      <c r="I51" s="57"/>
      <c r="J51" s="90"/>
      <c r="K51" s="182"/>
      <c r="L51" s="60"/>
      <c r="M51" s="61"/>
      <c r="N51" s="57"/>
      <c r="O51" s="58">
        <v>1</v>
      </c>
      <c r="P51" s="62">
        <v>150</v>
      </c>
      <c r="Q51" s="63"/>
      <c r="R51" s="64"/>
      <c r="S51" s="63"/>
      <c r="T51" s="64"/>
      <c r="U51" s="63"/>
      <c r="V51" s="64"/>
      <c r="W51" s="63"/>
      <c r="X51" s="64"/>
      <c r="Y51" s="63"/>
      <c r="Z51" s="64"/>
      <c r="AA51" s="69"/>
      <c r="AB51" s="64"/>
      <c r="AC51" s="64"/>
      <c r="AD51" s="64">
        <f t="shared" si="6"/>
        <v>150</v>
      </c>
      <c r="AE51" s="78"/>
    </row>
    <row r="52" spans="1:31" ht="38.25" x14ac:dyDescent="0.25">
      <c r="A52" s="87" t="s">
        <v>102</v>
      </c>
      <c r="B52" s="56"/>
      <c r="C52" s="57"/>
      <c r="D52" s="58"/>
      <c r="E52" s="57"/>
      <c r="F52" s="58"/>
      <c r="G52" s="57">
        <v>400</v>
      </c>
      <c r="H52" s="58">
        <v>0</v>
      </c>
      <c r="I52" s="57">
        <v>0</v>
      </c>
      <c r="J52" s="90">
        <v>0</v>
      </c>
      <c r="K52" s="182">
        <v>0</v>
      </c>
      <c r="L52" s="60">
        <f t="shared" si="16"/>
        <v>0</v>
      </c>
      <c r="M52" s="61">
        <f t="shared" si="16"/>
        <v>400</v>
      </c>
      <c r="N52" s="57"/>
      <c r="O52" s="58"/>
      <c r="P52" s="62"/>
      <c r="Q52" s="63"/>
      <c r="R52" s="64"/>
      <c r="S52" s="63"/>
      <c r="T52" s="64"/>
      <c r="U52" s="63"/>
      <c r="V52" s="64"/>
      <c r="W52" s="63"/>
      <c r="X52" s="64"/>
      <c r="Y52" s="63"/>
      <c r="Z52" s="64"/>
      <c r="AA52" s="69"/>
      <c r="AB52" s="64"/>
      <c r="AC52" s="64"/>
      <c r="AD52" s="64">
        <f t="shared" si="6"/>
        <v>400</v>
      </c>
      <c r="AE52" s="78"/>
    </row>
    <row r="53" spans="1:31" x14ac:dyDescent="0.25">
      <c r="A53" s="87" t="s">
        <v>103</v>
      </c>
      <c r="B53" s="56">
        <v>38</v>
      </c>
      <c r="C53" s="57">
        <v>262.2</v>
      </c>
      <c r="D53" s="58"/>
      <c r="E53" s="57"/>
      <c r="F53" s="58"/>
      <c r="G53" s="57"/>
      <c r="H53" s="58">
        <v>0</v>
      </c>
      <c r="I53" s="57">
        <v>0</v>
      </c>
      <c r="J53" s="90">
        <v>0</v>
      </c>
      <c r="K53" s="182">
        <v>0</v>
      </c>
      <c r="L53" s="60">
        <f t="shared" si="16"/>
        <v>38</v>
      </c>
      <c r="M53" s="61">
        <f t="shared" si="16"/>
        <v>262.2</v>
      </c>
      <c r="N53" s="57"/>
      <c r="O53" s="58"/>
      <c r="P53" s="62"/>
      <c r="Q53" s="63"/>
      <c r="R53" s="64"/>
      <c r="S53" s="63"/>
      <c r="T53" s="64"/>
      <c r="U53" s="63"/>
      <c r="V53" s="64"/>
      <c r="W53" s="63"/>
      <c r="X53" s="64"/>
      <c r="Y53" s="63"/>
      <c r="Z53" s="64"/>
      <c r="AA53" s="69"/>
      <c r="AB53" s="64"/>
      <c r="AC53" s="64"/>
      <c r="AD53" s="64">
        <f t="shared" si="6"/>
        <v>262.2</v>
      </c>
      <c r="AE53" s="78"/>
    </row>
    <row r="54" spans="1:31" ht="70.900000000000006" customHeight="1" x14ac:dyDescent="0.25">
      <c r="A54" s="87" t="s">
        <v>79</v>
      </c>
      <c r="B54" s="56">
        <v>16</v>
      </c>
      <c r="C54" s="57">
        <v>4640</v>
      </c>
      <c r="D54" s="58">
        <v>15</v>
      </c>
      <c r="E54" s="57">
        <v>3974.64</v>
      </c>
      <c r="F54" s="58">
        <v>14</v>
      </c>
      <c r="G54" s="57">
        <v>3400</v>
      </c>
      <c r="H54" s="58">
        <v>12</v>
      </c>
      <c r="I54" s="57">
        <v>2831.33</v>
      </c>
      <c r="J54" s="90">
        <v>11</v>
      </c>
      <c r="K54" s="182">
        <v>2480</v>
      </c>
      <c r="L54" s="60">
        <f t="shared" si="16"/>
        <v>68</v>
      </c>
      <c r="M54" s="61">
        <f t="shared" si="16"/>
        <v>17325.97</v>
      </c>
      <c r="N54" s="57"/>
      <c r="O54" s="58">
        <v>11</v>
      </c>
      <c r="P54" s="62">
        <v>2480</v>
      </c>
      <c r="Q54" s="63"/>
      <c r="R54" s="64"/>
      <c r="S54" s="63"/>
      <c r="T54" s="64"/>
      <c r="U54" s="63"/>
      <c r="V54" s="64"/>
      <c r="W54" s="63"/>
      <c r="X54" s="64"/>
      <c r="Y54" s="63"/>
      <c r="Z54" s="64"/>
      <c r="AA54" s="69"/>
      <c r="AB54" s="64"/>
      <c r="AC54" s="64"/>
      <c r="AD54" s="64">
        <f t="shared" si="6"/>
        <v>19805.97</v>
      </c>
      <c r="AE54" s="78"/>
    </row>
    <row r="55" spans="1:31" ht="84" customHeight="1" x14ac:dyDescent="0.25">
      <c r="A55" s="87" t="s">
        <v>104</v>
      </c>
      <c r="B55" s="56"/>
      <c r="C55" s="57"/>
      <c r="D55" s="58">
        <v>1</v>
      </c>
      <c r="E55" s="57">
        <v>70</v>
      </c>
      <c r="F55" s="58"/>
      <c r="G55" s="57"/>
      <c r="H55" s="58"/>
      <c r="I55" s="57"/>
      <c r="J55" s="90">
        <v>0</v>
      </c>
      <c r="K55" s="182">
        <v>0</v>
      </c>
      <c r="L55" s="60">
        <f t="shared" si="16"/>
        <v>1</v>
      </c>
      <c r="M55" s="61">
        <f t="shared" si="16"/>
        <v>70</v>
      </c>
      <c r="N55" s="57"/>
      <c r="O55" s="58"/>
      <c r="P55" s="62"/>
      <c r="Q55" s="63"/>
      <c r="R55" s="64"/>
      <c r="S55" s="63"/>
      <c r="T55" s="64"/>
      <c r="U55" s="63"/>
      <c r="V55" s="64"/>
      <c r="W55" s="63"/>
      <c r="X55" s="64"/>
      <c r="Y55" s="63"/>
      <c r="Z55" s="64"/>
      <c r="AA55" s="69"/>
      <c r="AB55" s="64"/>
      <c r="AC55" s="64"/>
      <c r="AD55" s="64">
        <f t="shared" si="6"/>
        <v>70</v>
      </c>
      <c r="AE55" s="78"/>
    </row>
    <row r="56" spans="1:31" x14ac:dyDescent="0.25">
      <c r="A56" s="87" t="s">
        <v>81</v>
      </c>
      <c r="B56" s="56">
        <v>2</v>
      </c>
      <c r="C56" s="57">
        <v>291.31</v>
      </c>
      <c r="D56" s="58">
        <v>3</v>
      </c>
      <c r="E56" s="57">
        <v>342.38</v>
      </c>
      <c r="F56" s="58">
        <v>9</v>
      </c>
      <c r="G56" s="57">
        <v>1175.82</v>
      </c>
      <c r="H56" s="58">
        <v>9</v>
      </c>
      <c r="I56" s="57">
        <v>1069</v>
      </c>
      <c r="J56" s="90">
        <v>14</v>
      </c>
      <c r="K56" s="182">
        <v>1341.15</v>
      </c>
      <c r="L56" s="60">
        <f t="shared" si="16"/>
        <v>37</v>
      </c>
      <c r="M56" s="61">
        <f t="shared" si="16"/>
        <v>4219.66</v>
      </c>
      <c r="N56" s="57"/>
      <c r="O56" s="58">
        <v>7</v>
      </c>
      <c r="P56" s="62">
        <v>1636.25</v>
      </c>
      <c r="Q56" s="63"/>
      <c r="R56" s="64"/>
      <c r="S56" s="63"/>
      <c r="T56" s="64"/>
      <c r="U56" s="63"/>
      <c r="V56" s="64"/>
      <c r="W56" s="63"/>
      <c r="X56" s="64"/>
      <c r="Y56" s="63"/>
      <c r="Z56" s="64"/>
      <c r="AA56" s="69"/>
      <c r="AB56" s="64"/>
      <c r="AC56" s="64"/>
      <c r="AD56" s="64">
        <f t="shared" si="6"/>
        <v>5855.91</v>
      </c>
      <c r="AE56" s="78"/>
    </row>
    <row r="57" spans="1:31" ht="25.5" x14ac:dyDescent="0.25">
      <c r="A57" s="87" t="s">
        <v>105</v>
      </c>
      <c r="B57" s="56"/>
      <c r="C57" s="57"/>
      <c r="D57" s="58"/>
      <c r="E57" s="57"/>
      <c r="F57" s="58"/>
      <c r="G57" s="57"/>
      <c r="H57" s="58">
        <v>1</v>
      </c>
      <c r="I57" s="57">
        <v>223.74</v>
      </c>
      <c r="J57" s="90">
        <v>1</v>
      </c>
      <c r="K57" s="182">
        <v>447.48</v>
      </c>
      <c r="L57" s="60">
        <f t="shared" si="16"/>
        <v>2</v>
      </c>
      <c r="M57" s="61">
        <f t="shared" si="16"/>
        <v>671.22</v>
      </c>
      <c r="N57" s="57"/>
      <c r="O57" s="58"/>
      <c r="P57" s="62"/>
      <c r="Q57" s="63"/>
      <c r="R57" s="64"/>
      <c r="S57" s="63"/>
      <c r="T57" s="64"/>
      <c r="U57" s="63"/>
      <c r="V57" s="64"/>
      <c r="W57" s="63"/>
      <c r="X57" s="64"/>
      <c r="Y57" s="63"/>
      <c r="Z57" s="64"/>
      <c r="AA57" s="69"/>
      <c r="AB57" s="64"/>
      <c r="AC57" s="64"/>
      <c r="AD57" s="64">
        <f t="shared" si="6"/>
        <v>671.22</v>
      </c>
      <c r="AE57" s="78"/>
    </row>
    <row r="58" spans="1:31" x14ac:dyDescent="0.25">
      <c r="A58" s="87" t="s">
        <v>106</v>
      </c>
      <c r="B58" s="56"/>
      <c r="C58" s="57"/>
      <c r="D58" s="58"/>
      <c r="E58" s="57"/>
      <c r="F58" s="58">
        <v>2</v>
      </c>
      <c r="G58" s="57">
        <v>903.24</v>
      </c>
      <c r="H58" s="58"/>
      <c r="I58" s="57"/>
      <c r="J58" s="90">
        <v>0</v>
      </c>
      <c r="K58" s="182">
        <v>0</v>
      </c>
      <c r="L58" s="60">
        <f t="shared" si="16"/>
        <v>2</v>
      </c>
      <c r="M58" s="61">
        <f t="shared" si="16"/>
        <v>903.24</v>
      </c>
      <c r="N58" s="57"/>
      <c r="O58" s="58"/>
      <c r="P58" s="62"/>
      <c r="Q58" s="63"/>
      <c r="R58" s="64"/>
      <c r="S58" s="63"/>
      <c r="T58" s="64"/>
      <c r="U58" s="63"/>
      <c r="V58" s="64"/>
      <c r="W58" s="63"/>
      <c r="X58" s="64"/>
      <c r="Y58" s="63"/>
      <c r="Z58" s="64"/>
      <c r="AA58" s="69"/>
      <c r="AB58" s="64"/>
      <c r="AC58" s="64"/>
      <c r="AD58" s="64">
        <f t="shared" si="6"/>
        <v>903.24</v>
      </c>
      <c r="AE58" s="78"/>
    </row>
    <row r="59" spans="1:31" ht="38.25" x14ac:dyDescent="0.25">
      <c r="A59" s="87" t="s">
        <v>107</v>
      </c>
      <c r="B59" s="56">
        <v>52</v>
      </c>
      <c r="C59" s="57">
        <v>1638</v>
      </c>
      <c r="D59" s="58">
        <v>22</v>
      </c>
      <c r="E59" s="57">
        <v>751</v>
      </c>
      <c r="F59" s="58"/>
      <c r="G59" s="57"/>
      <c r="H59" s="58">
        <v>7</v>
      </c>
      <c r="I59" s="57">
        <v>217</v>
      </c>
      <c r="J59" s="90">
        <v>4</v>
      </c>
      <c r="K59" s="182">
        <v>116</v>
      </c>
      <c r="L59" s="60">
        <f t="shared" si="16"/>
        <v>85</v>
      </c>
      <c r="M59" s="61">
        <f t="shared" si="16"/>
        <v>2722</v>
      </c>
      <c r="N59" s="57"/>
      <c r="O59" s="58"/>
      <c r="P59" s="62"/>
      <c r="Q59" s="63"/>
      <c r="R59" s="64"/>
      <c r="S59" s="63"/>
      <c r="T59" s="64"/>
      <c r="U59" s="63"/>
      <c r="V59" s="64"/>
      <c r="W59" s="63"/>
      <c r="X59" s="64"/>
      <c r="Y59" s="63"/>
      <c r="Z59" s="64"/>
      <c r="AA59" s="69"/>
      <c r="AB59" s="64"/>
      <c r="AC59" s="64"/>
      <c r="AD59" s="64">
        <f t="shared" si="6"/>
        <v>2722</v>
      </c>
      <c r="AE59" s="78"/>
    </row>
    <row r="60" spans="1:31" x14ac:dyDescent="0.25">
      <c r="A60" s="87" t="s">
        <v>108</v>
      </c>
      <c r="B60" s="56"/>
      <c r="C60" s="57"/>
      <c r="D60" s="58"/>
      <c r="E60" s="57"/>
      <c r="F60" s="58"/>
      <c r="G60" s="57"/>
      <c r="H60" s="58"/>
      <c r="I60" s="57"/>
      <c r="J60" s="90">
        <v>0</v>
      </c>
      <c r="K60" s="182">
        <v>0</v>
      </c>
      <c r="L60" s="60">
        <f t="shared" si="16"/>
        <v>0</v>
      </c>
      <c r="M60" s="61">
        <f t="shared" si="16"/>
        <v>0</v>
      </c>
      <c r="N60" s="57"/>
      <c r="O60" s="58"/>
      <c r="P60" s="62"/>
      <c r="Q60" s="63"/>
      <c r="R60" s="64"/>
      <c r="S60" s="63"/>
      <c r="T60" s="64"/>
      <c r="U60" s="63"/>
      <c r="V60" s="64"/>
      <c r="W60" s="63"/>
      <c r="X60" s="64"/>
      <c r="Y60" s="63"/>
      <c r="Z60" s="64"/>
      <c r="AA60" s="69"/>
      <c r="AB60" s="64"/>
      <c r="AC60" s="64"/>
      <c r="AD60" s="64">
        <f t="shared" si="6"/>
        <v>0</v>
      </c>
      <c r="AE60" s="78"/>
    </row>
    <row r="61" spans="1:31" x14ac:dyDescent="0.25">
      <c r="A61" s="87" t="s">
        <v>109</v>
      </c>
      <c r="B61" s="56"/>
      <c r="C61" s="57"/>
      <c r="D61" s="58"/>
      <c r="E61" s="57"/>
      <c r="F61" s="58">
        <v>1</v>
      </c>
      <c r="G61" s="57">
        <v>100</v>
      </c>
      <c r="H61" s="58">
        <v>1</v>
      </c>
      <c r="I61" s="57">
        <v>100</v>
      </c>
      <c r="J61" s="90">
        <v>0</v>
      </c>
      <c r="K61" s="182">
        <v>0</v>
      </c>
      <c r="L61" s="60">
        <f t="shared" si="16"/>
        <v>2</v>
      </c>
      <c r="M61" s="61">
        <f t="shared" si="16"/>
        <v>200</v>
      </c>
      <c r="N61" s="57"/>
      <c r="O61" s="58"/>
      <c r="P61" s="62"/>
      <c r="Q61" s="63"/>
      <c r="R61" s="64"/>
      <c r="S61" s="63"/>
      <c r="T61" s="64"/>
      <c r="U61" s="63"/>
      <c r="V61" s="64"/>
      <c r="W61" s="63"/>
      <c r="X61" s="64"/>
      <c r="Y61" s="63"/>
      <c r="Z61" s="64"/>
      <c r="AA61" s="69"/>
      <c r="AB61" s="64"/>
      <c r="AC61" s="64"/>
      <c r="AD61" s="64">
        <f t="shared" si="6"/>
        <v>200</v>
      </c>
      <c r="AE61" s="78"/>
    </row>
    <row r="62" spans="1:31" x14ac:dyDescent="0.25">
      <c r="A62" s="87" t="s">
        <v>110</v>
      </c>
      <c r="B62" s="56"/>
      <c r="C62" s="57"/>
      <c r="D62" s="58">
        <v>3</v>
      </c>
      <c r="E62" s="57">
        <v>100</v>
      </c>
      <c r="F62" s="58"/>
      <c r="G62" s="57"/>
      <c r="H62" s="58"/>
      <c r="I62" s="57"/>
      <c r="J62" s="90">
        <v>0</v>
      </c>
      <c r="K62" s="182">
        <v>0</v>
      </c>
      <c r="L62" s="60">
        <f t="shared" si="16"/>
        <v>3</v>
      </c>
      <c r="M62" s="61">
        <f t="shared" si="16"/>
        <v>100</v>
      </c>
      <c r="N62" s="57"/>
      <c r="O62" s="58"/>
      <c r="P62" s="62"/>
      <c r="Q62" s="63"/>
      <c r="R62" s="64"/>
      <c r="S62" s="63"/>
      <c r="T62" s="64"/>
      <c r="U62" s="63"/>
      <c r="V62" s="64"/>
      <c r="W62" s="63"/>
      <c r="X62" s="64"/>
      <c r="Y62" s="63"/>
      <c r="Z62" s="64"/>
      <c r="AA62" s="69"/>
      <c r="AB62" s="64"/>
      <c r="AC62" s="64"/>
      <c r="AD62" s="64">
        <f t="shared" si="6"/>
        <v>100</v>
      </c>
      <c r="AE62" s="78"/>
    </row>
    <row r="63" spans="1:31" x14ac:dyDescent="0.25">
      <c r="A63" s="87" t="s">
        <v>111</v>
      </c>
      <c r="B63" s="56"/>
      <c r="C63" s="57"/>
      <c r="D63" s="58"/>
      <c r="E63" s="57"/>
      <c r="F63" s="58"/>
      <c r="G63" s="57"/>
      <c r="H63" s="58"/>
      <c r="I63" s="57"/>
      <c r="J63" s="90">
        <v>6</v>
      </c>
      <c r="K63" s="182">
        <v>120</v>
      </c>
      <c r="L63" s="60">
        <f t="shared" si="16"/>
        <v>6</v>
      </c>
      <c r="M63" s="61">
        <f t="shared" si="16"/>
        <v>120</v>
      </c>
      <c r="N63" s="57"/>
      <c r="O63" s="58"/>
      <c r="P63" s="62"/>
      <c r="Q63" s="63"/>
      <c r="R63" s="64"/>
      <c r="S63" s="63"/>
      <c r="T63" s="64"/>
      <c r="U63" s="63"/>
      <c r="V63" s="64"/>
      <c r="W63" s="63"/>
      <c r="X63" s="64"/>
      <c r="Y63" s="63"/>
      <c r="Z63" s="64"/>
      <c r="AA63" s="69"/>
      <c r="AB63" s="64"/>
      <c r="AC63" s="64"/>
      <c r="AD63" s="64">
        <f t="shared" si="6"/>
        <v>120</v>
      </c>
      <c r="AE63" s="78"/>
    </row>
    <row r="64" spans="1:31" ht="38.25" x14ac:dyDescent="0.25">
      <c r="A64" s="87" t="s">
        <v>112</v>
      </c>
      <c r="B64" s="56"/>
      <c r="C64" s="57"/>
      <c r="D64" s="58"/>
      <c r="E64" s="57"/>
      <c r="F64" s="58"/>
      <c r="G64" s="57"/>
      <c r="H64" s="58">
        <v>12</v>
      </c>
      <c r="I64" s="57">
        <v>607.1</v>
      </c>
      <c r="J64" s="90">
        <v>9</v>
      </c>
      <c r="K64" s="182">
        <v>249.9</v>
      </c>
      <c r="L64" s="60">
        <f t="shared" si="16"/>
        <v>21</v>
      </c>
      <c r="M64" s="61">
        <f t="shared" si="16"/>
        <v>857</v>
      </c>
      <c r="N64" s="57"/>
      <c r="O64" s="58">
        <v>9</v>
      </c>
      <c r="P64" s="62">
        <v>254.1</v>
      </c>
      <c r="Q64" s="63"/>
      <c r="R64" s="64"/>
      <c r="S64" s="63"/>
      <c r="T64" s="64"/>
      <c r="U64" s="63"/>
      <c r="V64" s="64"/>
      <c r="W64" s="63"/>
      <c r="X64" s="64"/>
      <c r="Y64" s="63"/>
      <c r="Z64" s="64"/>
      <c r="AA64" s="69"/>
      <c r="AB64" s="64"/>
      <c r="AC64" s="64"/>
      <c r="AD64" s="64">
        <f t="shared" si="6"/>
        <v>1111.0999999999999</v>
      </c>
      <c r="AE64" s="78"/>
    </row>
    <row r="65" spans="1:31" x14ac:dyDescent="0.25">
      <c r="A65" s="87" t="s">
        <v>113</v>
      </c>
      <c r="B65" s="56">
        <v>8</v>
      </c>
      <c r="C65" s="57">
        <v>125.35</v>
      </c>
      <c r="D65" s="58">
        <v>12</v>
      </c>
      <c r="E65" s="57">
        <v>459.78</v>
      </c>
      <c r="F65" s="58">
        <v>11</v>
      </c>
      <c r="G65" s="57">
        <v>506.12</v>
      </c>
      <c r="H65" s="58">
        <v>6</v>
      </c>
      <c r="I65" s="57">
        <v>215.28</v>
      </c>
      <c r="J65" s="90">
        <v>5</v>
      </c>
      <c r="K65" s="182">
        <v>202.05</v>
      </c>
      <c r="L65" s="60">
        <f t="shared" si="16"/>
        <v>42</v>
      </c>
      <c r="M65" s="61">
        <f t="shared" si="16"/>
        <v>1508.58</v>
      </c>
      <c r="N65" s="57"/>
      <c r="O65" s="58">
        <v>4</v>
      </c>
      <c r="P65" s="62">
        <v>158.31</v>
      </c>
      <c r="Q65" s="63"/>
      <c r="R65" s="64"/>
      <c r="S65" s="63"/>
      <c r="T65" s="64"/>
      <c r="U65" s="63"/>
      <c r="V65" s="64"/>
      <c r="W65" s="63"/>
      <c r="X65" s="64"/>
      <c r="Y65" s="63"/>
      <c r="Z65" s="64"/>
      <c r="AA65" s="69"/>
      <c r="AB65" s="64"/>
      <c r="AC65" s="64"/>
      <c r="AD65" s="64">
        <f t="shared" si="6"/>
        <v>1666.8899999999999</v>
      </c>
      <c r="AE65" s="78"/>
    </row>
    <row r="66" spans="1:31" ht="38.25" x14ac:dyDescent="0.25">
      <c r="A66" s="87" t="s">
        <v>114</v>
      </c>
      <c r="B66" s="56"/>
      <c r="C66" s="57"/>
      <c r="D66" s="58"/>
      <c r="E66" s="57"/>
      <c r="F66" s="58"/>
      <c r="G66" s="57"/>
      <c r="H66" s="58">
        <v>9</v>
      </c>
      <c r="I66" s="57">
        <v>446.45</v>
      </c>
      <c r="J66" s="90">
        <v>7</v>
      </c>
      <c r="K66" s="182">
        <v>182.15</v>
      </c>
      <c r="L66" s="60">
        <f t="shared" si="16"/>
        <v>16</v>
      </c>
      <c r="M66" s="61">
        <f t="shared" si="16"/>
        <v>628.6</v>
      </c>
      <c r="N66" s="57"/>
      <c r="O66" s="58"/>
      <c r="P66" s="62"/>
      <c r="Q66" s="63"/>
      <c r="R66" s="64"/>
      <c r="S66" s="63"/>
      <c r="T66" s="64"/>
      <c r="U66" s="63"/>
      <c r="V66" s="64"/>
      <c r="W66" s="63"/>
      <c r="X66" s="64"/>
      <c r="Y66" s="63"/>
      <c r="Z66" s="64"/>
      <c r="AA66" s="69"/>
      <c r="AB66" s="64"/>
      <c r="AC66" s="64"/>
      <c r="AD66" s="64">
        <f t="shared" si="6"/>
        <v>628.6</v>
      </c>
      <c r="AE66" s="78"/>
    </row>
    <row r="67" spans="1:31" x14ac:dyDescent="0.25">
      <c r="A67" s="87" t="s">
        <v>115</v>
      </c>
      <c r="B67" s="56">
        <v>8</v>
      </c>
      <c r="C67" s="57">
        <v>335.4</v>
      </c>
      <c r="D67" s="58">
        <v>9</v>
      </c>
      <c r="E67" s="57">
        <v>306.8</v>
      </c>
      <c r="F67" s="58">
        <v>8</v>
      </c>
      <c r="G67" s="57">
        <v>377</v>
      </c>
      <c r="H67" s="58">
        <v>9</v>
      </c>
      <c r="I67" s="57">
        <v>314.60000000000002</v>
      </c>
      <c r="J67" s="90">
        <v>9</v>
      </c>
      <c r="K67" s="182">
        <v>296.39999999999998</v>
      </c>
      <c r="L67" s="60">
        <f t="shared" si="16"/>
        <v>43</v>
      </c>
      <c r="M67" s="61">
        <f t="shared" si="16"/>
        <v>1630.2000000000003</v>
      </c>
      <c r="N67" s="57"/>
      <c r="O67" s="58">
        <v>7</v>
      </c>
      <c r="P67" s="62">
        <v>296.39999999999998</v>
      </c>
      <c r="Q67" s="63"/>
      <c r="R67" s="64"/>
      <c r="S67" s="63"/>
      <c r="T67" s="64"/>
      <c r="U67" s="63"/>
      <c r="V67" s="64"/>
      <c r="W67" s="63"/>
      <c r="X67" s="64"/>
      <c r="Y67" s="63"/>
      <c r="Z67" s="64"/>
      <c r="AA67" s="69"/>
      <c r="AB67" s="64"/>
      <c r="AC67" s="64"/>
      <c r="AD67" s="64">
        <f t="shared" si="6"/>
        <v>1926.6000000000004</v>
      </c>
      <c r="AE67" s="78"/>
    </row>
    <row r="68" spans="1:31" x14ac:dyDescent="0.25">
      <c r="A68" s="87" t="s">
        <v>116</v>
      </c>
      <c r="B68" s="56">
        <v>6</v>
      </c>
      <c r="C68" s="57">
        <v>900</v>
      </c>
      <c r="D68" s="58"/>
      <c r="E68" s="57"/>
      <c r="F68" s="58">
        <v>8</v>
      </c>
      <c r="G68" s="57">
        <v>1200</v>
      </c>
      <c r="H68" s="58">
        <v>3</v>
      </c>
      <c r="I68" s="57">
        <v>450</v>
      </c>
      <c r="J68" s="90">
        <v>4</v>
      </c>
      <c r="K68" s="182">
        <v>600</v>
      </c>
      <c r="L68" s="60">
        <f t="shared" si="16"/>
        <v>21</v>
      </c>
      <c r="M68" s="61">
        <f t="shared" si="16"/>
        <v>3150</v>
      </c>
      <c r="N68" s="57"/>
      <c r="O68" s="58">
        <v>2</v>
      </c>
      <c r="P68" s="62">
        <v>300</v>
      </c>
      <c r="Q68" s="63"/>
      <c r="R68" s="64"/>
      <c r="S68" s="63"/>
      <c r="T68" s="64"/>
      <c r="U68" s="63"/>
      <c r="V68" s="64"/>
      <c r="W68" s="63"/>
      <c r="X68" s="64"/>
      <c r="Y68" s="63"/>
      <c r="Z68" s="64"/>
      <c r="AA68" s="69"/>
      <c r="AB68" s="64"/>
      <c r="AC68" s="64"/>
      <c r="AD68" s="64">
        <f t="shared" si="6"/>
        <v>3450</v>
      </c>
      <c r="AE68" s="78"/>
    </row>
    <row r="69" spans="1:31" x14ac:dyDescent="0.25">
      <c r="A69" s="87" t="s">
        <v>117</v>
      </c>
      <c r="B69" s="56">
        <v>1</v>
      </c>
      <c r="C69" s="57">
        <v>14</v>
      </c>
      <c r="D69" s="58">
        <v>1</v>
      </c>
      <c r="E69" s="57">
        <v>14</v>
      </c>
      <c r="F69" s="58">
        <v>1</v>
      </c>
      <c r="G69" s="57">
        <v>14</v>
      </c>
      <c r="H69" s="58">
        <v>1</v>
      </c>
      <c r="I69" s="57">
        <v>14</v>
      </c>
      <c r="J69" s="90">
        <v>0</v>
      </c>
      <c r="K69" s="182">
        <v>0</v>
      </c>
      <c r="L69" s="60">
        <f t="shared" si="16"/>
        <v>4</v>
      </c>
      <c r="M69" s="61">
        <f t="shared" si="16"/>
        <v>56</v>
      </c>
      <c r="N69" s="57"/>
      <c r="O69" s="58"/>
      <c r="P69" s="62"/>
      <c r="Q69" s="63"/>
      <c r="R69" s="64"/>
      <c r="S69" s="63"/>
      <c r="T69" s="64"/>
      <c r="U69" s="63"/>
      <c r="V69" s="64"/>
      <c r="W69" s="63"/>
      <c r="X69" s="64"/>
      <c r="Y69" s="63"/>
      <c r="Z69" s="64"/>
      <c r="AA69" s="69"/>
      <c r="AB69" s="64"/>
      <c r="AC69" s="64"/>
      <c r="AD69" s="64">
        <f t="shared" si="6"/>
        <v>56</v>
      </c>
      <c r="AE69" s="78"/>
    </row>
    <row r="70" spans="1:31" x14ac:dyDescent="0.25">
      <c r="A70" s="87" t="s">
        <v>118</v>
      </c>
      <c r="B70" s="56">
        <v>4</v>
      </c>
      <c r="C70" s="57">
        <v>314</v>
      </c>
      <c r="D70" s="58">
        <v>4</v>
      </c>
      <c r="E70" s="57">
        <v>314</v>
      </c>
      <c r="F70" s="58">
        <v>4</v>
      </c>
      <c r="G70" s="57">
        <v>314</v>
      </c>
      <c r="H70" s="58">
        <v>5</v>
      </c>
      <c r="I70" s="57">
        <v>381</v>
      </c>
      <c r="J70" s="90">
        <v>5</v>
      </c>
      <c r="K70" s="182">
        <v>381</v>
      </c>
      <c r="L70" s="60">
        <f t="shared" si="16"/>
        <v>22</v>
      </c>
      <c r="M70" s="61">
        <f t="shared" si="16"/>
        <v>1704</v>
      </c>
      <c r="N70" s="57"/>
      <c r="O70" s="58">
        <v>5</v>
      </c>
      <c r="P70" s="62">
        <v>381</v>
      </c>
      <c r="Q70" s="63"/>
      <c r="R70" s="64"/>
      <c r="S70" s="63"/>
      <c r="T70" s="64"/>
      <c r="U70" s="63"/>
      <c r="V70" s="64"/>
      <c r="W70" s="63"/>
      <c r="X70" s="64"/>
      <c r="Y70" s="63"/>
      <c r="Z70" s="64"/>
      <c r="AA70" s="69"/>
      <c r="AB70" s="64"/>
      <c r="AC70" s="64"/>
      <c r="AD70" s="64">
        <f t="shared" si="6"/>
        <v>2085</v>
      </c>
      <c r="AE70" s="78"/>
    </row>
    <row r="71" spans="1:31" ht="25.5" x14ac:dyDescent="0.25">
      <c r="A71" s="87" t="s">
        <v>119</v>
      </c>
      <c r="B71" s="56"/>
      <c r="C71" s="57"/>
      <c r="D71" s="58"/>
      <c r="E71" s="57"/>
      <c r="F71" s="58"/>
      <c r="G71" s="57"/>
      <c r="H71" s="58"/>
      <c r="I71" s="57"/>
      <c r="J71" s="90">
        <v>1</v>
      </c>
      <c r="K71" s="182">
        <v>50</v>
      </c>
      <c r="L71" s="60">
        <f t="shared" si="16"/>
        <v>1</v>
      </c>
      <c r="M71" s="61">
        <f t="shared" si="16"/>
        <v>50</v>
      </c>
      <c r="N71" s="57"/>
      <c r="O71" s="58">
        <v>2</v>
      </c>
      <c r="P71" s="62">
        <v>98.63</v>
      </c>
      <c r="Q71" s="63"/>
      <c r="R71" s="64"/>
      <c r="S71" s="63"/>
      <c r="T71" s="64"/>
      <c r="U71" s="63"/>
      <c r="V71" s="64"/>
      <c r="W71" s="63"/>
      <c r="X71" s="64"/>
      <c r="Y71" s="63"/>
      <c r="Z71" s="64"/>
      <c r="AA71" s="69"/>
      <c r="AB71" s="64"/>
      <c r="AC71" s="64"/>
      <c r="AD71" s="64">
        <f t="shared" si="6"/>
        <v>148.63</v>
      </c>
      <c r="AE71" s="78"/>
    </row>
    <row r="72" spans="1:31" x14ac:dyDescent="0.25">
      <c r="A72" s="87" t="s">
        <v>120</v>
      </c>
      <c r="B72" s="56"/>
      <c r="C72" s="57"/>
      <c r="D72" s="58">
        <v>1</v>
      </c>
      <c r="E72" s="57">
        <v>100</v>
      </c>
      <c r="F72" s="58"/>
      <c r="G72" s="57"/>
      <c r="H72" s="58"/>
      <c r="I72" s="57"/>
      <c r="J72" s="90">
        <v>0</v>
      </c>
      <c r="K72" s="182">
        <v>0</v>
      </c>
      <c r="L72" s="60">
        <f t="shared" si="16"/>
        <v>1</v>
      </c>
      <c r="M72" s="61">
        <f t="shared" si="16"/>
        <v>100</v>
      </c>
      <c r="N72" s="57"/>
      <c r="O72" s="58"/>
      <c r="P72" s="62"/>
      <c r="Q72" s="63"/>
      <c r="R72" s="64"/>
      <c r="S72" s="63"/>
      <c r="T72" s="64"/>
      <c r="U72" s="63"/>
      <c r="V72" s="64"/>
      <c r="W72" s="63"/>
      <c r="X72" s="64"/>
      <c r="Y72" s="63"/>
      <c r="Z72" s="64"/>
      <c r="AA72" s="69"/>
      <c r="AB72" s="64"/>
      <c r="AC72" s="64"/>
      <c r="AD72" s="64">
        <f t="shared" si="6"/>
        <v>100</v>
      </c>
      <c r="AE72" s="78"/>
    </row>
    <row r="73" spans="1:31" x14ac:dyDescent="0.25">
      <c r="A73" s="87" t="s">
        <v>121</v>
      </c>
      <c r="B73" s="56"/>
      <c r="C73" s="57"/>
      <c r="D73" s="58">
        <v>1</v>
      </c>
      <c r="E73" s="57">
        <v>35</v>
      </c>
      <c r="F73" s="58"/>
      <c r="G73" s="57"/>
      <c r="H73" s="58"/>
      <c r="I73" s="57"/>
      <c r="J73" s="90">
        <v>0</v>
      </c>
      <c r="K73" s="182">
        <v>0</v>
      </c>
      <c r="L73" s="60">
        <f t="shared" si="16"/>
        <v>1</v>
      </c>
      <c r="M73" s="61">
        <f t="shared" si="16"/>
        <v>35</v>
      </c>
      <c r="N73" s="57"/>
      <c r="O73" s="58"/>
      <c r="P73" s="62"/>
      <c r="Q73" s="63"/>
      <c r="R73" s="64"/>
      <c r="S73" s="63"/>
      <c r="T73" s="64"/>
      <c r="U73" s="63"/>
      <c r="V73" s="64"/>
      <c r="W73" s="63"/>
      <c r="X73" s="64"/>
      <c r="Y73" s="63"/>
      <c r="Z73" s="64"/>
      <c r="AA73" s="69"/>
      <c r="AB73" s="64"/>
      <c r="AC73" s="64"/>
      <c r="AD73" s="64">
        <f t="shared" si="6"/>
        <v>35</v>
      </c>
      <c r="AE73" s="78"/>
    </row>
    <row r="74" spans="1:31" ht="25.5" x14ac:dyDescent="0.25">
      <c r="A74" s="87" t="s">
        <v>122</v>
      </c>
      <c r="B74" s="56"/>
      <c r="C74" s="57"/>
      <c r="D74" s="58"/>
      <c r="E74" s="57"/>
      <c r="F74" s="58">
        <v>3</v>
      </c>
      <c r="G74" s="57">
        <v>135.66</v>
      </c>
      <c r="H74" s="58">
        <v>1</v>
      </c>
      <c r="I74" s="57">
        <v>41.57</v>
      </c>
      <c r="J74" s="90">
        <v>3</v>
      </c>
      <c r="K74" s="182">
        <v>114.71</v>
      </c>
      <c r="L74" s="60">
        <f t="shared" si="16"/>
        <v>7</v>
      </c>
      <c r="M74" s="61">
        <f t="shared" si="16"/>
        <v>291.94</v>
      </c>
      <c r="N74" s="57"/>
      <c r="O74" s="58">
        <v>2</v>
      </c>
      <c r="P74" s="62">
        <v>38.840000000000003</v>
      </c>
      <c r="Q74" s="63"/>
      <c r="R74" s="64"/>
      <c r="S74" s="63"/>
      <c r="T74" s="64"/>
      <c r="U74" s="63"/>
      <c r="V74" s="64"/>
      <c r="W74" s="63"/>
      <c r="X74" s="64"/>
      <c r="Y74" s="63"/>
      <c r="Z74" s="64"/>
      <c r="AA74" s="69"/>
      <c r="AB74" s="64"/>
      <c r="AC74" s="64"/>
      <c r="AD74" s="64">
        <f t="shared" si="6"/>
        <v>330.78</v>
      </c>
      <c r="AE74" s="78"/>
    </row>
    <row r="75" spans="1:31" x14ac:dyDescent="0.25">
      <c r="A75" s="87" t="s">
        <v>123</v>
      </c>
      <c r="B75" s="56"/>
      <c r="C75" s="57"/>
      <c r="D75" s="58">
        <v>1</v>
      </c>
      <c r="E75" s="57">
        <v>60</v>
      </c>
      <c r="F75" s="58"/>
      <c r="G75" s="57"/>
      <c r="H75" s="58"/>
      <c r="I75" s="57"/>
      <c r="J75" s="90">
        <v>0</v>
      </c>
      <c r="K75" s="182">
        <v>0</v>
      </c>
      <c r="L75" s="60">
        <f t="shared" ref="L75:M101" si="17">B75+D75+F75+H75+J75</f>
        <v>1</v>
      </c>
      <c r="M75" s="61">
        <f t="shared" si="17"/>
        <v>60</v>
      </c>
      <c r="N75" s="57"/>
      <c r="O75" s="58"/>
      <c r="P75" s="62"/>
      <c r="Q75" s="63"/>
      <c r="R75" s="64"/>
      <c r="S75" s="63"/>
      <c r="T75" s="64"/>
      <c r="U75" s="63"/>
      <c r="V75" s="64"/>
      <c r="W75" s="63"/>
      <c r="X75" s="64"/>
      <c r="Y75" s="63"/>
      <c r="Z75" s="64"/>
      <c r="AA75" s="69"/>
      <c r="AB75" s="64"/>
      <c r="AC75" s="64"/>
      <c r="AD75" s="64">
        <f t="shared" si="6"/>
        <v>60</v>
      </c>
      <c r="AE75" s="78"/>
    </row>
    <row r="76" spans="1:31" x14ac:dyDescent="0.25">
      <c r="A76" s="87" t="s">
        <v>124</v>
      </c>
      <c r="B76" s="56">
        <v>18</v>
      </c>
      <c r="C76" s="57">
        <v>211.65</v>
      </c>
      <c r="D76" s="58">
        <v>25</v>
      </c>
      <c r="E76" s="57">
        <v>182.75</v>
      </c>
      <c r="F76" s="58">
        <v>22</v>
      </c>
      <c r="G76" s="57">
        <v>205.7</v>
      </c>
      <c r="H76" s="58">
        <v>37</v>
      </c>
      <c r="I76" s="57">
        <v>347.65</v>
      </c>
      <c r="J76" s="90">
        <v>2</v>
      </c>
      <c r="K76" s="182">
        <v>29.75</v>
      </c>
      <c r="L76" s="60">
        <f t="shared" si="17"/>
        <v>104</v>
      </c>
      <c r="M76" s="61">
        <f t="shared" si="17"/>
        <v>977.49999999999989</v>
      </c>
      <c r="N76" s="57"/>
      <c r="O76" s="58">
        <v>35</v>
      </c>
      <c r="P76" s="62">
        <v>677.45</v>
      </c>
      <c r="Q76" s="63"/>
      <c r="R76" s="64"/>
      <c r="S76" s="63"/>
      <c r="T76" s="64"/>
      <c r="U76" s="63"/>
      <c r="V76" s="64"/>
      <c r="W76" s="63"/>
      <c r="X76" s="64"/>
      <c r="Y76" s="63"/>
      <c r="Z76" s="64"/>
      <c r="AA76" s="69"/>
      <c r="AB76" s="64"/>
      <c r="AC76" s="64"/>
      <c r="AD76" s="64">
        <f t="shared" si="6"/>
        <v>1654.9499999999998</v>
      </c>
      <c r="AE76" s="78"/>
    </row>
    <row r="77" spans="1:31" ht="25.5" x14ac:dyDescent="0.25">
      <c r="A77" s="87" t="s">
        <v>125</v>
      </c>
      <c r="B77" s="56"/>
      <c r="C77" s="57"/>
      <c r="D77" s="58"/>
      <c r="E77" s="57"/>
      <c r="F77" s="58"/>
      <c r="G77" s="57"/>
      <c r="H77" s="58">
        <v>1</v>
      </c>
      <c r="I77" s="57">
        <v>82.58</v>
      </c>
      <c r="J77" s="90">
        <v>0</v>
      </c>
      <c r="K77" s="182">
        <v>0</v>
      </c>
      <c r="L77" s="60">
        <f t="shared" si="17"/>
        <v>1</v>
      </c>
      <c r="M77" s="61">
        <f t="shared" si="17"/>
        <v>82.58</v>
      </c>
      <c r="N77" s="57"/>
      <c r="O77" s="58"/>
      <c r="P77" s="62"/>
      <c r="Q77" s="63"/>
      <c r="R77" s="64"/>
      <c r="S77" s="63"/>
      <c r="T77" s="64"/>
      <c r="U77" s="63"/>
      <c r="V77" s="64"/>
      <c r="W77" s="63"/>
      <c r="X77" s="64"/>
      <c r="Y77" s="63"/>
      <c r="Z77" s="64"/>
      <c r="AA77" s="69"/>
      <c r="AB77" s="64"/>
      <c r="AC77" s="64"/>
      <c r="AD77" s="64">
        <f t="shared" si="6"/>
        <v>82.58</v>
      </c>
      <c r="AE77" s="78"/>
    </row>
    <row r="78" spans="1:31" ht="25.5" x14ac:dyDescent="0.25">
      <c r="A78" s="87" t="s">
        <v>126</v>
      </c>
      <c r="B78" s="56"/>
      <c r="C78" s="57"/>
      <c r="D78" s="58">
        <v>3</v>
      </c>
      <c r="E78" s="57">
        <v>250</v>
      </c>
      <c r="F78" s="58"/>
      <c r="G78" s="57"/>
      <c r="H78" s="58"/>
      <c r="I78" s="57"/>
      <c r="J78" s="90">
        <v>0</v>
      </c>
      <c r="K78" s="182">
        <v>0</v>
      </c>
      <c r="L78" s="60">
        <f t="shared" si="17"/>
        <v>3</v>
      </c>
      <c r="M78" s="61">
        <f t="shared" si="17"/>
        <v>250</v>
      </c>
      <c r="N78" s="57"/>
      <c r="O78" s="58"/>
      <c r="P78" s="62"/>
      <c r="Q78" s="63"/>
      <c r="R78" s="64"/>
      <c r="S78" s="63"/>
      <c r="T78" s="64"/>
      <c r="U78" s="63"/>
      <c r="V78" s="64"/>
      <c r="W78" s="63"/>
      <c r="X78" s="64"/>
      <c r="Y78" s="63"/>
      <c r="Z78" s="64"/>
      <c r="AA78" s="69"/>
      <c r="AB78" s="64"/>
      <c r="AC78" s="64"/>
      <c r="AD78" s="64">
        <f t="shared" si="6"/>
        <v>250</v>
      </c>
      <c r="AE78" s="78"/>
    </row>
    <row r="79" spans="1:31" x14ac:dyDescent="0.25">
      <c r="A79" s="87" t="s">
        <v>127</v>
      </c>
      <c r="B79" s="56">
        <v>2</v>
      </c>
      <c r="C79" s="57">
        <v>100</v>
      </c>
      <c r="D79" s="58">
        <v>1</v>
      </c>
      <c r="E79" s="57">
        <v>50</v>
      </c>
      <c r="F79" s="58">
        <v>3</v>
      </c>
      <c r="G79" s="57">
        <v>150</v>
      </c>
      <c r="H79" s="58"/>
      <c r="I79" s="57"/>
      <c r="J79" s="90">
        <v>0</v>
      </c>
      <c r="K79" s="182">
        <v>0</v>
      </c>
      <c r="L79" s="60">
        <f t="shared" si="17"/>
        <v>6</v>
      </c>
      <c r="M79" s="61">
        <f t="shared" si="17"/>
        <v>300</v>
      </c>
      <c r="N79" s="57"/>
      <c r="O79" s="58"/>
      <c r="P79" s="62"/>
      <c r="Q79" s="63"/>
      <c r="R79" s="64"/>
      <c r="S79" s="63"/>
      <c r="T79" s="64"/>
      <c r="U79" s="63"/>
      <c r="V79" s="64"/>
      <c r="W79" s="63"/>
      <c r="X79" s="64"/>
      <c r="Y79" s="63"/>
      <c r="Z79" s="64"/>
      <c r="AA79" s="69"/>
      <c r="AB79" s="64"/>
      <c r="AC79" s="64"/>
      <c r="AD79" s="64">
        <f t="shared" si="6"/>
        <v>300</v>
      </c>
      <c r="AE79" s="78"/>
    </row>
    <row r="80" spans="1:31" x14ac:dyDescent="0.25">
      <c r="A80" s="87" t="s">
        <v>71</v>
      </c>
      <c r="B80" s="56">
        <v>283</v>
      </c>
      <c r="C80" s="57">
        <v>25286.58</v>
      </c>
      <c r="D80" s="58">
        <v>266</v>
      </c>
      <c r="E80" s="57">
        <v>24513.39</v>
      </c>
      <c r="F80" s="58">
        <v>295</v>
      </c>
      <c r="G80" s="57">
        <v>25239.39</v>
      </c>
      <c r="H80" s="58">
        <v>310</v>
      </c>
      <c r="I80" s="57">
        <v>29744.22</v>
      </c>
      <c r="J80" s="90">
        <v>318</v>
      </c>
      <c r="K80" s="182">
        <v>29566.35</v>
      </c>
      <c r="L80" s="60">
        <f t="shared" si="17"/>
        <v>1472</v>
      </c>
      <c r="M80" s="61">
        <f t="shared" si="17"/>
        <v>134349.93</v>
      </c>
      <c r="N80" s="57"/>
      <c r="O80" s="58">
        <v>329</v>
      </c>
      <c r="P80" s="62">
        <v>29413.89</v>
      </c>
      <c r="Q80" s="63"/>
      <c r="R80" s="64"/>
      <c r="S80" s="63"/>
      <c r="T80" s="64"/>
      <c r="U80" s="63"/>
      <c r="V80" s="64"/>
      <c r="W80" s="63"/>
      <c r="X80" s="64"/>
      <c r="Y80" s="63"/>
      <c r="Z80" s="64"/>
      <c r="AA80" s="69"/>
      <c r="AB80" s="64"/>
      <c r="AC80" s="64"/>
      <c r="AD80" s="64">
        <f t="shared" si="6"/>
        <v>163763.82</v>
      </c>
      <c r="AE80" s="78"/>
    </row>
    <row r="81" spans="1:31" ht="25.5" x14ac:dyDescent="0.25">
      <c r="A81" s="87" t="s">
        <v>128</v>
      </c>
      <c r="B81" s="56"/>
      <c r="C81" s="57"/>
      <c r="D81" s="58"/>
      <c r="E81" s="57"/>
      <c r="F81" s="58"/>
      <c r="G81" s="57"/>
      <c r="H81" s="58"/>
      <c r="I81" s="57"/>
      <c r="J81" s="90">
        <v>1</v>
      </c>
      <c r="K81" s="182">
        <v>200</v>
      </c>
      <c r="L81" s="60">
        <f t="shared" si="17"/>
        <v>1</v>
      </c>
      <c r="M81" s="61">
        <f t="shared" si="17"/>
        <v>200</v>
      </c>
      <c r="N81" s="57"/>
      <c r="O81" s="58"/>
      <c r="P81" s="62"/>
      <c r="Q81" s="63"/>
      <c r="R81" s="64"/>
      <c r="S81" s="63"/>
      <c r="T81" s="64"/>
      <c r="U81" s="63"/>
      <c r="V81" s="64"/>
      <c r="W81" s="63"/>
      <c r="X81" s="64"/>
      <c r="Y81" s="63"/>
      <c r="Z81" s="64"/>
      <c r="AA81" s="69"/>
      <c r="AB81" s="64"/>
      <c r="AC81" s="64"/>
      <c r="AD81" s="64">
        <f t="shared" si="6"/>
        <v>200</v>
      </c>
      <c r="AE81" s="78"/>
    </row>
    <row r="82" spans="1:31" x14ac:dyDescent="0.25">
      <c r="A82" s="87" t="s">
        <v>83</v>
      </c>
      <c r="B82" s="56"/>
      <c r="C82" s="57"/>
      <c r="D82" s="58"/>
      <c r="E82" s="57"/>
      <c r="F82" s="58">
        <v>1</v>
      </c>
      <c r="G82" s="57">
        <v>967.01</v>
      </c>
      <c r="H82" s="58">
        <v>1</v>
      </c>
      <c r="I82" s="57">
        <v>723.54</v>
      </c>
      <c r="J82" s="90">
        <v>1</v>
      </c>
      <c r="K82" s="182">
        <v>700.2</v>
      </c>
      <c r="L82" s="60">
        <f t="shared" si="17"/>
        <v>3</v>
      </c>
      <c r="M82" s="61">
        <f t="shared" si="17"/>
        <v>2390.75</v>
      </c>
      <c r="N82" s="57"/>
      <c r="O82" s="58">
        <v>1</v>
      </c>
      <c r="P82" s="62">
        <v>723.54</v>
      </c>
      <c r="Q82" s="63"/>
      <c r="R82" s="64"/>
      <c r="S82" s="63"/>
      <c r="T82" s="64"/>
      <c r="U82" s="63"/>
      <c r="V82" s="64"/>
      <c r="W82" s="63"/>
      <c r="X82" s="64"/>
      <c r="Y82" s="63"/>
      <c r="Z82" s="64"/>
      <c r="AA82" s="69"/>
      <c r="AB82" s="64"/>
      <c r="AC82" s="64"/>
      <c r="AD82" s="64">
        <f t="shared" ref="AD82:AD101" si="18">M82+P82+R82+T82+V82+X82+Z82</f>
        <v>3114.29</v>
      </c>
      <c r="AE82" s="78"/>
    </row>
    <row r="83" spans="1:31" x14ac:dyDescent="0.25">
      <c r="A83" s="87" t="s">
        <v>129</v>
      </c>
      <c r="B83" s="56">
        <v>1</v>
      </c>
      <c r="C83" s="57">
        <v>28.77</v>
      </c>
      <c r="D83" s="58">
        <v>2</v>
      </c>
      <c r="E83" s="57">
        <v>89.37</v>
      </c>
      <c r="F83" s="58"/>
      <c r="G83" s="57"/>
      <c r="H83" s="58"/>
      <c r="I83" s="57"/>
      <c r="J83" s="90">
        <v>0</v>
      </c>
      <c r="K83" s="182">
        <v>0</v>
      </c>
      <c r="L83" s="60">
        <f t="shared" si="17"/>
        <v>3</v>
      </c>
      <c r="M83" s="61">
        <f t="shared" si="17"/>
        <v>118.14</v>
      </c>
      <c r="N83" s="57"/>
      <c r="O83" s="58"/>
      <c r="P83" s="62"/>
      <c r="Q83" s="63"/>
      <c r="R83" s="64"/>
      <c r="S83" s="63"/>
      <c r="T83" s="64"/>
      <c r="U83" s="63"/>
      <c r="V83" s="64"/>
      <c r="W83" s="63"/>
      <c r="X83" s="64"/>
      <c r="Y83" s="63"/>
      <c r="Z83" s="64"/>
      <c r="AA83" s="69"/>
      <c r="AB83" s="64"/>
      <c r="AC83" s="64"/>
      <c r="AD83" s="64">
        <f t="shared" si="18"/>
        <v>118.14</v>
      </c>
      <c r="AE83" s="78"/>
    </row>
    <row r="84" spans="1:31" x14ac:dyDescent="0.25">
      <c r="A84" s="87" t="s">
        <v>75</v>
      </c>
      <c r="B84" s="56">
        <v>1</v>
      </c>
      <c r="C84" s="57">
        <v>105</v>
      </c>
      <c r="D84" s="58">
        <v>1</v>
      </c>
      <c r="E84" s="57">
        <v>400</v>
      </c>
      <c r="F84" s="58"/>
      <c r="G84" s="57"/>
      <c r="H84" s="58"/>
      <c r="I84" s="57"/>
      <c r="J84" s="90">
        <v>3</v>
      </c>
      <c r="K84" s="182">
        <v>69.06</v>
      </c>
      <c r="L84" s="60">
        <f t="shared" si="17"/>
        <v>5</v>
      </c>
      <c r="M84" s="61">
        <f t="shared" si="17"/>
        <v>574.05999999999995</v>
      </c>
      <c r="N84" s="57"/>
      <c r="O84" s="58"/>
      <c r="P84" s="62"/>
      <c r="Q84" s="63"/>
      <c r="R84" s="64"/>
      <c r="S84" s="63"/>
      <c r="T84" s="64"/>
      <c r="U84" s="63"/>
      <c r="V84" s="64"/>
      <c r="W84" s="63"/>
      <c r="X84" s="64"/>
      <c r="Y84" s="63"/>
      <c r="Z84" s="64"/>
      <c r="AA84" s="69"/>
      <c r="AB84" s="64"/>
      <c r="AC84" s="64"/>
      <c r="AD84" s="64">
        <f t="shared" si="18"/>
        <v>574.05999999999995</v>
      </c>
      <c r="AE84" s="78"/>
    </row>
    <row r="85" spans="1:31" x14ac:dyDescent="0.25">
      <c r="A85" s="87" t="s">
        <v>130</v>
      </c>
      <c r="B85" s="56">
        <v>4</v>
      </c>
      <c r="C85" s="57">
        <v>174.24</v>
      </c>
      <c r="D85" s="58">
        <v>2</v>
      </c>
      <c r="E85" s="57">
        <v>130.68</v>
      </c>
      <c r="F85" s="58">
        <v>1</v>
      </c>
      <c r="G85" s="57">
        <v>43.56</v>
      </c>
      <c r="H85" s="58">
        <v>3</v>
      </c>
      <c r="I85" s="57">
        <v>43.56</v>
      </c>
      <c r="J85" s="90">
        <v>1</v>
      </c>
      <c r="K85" s="182">
        <v>14.52</v>
      </c>
      <c r="L85" s="60">
        <f t="shared" si="17"/>
        <v>11</v>
      </c>
      <c r="M85" s="61">
        <f t="shared" si="17"/>
        <v>406.56</v>
      </c>
      <c r="N85" s="57"/>
      <c r="O85" s="58"/>
      <c r="P85" s="62"/>
      <c r="Q85" s="63"/>
      <c r="R85" s="64"/>
      <c r="S85" s="63"/>
      <c r="T85" s="64"/>
      <c r="U85" s="63"/>
      <c r="V85" s="64"/>
      <c r="W85" s="63"/>
      <c r="X85" s="64"/>
      <c r="Y85" s="63"/>
      <c r="Z85" s="64"/>
      <c r="AA85" s="69"/>
      <c r="AB85" s="64"/>
      <c r="AC85" s="64"/>
      <c r="AD85" s="64">
        <f t="shared" si="18"/>
        <v>406.56</v>
      </c>
      <c r="AE85" s="78"/>
    </row>
    <row r="86" spans="1:31" x14ac:dyDescent="0.25">
      <c r="A86" s="87" t="s">
        <v>131</v>
      </c>
      <c r="B86" s="56">
        <v>1</v>
      </c>
      <c r="C86" s="57">
        <v>175</v>
      </c>
      <c r="D86" s="58">
        <v>1</v>
      </c>
      <c r="E86" s="57">
        <v>280</v>
      </c>
      <c r="F86" s="58"/>
      <c r="G86" s="57"/>
      <c r="H86" s="58"/>
      <c r="I86" s="57"/>
      <c r="J86" s="90">
        <v>0</v>
      </c>
      <c r="K86" s="182">
        <v>0</v>
      </c>
      <c r="L86" s="60">
        <f t="shared" si="17"/>
        <v>2</v>
      </c>
      <c r="M86" s="61">
        <f t="shared" si="17"/>
        <v>455</v>
      </c>
      <c r="N86" s="57"/>
      <c r="O86" s="58"/>
      <c r="P86" s="62"/>
      <c r="Q86" s="63"/>
      <c r="R86" s="64"/>
      <c r="S86" s="63"/>
      <c r="T86" s="64"/>
      <c r="U86" s="63"/>
      <c r="V86" s="64"/>
      <c r="W86" s="63"/>
      <c r="X86" s="64"/>
      <c r="Y86" s="63"/>
      <c r="Z86" s="64"/>
      <c r="AA86" s="69"/>
      <c r="AB86" s="64"/>
      <c r="AC86" s="64"/>
      <c r="AD86" s="64">
        <f t="shared" si="18"/>
        <v>455</v>
      </c>
      <c r="AE86" s="78"/>
    </row>
    <row r="87" spans="1:31" x14ac:dyDescent="0.25">
      <c r="A87" s="87" t="s">
        <v>132</v>
      </c>
      <c r="B87" s="56"/>
      <c r="C87" s="57"/>
      <c r="D87" s="58"/>
      <c r="E87" s="57"/>
      <c r="F87" s="58">
        <v>3</v>
      </c>
      <c r="G87" s="57">
        <v>468</v>
      </c>
      <c r="H87" s="58">
        <v>5</v>
      </c>
      <c r="I87" s="57">
        <v>328.5</v>
      </c>
      <c r="J87" s="90">
        <v>5</v>
      </c>
      <c r="K87" s="182">
        <v>258.5</v>
      </c>
      <c r="L87" s="60">
        <f t="shared" si="17"/>
        <v>13</v>
      </c>
      <c r="M87" s="61">
        <f t="shared" si="17"/>
        <v>1055</v>
      </c>
      <c r="N87" s="57"/>
      <c r="O87" s="58">
        <v>4</v>
      </c>
      <c r="P87" s="62">
        <v>294</v>
      </c>
      <c r="Q87" s="63"/>
      <c r="R87" s="64"/>
      <c r="S87" s="63"/>
      <c r="T87" s="64"/>
      <c r="U87" s="63"/>
      <c r="V87" s="64"/>
      <c r="W87" s="63"/>
      <c r="X87" s="64"/>
      <c r="Y87" s="63"/>
      <c r="Z87" s="64"/>
      <c r="AA87" s="69"/>
      <c r="AB87" s="64"/>
      <c r="AC87" s="64"/>
      <c r="AD87" s="64">
        <f t="shared" si="18"/>
        <v>1349</v>
      </c>
      <c r="AE87" s="78"/>
    </row>
    <row r="88" spans="1:31" x14ac:dyDescent="0.25">
      <c r="A88" s="87" t="s">
        <v>133</v>
      </c>
      <c r="B88" s="56"/>
      <c r="C88" s="57"/>
      <c r="D88" s="58">
        <v>1</v>
      </c>
      <c r="E88" s="57">
        <v>36.14</v>
      </c>
      <c r="F88" s="58">
        <v>2</v>
      </c>
      <c r="G88" s="57">
        <v>54.21</v>
      </c>
      <c r="H88" s="58">
        <v>1</v>
      </c>
      <c r="I88" s="57">
        <v>92.08</v>
      </c>
      <c r="J88" s="90">
        <v>0</v>
      </c>
      <c r="K88" s="182">
        <v>0</v>
      </c>
      <c r="L88" s="60">
        <f t="shared" si="17"/>
        <v>4</v>
      </c>
      <c r="M88" s="61">
        <f t="shared" si="17"/>
        <v>182.43</v>
      </c>
      <c r="N88" s="57"/>
      <c r="O88" s="58">
        <v>1</v>
      </c>
      <c r="P88" s="62">
        <v>46.04</v>
      </c>
      <c r="Q88" s="63"/>
      <c r="R88" s="64"/>
      <c r="S88" s="63"/>
      <c r="T88" s="64"/>
      <c r="U88" s="63"/>
      <c r="V88" s="64"/>
      <c r="W88" s="63"/>
      <c r="X88" s="64"/>
      <c r="Y88" s="63"/>
      <c r="Z88" s="64"/>
      <c r="AA88" s="69"/>
      <c r="AB88" s="64"/>
      <c r="AC88" s="64"/>
      <c r="AD88" s="64">
        <f t="shared" si="18"/>
        <v>228.47</v>
      </c>
      <c r="AE88" s="78"/>
    </row>
    <row r="89" spans="1:31" x14ac:dyDescent="0.25">
      <c r="A89" s="87" t="s">
        <v>134</v>
      </c>
      <c r="B89" s="56"/>
      <c r="C89" s="57"/>
      <c r="D89" s="58"/>
      <c r="E89" s="57"/>
      <c r="F89" s="58">
        <v>39</v>
      </c>
      <c r="G89" s="57">
        <v>2925</v>
      </c>
      <c r="H89" s="58">
        <v>13</v>
      </c>
      <c r="I89" s="57">
        <v>975</v>
      </c>
      <c r="J89" s="90">
        <v>2</v>
      </c>
      <c r="K89" s="182">
        <v>150</v>
      </c>
      <c r="L89" s="60">
        <f t="shared" si="17"/>
        <v>54</v>
      </c>
      <c r="M89" s="61">
        <f t="shared" si="17"/>
        <v>4050</v>
      </c>
      <c r="N89" s="57"/>
      <c r="O89" s="58">
        <v>15</v>
      </c>
      <c r="P89" s="62">
        <v>1125</v>
      </c>
      <c r="Q89" s="63"/>
      <c r="R89" s="64"/>
      <c r="S89" s="63"/>
      <c r="T89" s="64"/>
      <c r="U89" s="63"/>
      <c r="V89" s="64"/>
      <c r="W89" s="63"/>
      <c r="X89" s="64"/>
      <c r="Y89" s="63"/>
      <c r="Z89" s="64"/>
      <c r="AA89" s="69"/>
      <c r="AB89" s="64"/>
      <c r="AC89" s="64"/>
      <c r="AD89" s="64">
        <f t="shared" si="18"/>
        <v>5175</v>
      </c>
      <c r="AE89" s="78"/>
    </row>
    <row r="90" spans="1:31" ht="25.5" x14ac:dyDescent="0.25">
      <c r="A90" s="87" t="s">
        <v>135</v>
      </c>
      <c r="B90" s="56"/>
      <c r="C90" s="57"/>
      <c r="D90" s="58"/>
      <c r="E90" s="57"/>
      <c r="F90" s="58"/>
      <c r="G90" s="57"/>
      <c r="H90" s="58">
        <v>1</v>
      </c>
      <c r="I90" s="57">
        <v>160.63999999999999</v>
      </c>
      <c r="J90" s="90">
        <v>0</v>
      </c>
      <c r="K90" s="182">
        <v>0</v>
      </c>
      <c r="L90" s="60">
        <f t="shared" si="17"/>
        <v>1</v>
      </c>
      <c r="M90" s="61">
        <f t="shared" si="17"/>
        <v>160.63999999999999</v>
      </c>
      <c r="N90" s="57"/>
      <c r="O90" s="58"/>
      <c r="P90" s="62"/>
      <c r="Q90" s="63"/>
      <c r="R90" s="64"/>
      <c r="S90" s="63"/>
      <c r="T90" s="64"/>
      <c r="U90" s="63"/>
      <c r="V90" s="64"/>
      <c r="W90" s="63"/>
      <c r="X90" s="64"/>
      <c r="Y90" s="63"/>
      <c r="Z90" s="64"/>
      <c r="AA90" s="69"/>
      <c r="AB90" s="64"/>
      <c r="AC90" s="64"/>
      <c r="AD90" s="64">
        <f t="shared" si="18"/>
        <v>160.63999999999999</v>
      </c>
      <c r="AE90" s="78"/>
    </row>
    <row r="91" spans="1:31" ht="38.25" x14ac:dyDescent="0.25">
      <c r="A91" s="87" t="s">
        <v>136</v>
      </c>
      <c r="B91" s="56"/>
      <c r="C91" s="57"/>
      <c r="D91" s="58"/>
      <c r="E91" s="57"/>
      <c r="F91" s="58"/>
      <c r="G91" s="57"/>
      <c r="H91" s="58"/>
      <c r="I91" s="57"/>
      <c r="J91" s="90">
        <v>1</v>
      </c>
      <c r="K91" s="182">
        <v>47.95</v>
      </c>
      <c r="L91" s="60">
        <f t="shared" si="17"/>
        <v>1</v>
      </c>
      <c r="M91" s="61">
        <f t="shared" si="17"/>
        <v>47.95</v>
      </c>
      <c r="N91" s="57"/>
      <c r="O91" s="58"/>
      <c r="P91" s="62"/>
      <c r="Q91" s="63"/>
      <c r="R91" s="64"/>
      <c r="S91" s="63"/>
      <c r="T91" s="64"/>
      <c r="U91" s="63"/>
      <c r="V91" s="64"/>
      <c r="W91" s="63"/>
      <c r="X91" s="64"/>
      <c r="Y91" s="63"/>
      <c r="Z91" s="64"/>
      <c r="AA91" s="69"/>
      <c r="AB91" s="64"/>
      <c r="AC91" s="64"/>
      <c r="AD91" s="64">
        <f t="shared" si="18"/>
        <v>47.95</v>
      </c>
      <c r="AE91" s="78"/>
    </row>
    <row r="92" spans="1:31" ht="102" customHeight="1" x14ac:dyDescent="0.25">
      <c r="A92" s="87" t="s">
        <v>137</v>
      </c>
      <c r="B92" s="56"/>
      <c r="C92" s="57"/>
      <c r="D92" s="58"/>
      <c r="E92" s="57"/>
      <c r="F92" s="58">
        <v>1</v>
      </c>
      <c r="G92" s="57">
        <v>401.38</v>
      </c>
      <c r="H92" s="58"/>
      <c r="I92" s="57"/>
      <c r="J92" s="90">
        <v>0</v>
      </c>
      <c r="K92" s="182">
        <v>0</v>
      </c>
      <c r="L92" s="60">
        <f t="shared" si="17"/>
        <v>1</v>
      </c>
      <c r="M92" s="61">
        <f t="shared" si="17"/>
        <v>401.38</v>
      </c>
      <c r="N92" s="57"/>
      <c r="O92" s="58">
        <v>2</v>
      </c>
      <c r="P92" s="62">
        <v>1261.48</v>
      </c>
      <c r="Q92" s="63"/>
      <c r="R92" s="64"/>
      <c r="S92" s="63"/>
      <c r="T92" s="64"/>
      <c r="U92" s="63"/>
      <c r="V92" s="64"/>
      <c r="W92" s="63"/>
      <c r="X92" s="64"/>
      <c r="Y92" s="63"/>
      <c r="Z92" s="64"/>
      <c r="AA92" s="69"/>
      <c r="AB92" s="64"/>
      <c r="AC92" s="64"/>
      <c r="AD92" s="64">
        <f t="shared" si="18"/>
        <v>1662.8600000000001</v>
      </c>
      <c r="AE92" s="78"/>
    </row>
    <row r="93" spans="1:31" ht="89.25" x14ac:dyDescent="0.25">
      <c r="A93" s="87" t="s">
        <v>138</v>
      </c>
      <c r="B93" s="56"/>
      <c r="C93" s="57"/>
      <c r="D93" s="58"/>
      <c r="E93" s="57"/>
      <c r="F93" s="58">
        <v>1</v>
      </c>
      <c r="G93" s="57">
        <v>10</v>
      </c>
      <c r="H93" s="58"/>
      <c r="I93" s="57"/>
      <c r="J93" s="90">
        <v>0</v>
      </c>
      <c r="K93" s="182">
        <v>0</v>
      </c>
      <c r="L93" s="60">
        <f t="shared" si="17"/>
        <v>1</v>
      </c>
      <c r="M93" s="61">
        <f t="shared" si="17"/>
        <v>10</v>
      </c>
      <c r="N93" s="57"/>
      <c r="O93" s="58"/>
      <c r="P93" s="62"/>
      <c r="Q93" s="63"/>
      <c r="R93" s="64"/>
      <c r="S93" s="63"/>
      <c r="T93" s="64"/>
      <c r="U93" s="63"/>
      <c r="V93" s="64"/>
      <c r="W93" s="63"/>
      <c r="X93" s="64"/>
      <c r="Y93" s="63"/>
      <c r="Z93" s="64"/>
      <c r="AA93" s="69"/>
      <c r="AB93" s="64"/>
      <c r="AC93" s="64"/>
      <c r="AD93" s="64">
        <f t="shared" si="18"/>
        <v>10</v>
      </c>
      <c r="AE93" s="78"/>
    </row>
    <row r="94" spans="1:31" x14ac:dyDescent="0.25">
      <c r="A94" s="87" t="s">
        <v>139</v>
      </c>
      <c r="B94" s="56"/>
      <c r="C94" s="57"/>
      <c r="D94" s="58"/>
      <c r="E94" s="57"/>
      <c r="F94" s="58"/>
      <c r="G94" s="57"/>
      <c r="H94" s="58"/>
      <c r="I94" s="57"/>
      <c r="J94" s="90">
        <v>1</v>
      </c>
      <c r="K94" s="182">
        <v>76.650000000000006</v>
      </c>
      <c r="L94" s="60">
        <f t="shared" si="17"/>
        <v>1</v>
      </c>
      <c r="M94" s="61">
        <f t="shared" si="17"/>
        <v>76.650000000000006</v>
      </c>
      <c r="N94" s="57"/>
      <c r="O94" s="58">
        <v>1</v>
      </c>
      <c r="P94" s="62">
        <v>76.650000000000006</v>
      </c>
      <c r="Q94" s="63"/>
      <c r="R94" s="64"/>
      <c r="S94" s="63"/>
      <c r="T94" s="64"/>
      <c r="U94" s="63"/>
      <c r="V94" s="64"/>
      <c r="W94" s="63"/>
      <c r="X94" s="64"/>
      <c r="Y94" s="63"/>
      <c r="Z94" s="64"/>
      <c r="AA94" s="69"/>
      <c r="AB94" s="64"/>
      <c r="AC94" s="64"/>
      <c r="AD94" s="64">
        <f t="shared" si="18"/>
        <v>153.30000000000001</v>
      </c>
      <c r="AE94" s="78"/>
    </row>
    <row r="95" spans="1:31" x14ac:dyDescent="0.25">
      <c r="A95" s="87" t="s">
        <v>140</v>
      </c>
      <c r="B95" s="56"/>
      <c r="C95" s="57"/>
      <c r="D95" s="58"/>
      <c r="E95" s="57"/>
      <c r="F95" s="58"/>
      <c r="G95" s="57"/>
      <c r="H95" s="58"/>
      <c r="I95" s="57"/>
      <c r="J95" s="90">
        <v>1</v>
      </c>
      <c r="K95" s="182">
        <v>200</v>
      </c>
      <c r="L95" s="60">
        <f t="shared" si="17"/>
        <v>1</v>
      </c>
      <c r="M95" s="61">
        <f t="shared" si="17"/>
        <v>200</v>
      </c>
      <c r="N95" s="57"/>
      <c r="O95" s="58"/>
      <c r="P95" s="62"/>
      <c r="Q95" s="63"/>
      <c r="R95" s="64"/>
      <c r="S95" s="63"/>
      <c r="T95" s="64"/>
      <c r="U95" s="63"/>
      <c r="V95" s="64"/>
      <c r="W95" s="63"/>
      <c r="X95" s="64"/>
      <c r="Y95" s="63"/>
      <c r="Z95" s="64"/>
      <c r="AA95" s="69"/>
      <c r="AB95" s="64"/>
      <c r="AC95" s="64"/>
      <c r="AD95" s="64">
        <f t="shared" si="18"/>
        <v>200</v>
      </c>
      <c r="AE95" s="78"/>
    </row>
    <row r="96" spans="1:31" x14ac:dyDescent="0.25">
      <c r="A96" s="87" t="s">
        <v>141</v>
      </c>
      <c r="B96" s="91">
        <v>1</v>
      </c>
      <c r="C96" s="57">
        <v>6.4</v>
      </c>
      <c r="D96" s="92"/>
      <c r="E96" s="57"/>
      <c r="F96" s="92"/>
      <c r="G96" s="57"/>
      <c r="H96" s="92">
        <v>1</v>
      </c>
      <c r="I96" s="57">
        <v>9.84</v>
      </c>
      <c r="J96" s="90">
        <v>1</v>
      </c>
      <c r="K96" s="182">
        <v>9.84</v>
      </c>
      <c r="L96" s="60">
        <f t="shared" si="17"/>
        <v>3</v>
      </c>
      <c r="M96" s="61">
        <f t="shared" si="17"/>
        <v>26.080000000000002</v>
      </c>
      <c r="N96" s="57"/>
      <c r="O96" s="92"/>
      <c r="P96" s="62"/>
      <c r="Q96" s="65"/>
      <c r="R96" s="64"/>
      <c r="S96" s="65"/>
      <c r="T96" s="64"/>
      <c r="U96" s="65"/>
      <c r="V96" s="64"/>
      <c r="W96" s="65"/>
      <c r="X96" s="64"/>
      <c r="Y96" s="65"/>
      <c r="Z96" s="64"/>
      <c r="AA96" s="69"/>
      <c r="AB96" s="64"/>
      <c r="AC96" s="64"/>
      <c r="AD96" s="64">
        <f t="shared" si="18"/>
        <v>26.080000000000002</v>
      </c>
      <c r="AE96" s="93"/>
    </row>
    <row r="97" spans="1:31" x14ac:dyDescent="0.25">
      <c r="A97" s="87" t="s">
        <v>142</v>
      </c>
      <c r="B97" s="94">
        <v>1</v>
      </c>
      <c r="C97" s="62">
        <v>4.32</v>
      </c>
      <c r="D97" s="95">
        <v>5</v>
      </c>
      <c r="E97" s="62">
        <v>123.28</v>
      </c>
      <c r="F97" s="95">
        <v>3</v>
      </c>
      <c r="G97" s="62">
        <v>101.05</v>
      </c>
      <c r="H97" s="95">
        <v>3</v>
      </c>
      <c r="I97" s="62">
        <v>86</v>
      </c>
      <c r="J97" s="90">
        <v>3</v>
      </c>
      <c r="K97" s="182">
        <v>34.4</v>
      </c>
      <c r="L97" s="60">
        <f t="shared" si="17"/>
        <v>15</v>
      </c>
      <c r="M97" s="61">
        <f t="shared" si="17"/>
        <v>349.04999999999995</v>
      </c>
      <c r="N97" s="57"/>
      <c r="O97" s="95">
        <v>3</v>
      </c>
      <c r="P97" s="62">
        <v>25.8</v>
      </c>
      <c r="Q97" s="96"/>
      <c r="R97" s="64"/>
      <c r="S97" s="96"/>
      <c r="T97" s="64"/>
      <c r="U97" s="96"/>
      <c r="V97" s="64"/>
      <c r="W97" s="96"/>
      <c r="X97" s="64"/>
      <c r="Y97" s="96"/>
      <c r="Z97" s="64"/>
      <c r="AA97" s="64"/>
      <c r="AB97" s="64"/>
      <c r="AC97" s="64"/>
      <c r="AD97" s="64">
        <f t="shared" si="18"/>
        <v>374.84999999999997</v>
      </c>
      <c r="AE97" s="93"/>
    </row>
    <row r="98" spans="1:31" x14ac:dyDescent="0.25">
      <c r="A98" s="87" t="s">
        <v>143</v>
      </c>
      <c r="B98" s="94"/>
      <c r="C98" s="62"/>
      <c r="D98" s="95"/>
      <c r="E98" s="62"/>
      <c r="F98" s="95"/>
      <c r="G98" s="62"/>
      <c r="H98" s="95"/>
      <c r="I98" s="62"/>
      <c r="J98" s="90"/>
      <c r="K98" s="182"/>
      <c r="L98" s="60"/>
      <c r="M98" s="61"/>
      <c r="N98" s="57"/>
      <c r="O98" s="95">
        <v>1</v>
      </c>
      <c r="P98" s="62">
        <v>90</v>
      </c>
      <c r="Q98" s="96"/>
      <c r="R98" s="64"/>
      <c r="S98" s="96"/>
      <c r="T98" s="64"/>
      <c r="U98" s="96"/>
      <c r="V98" s="64"/>
      <c r="W98" s="96"/>
      <c r="X98" s="64"/>
      <c r="Y98" s="96"/>
      <c r="Z98" s="64"/>
      <c r="AA98" s="64"/>
      <c r="AB98" s="64"/>
      <c r="AC98" s="64"/>
      <c r="AD98" s="64">
        <f t="shared" si="18"/>
        <v>90</v>
      </c>
      <c r="AE98" s="93"/>
    </row>
    <row r="99" spans="1:31" ht="25.5" x14ac:dyDescent="0.25">
      <c r="A99" s="87" t="s">
        <v>144</v>
      </c>
      <c r="B99" s="94"/>
      <c r="C99" s="62"/>
      <c r="D99" s="95"/>
      <c r="E99" s="62"/>
      <c r="F99" s="95"/>
      <c r="G99" s="62"/>
      <c r="H99" s="95"/>
      <c r="I99" s="62"/>
      <c r="J99" s="90"/>
      <c r="K99" s="182"/>
      <c r="L99" s="60"/>
      <c r="M99" s="61"/>
      <c r="N99" s="57"/>
      <c r="O99" s="95">
        <v>18</v>
      </c>
      <c r="P99" s="62">
        <v>27603.96</v>
      </c>
      <c r="Q99" s="96"/>
      <c r="R99" s="64"/>
      <c r="S99" s="96"/>
      <c r="T99" s="64"/>
      <c r="U99" s="96"/>
      <c r="V99" s="64"/>
      <c r="W99" s="96"/>
      <c r="X99" s="64"/>
      <c r="Y99" s="96"/>
      <c r="Z99" s="64"/>
      <c r="AA99" s="64"/>
      <c r="AB99" s="64"/>
      <c r="AC99" s="64"/>
      <c r="AD99" s="64">
        <f t="shared" si="18"/>
        <v>27603.96</v>
      </c>
      <c r="AE99" s="93"/>
    </row>
    <row r="100" spans="1:31" ht="25.5" x14ac:dyDescent="0.25">
      <c r="A100" s="87" t="s">
        <v>145</v>
      </c>
      <c r="B100" s="94">
        <v>2</v>
      </c>
      <c r="C100" s="62">
        <v>670.6</v>
      </c>
      <c r="D100" s="95">
        <v>2</v>
      </c>
      <c r="E100" s="62">
        <v>622.70000000000005</v>
      </c>
      <c r="F100" s="95">
        <v>1</v>
      </c>
      <c r="G100" s="62">
        <v>383.2</v>
      </c>
      <c r="H100" s="95">
        <v>1</v>
      </c>
      <c r="I100" s="62">
        <v>408.8</v>
      </c>
      <c r="J100" s="90">
        <v>2</v>
      </c>
      <c r="K100" s="182">
        <v>817.6</v>
      </c>
      <c r="L100" s="60">
        <f t="shared" si="17"/>
        <v>8</v>
      </c>
      <c r="M100" s="61">
        <f t="shared" si="17"/>
        <v>2902.9</v>
      </c>
      <c r="N100" s="57"/>
      <c r="O100" s="95">
        <v>2</v>
      </c>
      <c r="P100" s="62">
        <v>817.6</v>
      </c>
      <c r="Q100" s="96"/>
      <c r="R100" s="64"/>
      <c r="S100" s="96"/>
      <c r="T100" s="64"/>
      <c r="U100" s="96"/>
      <c r="V100" s="64"/>
      <c r="W100" s="96"/>
      <c r="X100" s="64"/>
      <c r="Y100" s="96"/>
      <c r="Z100" s="64"/>
      <c r="AA100" s="64"/>
      <c r="AB100" s="64"/>
      <c r="AC100" s="64"/>
      <c r="AD100" s="64">
        <f t="shared" si="18"/>
        <v>3720.5</v>
      </c>
      <c r="AE100" s="93"/>
    </row>
    <row r="101" spans="1:31" x14ac:dyDescent="0.25">
      <c r="A101" s="87" t="s">
        <v>146</v>
      </c>
      <c r="B101" s="94"/>
      <c r="C101" s="62"/>
      <c r="D101" s="95"/>
      <c r="E101" s="62"/>
      <c r="F101" s="95"/>
      <c r="G101" s="62"/>
      <c r="H101" s="95">
        <v>1</v>
      </c>
      <c r="I101" s="62">
        <v>5</v>
      </c>
      <c r="J101" s="90">
        <v>1</v>
      </c>
      <c r="K101" s="182">
        <v>5</v>
      </c>
      <c r="L101" s="60">
        <f t="shared" si="17"/>
        <v>2</v>
      </c>
      <c r="M101" s="61">
        <f t="shared" si="17"/>
        <v>10</v>
      </c>
      <c r="N101" s="57"/>
      <c r="O101" s="95">
        <v>1</v>
      </c>
      <c r="P101" s="62">
        <v>5</v>
      </c>
      <c r="Q101" s="96"/>
      <c r="R101" s="64"/>
      <c r="S101" s="96"/>
      <c r="T101" s="64"/>
      <c r="U101" s="96"/>
      <c r="V101" s="64"/>
      <c r="W101" s="96"/>
      <c r="X101" s="64"/>
      <c r="Y101" s="96"/>
      <c r="Z101" s="64"/>
      <c r="AA101" s="64"/>
      <c r="AB101" s="64"/>
      <c r="AC101" s="64"/>
      <c r="AD101" s="64">
        <f t="shared" si="18"/>
        <v>15</v>
      </c>
      <c r="AE101" s="93"/>
    </row>
    <row r="102" spans="1:31" x14ac:dyDescent="0.25">
      <c r="A102" s="97" t="s">
        <v>1</v>
      </c>
      <c r="B102" s="98">
        <f t="shared" ref="B102:L102" si="19">B26+B23+B20+B19+B18+B17+B16+B15+B14+B13+B12+B11+B10+B9+B8</f>
        <v>15473</v>
      </c>
      <c r="C102" s="99">
        <f t="shared" si="19"/>
        <v>1906315.7300000002</v>
      </c>
      <c r="D102" s="98">
        <f t="shared" si="19"/>
        <v>15582</v>
      </c>
      <c r="E102" s="100">
        <f t="shared" si="19"/>
        <v>2107639.0100000002</v>
      </c>
      <c r="F102" s="98">
        <f t="shared" si="19"/>
        <v>15813</v>
      </c>
      <c r="G102" s="99">
        <f t="shared" si="19"/>
        <v>2207791.5</v>
      </c>
      <c r="H102" s="98">
        <f t="shared" si="19"/>
        <v>14890</v>
      </c>
      <c r="I102" s="99">
        <f t="shared" si="19"/>
        <v>1998294.37</v>
      </c>
      <c r="J102" s="98">
        <f t="shared" si="19"/>
        <v>13943</v>
      </c>
      <c r="K102" s="102">
        <f t="shared" si="19"/>
        <v>1719567.87</v>
      </c>
      <c r="L102" s="101">
        <f t="shared" si="19"/>
        <v>75701</v>
      </c>
      <c r="M102" s="102">
        <f>ROUNDUP(M26+M23+M20+M19+M18+M17+M16+M15+M14+M13+M12+M11+M10+M9+M8,0)</f>
        <v>9939609</v>
      </c>
      <c r="N102" s="99"/>
      <c r="O102" s="103">
        <f>O26+O23+O20+O19+O18+O17+O16+O15+O14+O13+O12+O11+O10+O9+O8</f>
        <v>12172</v>
      </c>
      <c r="P102" s="99">
        <f>P26+P23+P20+P19+P18+P17+P16+P15+P14+P13+P12+P11+P10+P9+P8</f>
        <v>1501379.29</v>
      </c>
      <c r="Q102" s="98">
        <f>Q26+Q23+Q20+Q19+Q18+Q17+Q16+Q15+Q14+Q13+Q12+Q11+Q10+Q9+Q8</f>
        <v>14938.043999999998</v>
      </c>
      <c r="R102" s="99">
        <f>ROUND(R26+R23+R20+R19+R18+R17+R16+R15+R14+R13+R12+R11+R10+R9+R8,0)</f>
        <v>2048965</v>
      </c>
      <c r="S102" s="98">
        <f>S26+S23+S20+S19+S18+S17+S16+S15+S14+S13+S12+S11+S10+S9+S8</f>
        <v>14972.457919999999</v>
      </c>
      <c r="T102" s="99">
        <f>ROUND(T26+T23+T20+T19+T18+T17+T16+T15+T14+T13+T12+T11+T10+T9+T8,0)</f>
        <v>2053407</v>
      </c>
      <c r="U102" s="98">
        <f>U26+U23+U20+U19+U18+U17+U16+U15+U14+U13+U12+U11+U10+U9+U8</f>
        <v>15008.153377599998</v>
      </c>
      <c r="V102" s="99">
        <f>ROUND(V26+V23+V20+V19+V18+V17+V16+V15+V14+V13+V12+V11+V10+V9+V8,0)</f>
        <v>2057970</v>
      </c>
      <c r="W102" s="98">
        <f>W26+W23+W20+W19+W18+W17+W16+W15+W14+W13+W12+W11+W10+W9+W8</f>
        <v>15045.184274927999</v>
      </c>
      <c r="X102" s="99">
        <f>ROUND(X26+X23+X20+X19+X18+X17+X16+X15+X14+X13+X12+X11+X10+X9+X8,0)</f>
        <v>2062658</v>
      </c>
      <c r="Y102" s="98">
        <f>Y26+Y23+Y20+Y19+Y18+Y17+Y16+Y15+Y14+Y13+Y12+Y11+Y10+Y9+Y8</f>
        <v>15367.946903975839</v>
      </c>
      <c r="Z102" s="99">
        <f>ROUND(Z26+Z23+Z20+Z19+Z18+Z17+Z16+Z15+Z14+Z13+Z12+Z11+Z10+Z9+Z8,0)</f>
        <v>2109403</v>
      </c>
      <c r="AA102" s="98">
        <f>AA26+AA23+AA20+AA19+AA18+AA17+AA16+AA15+AA14+AA13+AA12+AA11+AA10+AA9+AA8</f>
        <v>15407.820056935116</v>
      </c>
      <c r="AB102" s="21">
        <f>ROUND(AB26+AB23+AB20+AB19+AB18+AB17+AB16+AB15+AB14+AB13+AB12+AB11+AB10+AB9+AB8,0)</f>
        <v>2114358</v>
      </c>
      <c r="AC102" s="21">
        <f>R102+T102+V102+X102+Z102</f>
        <v>10332403</v>
      </c>
      <c r="AD102" s="21">
        <f>M102+P102+R102+T102+V102+X102+Z102</f>
        <v>21773391.289999999</v>
      </c>
      <c r="AE102" s="104" t="s">
        <v>147</v>
      </c>
    </row>
  </sheetData>
  <mergeCells count="29">
    <mergeCell ref="AA3:AB3"/>
    <mergeCell ref="Y4:Z4"/>
    <mergeCell ref="B4:C4"/>
    <mergeCell ref="D4:E4"/>
    <mergeCell ref="F4:G4"/>
    <mergeCell ref="H4:I4"/>
    <mergeCell ref="J4:K4"/>
    <mergeCell ref="L4:M4"/>
    <mergeCell ref="O4:P4"/>
    <mergeCell ref="Q4:R4"/>
    <mergeCell ref="S4:T4"/>
    <mergeCell ref="U4:V4"/>
    <mergeCell ref="W4:X4"/>
    <mergeCell ref="AE3:AE6"/>
    <mergeCell ref="AA4:AB4"/>
    <mergeCell ref="A1:AE1"/>
    <mergeCell ref="A2:AE2"/>
    <mergeCell ref="B3:C3"/>
    <mergeCell ref="D3:E3"/>
    <mergeCell ref="F3:G3"/>
    <mergeCell ref="H3:I3"/>
    <mergeCell ref="J3:K3"/>
    <mergeCell ref="L3:M3"/>
    <mergeCell ref="O3:P3"/>
    <mergeCell ref="Q3:R3"/>
    <mergeCell ref="S3:T3"/>
    <mergeCell ref="U3:V3"/>
    <mergeCell ref="W3:X3"/>
    <mergeCell ref="Y3:Z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AFBD15-7E89-4E80-8E5C-0A0F0A82F446}">
  <dimension ref="A1:Y20"/>
  <sheetViews>
    <sheetView topLeftCell="B1" workbookViewId="0">
      <selection activeCell="G23" sqref="G23"/>
    </sheetView>
  </sheetViews>
  <sheetFormatPr defaultColWidth="9.42578125" defaultRowHeight="15" x14ac:dyDescent="0.25"/>
  <cols>
    <col min="1" max="1" width="32.85546875" style="129" hidden="1" customWidth="1"/>
    <col min="2" max="24" width="16.7109375" style="131" customWidth="1"/>
    <col min="25" max="25" width="51.28515625" style="133" customWidth="1"/>
    <col min="26" max="26" width="6.140625" style="108" customWidth="1"/>
    <col min="27" max="267" width="9.42578125" style="108"/>
    <col min="268" max="268" width="32.85546875" style="108" customWidth="1"/>
    <col min="269" max="280" width="16.7109375" style="108" customWidth="1"/>
    <col min="281" max="281" width="48.5703125" style="108" customWidth="1"/>
    <col min="282" max="282" width="6.140625" style="108" customWidth="1"/>
    <col min="283" max="523" width="9.42578125" style="108"/>
    <col min="524" max="524" width="32.85546875" style="108" customWidth="1"/>
    <col min="525" max="536" width="16.7109375" style="108" customWidth="1"/>
    <col min="537" max="537" width="48.5703125" style="108" customWidth="1"/>
    <col min="538" max="538" width="6.140625" style="108" customWidth="1"/>
    <col min="539" max="779" width="9.42578125" style="108"/>
    <col min="780" max="780" width="32.85546875" style="108" customWidth="1"/>
    <col min="781" max="792" width="16.7109375" style="108" customWidth="1"/>
    <col min="793" max="793" width="48.5703125" style="108" customWidth="1"/>
    <col min="794" max="794" width="6.140625" style="108" customWidth="1"/>
    <col min="795" max="1035" width="9.42578125" style="108"/>
    <col min="1036" max="1036" width="32.85546875" style="108" customWidth="1"/>
    <col min="1037" max="1048" width="16.7109375" style="108" customWidth="1"/>
    <col min="1049" max="1049" width="48.5703125" style="108" customWidth="1"/>
    <col min="1050" max="1050" width="6.140625" style="108" customWidth="1"/>
    <col min="1051" max="1291" width="9.42578125" style="108"/>
    <col min="1292" max="1292" width="32.85546875" style="108" customWidth="1"/>
    <col min="1293" max="1304" width="16.7109375" style="108" customWidth="1"/>
    <col min="1305" max="1305" width="48.5703125" style="108" customWidth="1"/>
    <col min="1306" max="1306" width="6.140625" style="108" customWidth="1"/>
    <col min="1307" max="1547" width="9.42578125" style="108"/>
    <col min="1548" max="1548" width="32.85546875" style="108" customWidth="1"/>
    <col min="1549" max="1560" width="16.7109375" style="108" customWidth="1"/>
    <col min="1561" max="1561" width="48.5703125" style="108" customWidth="1"/>
    <col min="1562" max="1562" width="6.140625" style="108" customWidth="1"/>
    <col min="1563" max="1803" width="9.42578125" style="108"/>
    <col min="1804" max="1804" width="32.85546875" style="108" customWidth="1"/>
    <col min="1805" max="1816" width="16.7109375" style="108" customWidth="1"/>
    <col min="1817" max="1817" width="48.5703125" style="108" customWidth="1"/>
    <col min="1818" max="1818" width="6.140625" style="108" customWidth="1"/>
    <col min="1819" max="2059" width="9.42578125" style="108"/>
    <col min="2060" max="2060" width="32.85546875" style="108" customWidth="1"/>
    <col min="2061" max="2072" width="16.7109375" style="108" customWidth="1"/>
    <col min="2073" max="2073" width="48.5703125" style="108" customWidth="1"/>
    <col min="2074" max="2074" width="6.140625" style="108" customWidth="1"/>
    <col min="2075" max="2315" width="9.42578125" style="108"/>
    <col min="2316" max="2316" width="32.85546875" style="108" customWidth="1"/>
    <col min="2317" max="2328" width="16.7109375" style="108" customWidth="1"/>
    <col min="2329" max="2329" width="48.5703125" style="108" customWidth="1"/>
    <col min="2330" max="2330" width="6.140625" style="108" customWidth="1"/>
    <col min="2331" max="2571" width="9.42578125" style="108"/>
    <col min="2572" max="2572" width="32.85546875" style="108" customWidth="1"/>
    <col min="2573" max="2584" width="16.7109375" style="108" customWidth="1"/>
    <col min="2585" max="2585" width="48.5703125" style="108" customWidth="1"/>
    <col min="2586" max="2586" width="6.140625" style="108" customWidth="1"/>
    <col min="2587" max="2827" width="9.42578125" style="108"/>
    <col min="2828" max="2828" width="32.85546875" style="108" customWidth="1"/>
    <col min="2829" max="2840" width="16.7109375" style="108" customWidth="1"/>
    <col min="2841" max="2841" width="48.5703125" style="108" customWidth="1"/>
    <col min="2842" max="2842" width="6.140625" style="108" customWidth="1"/>
    <col min="2843" max="3083" width="9.42578125" style="108"/>
    <col min="3084" max="3084" width="32.85546875" style="108" customWidth="1"/>
    <col min="3085" max="3096" width="16.7109375" style="108" customWidth="1"/>
    <col min="3097" max="3097" width="48.5703125" style="108" customWidth="1"/>
    <col min="3098" max="3098" width="6.140625" style="108" customWidth="1"/>
    <col min="3099" max="3339" width="9.42578125" style="108"/>
    <col min="3340" max="3340" width="32.85546875" style="108" customWidth="1"/>
    <col min="3341" max="3352" width="16.7109375" style="108" customWidth="1"/>
    <col min="3353" max="3353" width="48.5703125" style="108" customWidth="1"/>
    <col min="3354" max="3354" width="6.140625" style="108" customWidth="1"/>
    <col min="3355" max="3595" width="9.42578125" style="108"/>
    <col min="3596" max="3596" width="32.85546875" style="108" customWidth="1"/>
    <col min="3597" max="3608" width="16.7109375" style="108" customWidth="1"/>
    <col min="3609" max="3609" width="48.5703125" style="108" customWidth="1"/>
    <col min="3610" max="3610" width="6.140625" style="108" customWidth="1"/>
    <col min="3611" max="3851" width="9.42578125" style="108"/>
    <col min="3852" max="3852" width="32.85546875" style="108" customWidth="1"/>
    <col min="3853" max="3864" width="16.7109375" style="108" customWidth="1"/>
    <col min="3865" max="3865" width="48.5703125" style="108" customWidth="1"/>
    <col min="3866" max="3866" width="6.140625" style="108" customWidth="1"/>
    <col min="3867" max="4107" width="9.42578125" style="108"/>
    <col min="4108" max="4108" width="32.85546875" style="108" customWidth="1"/>
    <col min="4109" max="4120" width="16.7109375" style="108" customWidth="1"/>
    <col min="4121" max="4121" width="48.5703125" style="108" customWidth="1"/>
    <col min="4122" max="4122" width="6.140625" style="108" customWidth="1"/>
    <col min="4123" max="4363" width="9.42578125" style="108"/>
    <col min="4364" max="4364" width="32.85546875" style="108" customWidth="1"/>
    <col min="4365" max="4376" width="16.7109375" style="108" customWidth="1"/>
    <col min="4377" max="4377" width="48.5703125" style="108" customWidth="1"/>
    <col min="4378" max="4378" width="6.140625" style="108" customWidth="1"/>
    <col min="4379" max="4619" width="9.42578125" style="108"/>
    <col min="4620" max="4620" width="32.85546875" style="108" customWidth="1"/>
    <col min="4621" max="4632" width="16.7109375" style="108" customWidth="1"/>
    <col min="4633" max="4633" width="48.5703125" style="108" customWidth="1"/>
    <col min="4634" max="4634" width="6.140625" style="108" customWidth="1"/>
    <col min="4635" max="4875" width="9.42578125" style="108"/>
    <col min="4876" max="4876" width="32.85546875" style="108" customWidth="1"/>
    <col min="4877" max="4888" width="16.7109375" style="108" customWidth="1"/>
    <col min="4889" max="4889" width="48.5703125" style="108" customWidth="1"/>
    <col min="4890" max="4890" width="6.140625" style="108" customWidth="1"/>
    <col min="4891" max="5131" width="9.42578125" style="108"/>
    <col min="5132" max="5132" width="32.85546875" style="108" customWidth="1"/>
    <col min="5133" max="5144" width="16.7109375" style="108" customWidth="1"/>
    <col min="5145" max="5145" width="48.5703125" style="108" customWidth="1"/>
    <col min="5146" max="5146" width="6.140625" style="108" customWidth="1"/>
    <col min="5147" max="5387" width="9.42578125" style="108"/>
    <col min="5388" max="5388" width="32.85546875" style="108" customWidth="1"/>
    <col min="5389" max="5400" width="16.7109375" style="108" customWidth="1"/>
    <col min="5401" max="5401" width="48.5703125" style="108" customWidth="1"/>
    <col min="5402" max="5402" width="6.140625" style="108" customWidth="1"/>
    <col min="5403" max="5643" width="9.42578125" style="108"/>
    <col min="5644" max="5644" width="32.85546875" style="108" customWidth="1"/>
    <col min="5645" max="5656" width="16.7109375" style="108" customWidth="1"/>
    <col min="5657" max="5657" width="48.5703125" style="108" customWidth="1"/>
    <col min="5658" max="5658" width="6.140625" style="108" customWidth="1"/>
    <col min="5659" max="5899" width="9.42578125" style="108"/>
    <col min="5900" max="5900" width="32.85546875" style="108" customWidth="1"/>
    <col min="5901" max="5912" width="16.7109375" style="108" customWidth="1"/>
    <col min="5913" max="5913" width="48.5703125" style="108" customWidth="1"/>
    <col min="5914" max="5914" width="6.140625" style="108" customWidth="1"/>
    <col min="5915" max="6155" width="9.42578125" style="108"/>
    <col min="6156" max="6156" width="32.85546875" style="108" customWidth="1"/>
    <col min="6157" max="6168" width="16.7109375" style="108" customWidth="1"/>
    <col min="6169" max="6169" width="48.5703125" style="108" customWidth="1"/>
    <col min="6170" max="6170" width="6.140625" style="108" customWidth="1"/>
    <col min="6171" max="6411" width="9.42578125" style="108"/>
    <col min="6412" max="6412" width="32.85546875" style="108" customWidth="1"/>
    <col min="6413" max="6424" width="16.7109375" style="108" customWidth="1"/>
    <col min="6425" max="6425" width="48.5703125" style="108" customWidth="1"/>
    <col min="6426" max="6426" width="6.140625" style="108" customWidth="1"/>
    <col min="6427" max="6667" width="9.42578125" style="108"/>
    <col min="6668" max="6668" width="32.85546875" style="108" customWidth="1"/>
    <col min="6669" max="6680" width="16.7109375" style="108" customWidth="1"/>
    <col min="6681" max="6681" width="48.5703125" style="108" customWidth="1"/>
    <col min="6682" max="6682" width="6.140625" style="108" customWidth="1"/>
    <col min="6683" max="6923" width="9.42578125" style="108"/>
    <col min="6924" max="6924" width="32.85546875" style="108" customWidth="1"/>
    <col min="6925" max="6936" width="16.7109375" style="108" customWidth="1"/>
    <col min="6937" max="6937" width="48.5703125" style="108" customWidth="1"/>
    <col min="6938" max="6938" width="6.140625" style="108" customWidth="1"/>
    <col min="6939" max="7179" width="9.42578125" style="108"/>
    <col min="7180" max="7180" width="32.85546875" style="108" customWidth="1"/>
    <col min="7181" max="7192" width="16.7109375" style="108" customWidth="1"/>
    <col min="7193" max="7193" width="48.5703125" style="108" customWidth="1"/>
    <col min="7194" max="7194" width="6.140625" style="108" customWidth="1"/>
    <col min="7195" max="7435" width="9.42578125" style="108"/>
    <col min="7436" max="7436" width="32.85546875" style="108" customWidth="1"/>
    <col min="7437" max="7448" width="16.7109375" style="108" customWidth="1"/>
    <col min="7449" max="7449" width="48.5703125" style="108" customWidth="1"/>
    <col min="7450" max="7450" width="6.140625" style="108" customWidth="1"/>
    <col min="7451" max="7691" width="9.42578125" style="108"/>
    <col min="7692" max="7692" width="32.85546875" style="108" customWidth="1"/>
    <col min="7693" max="7704" width="16.7109375" style="108" customWidth="1"/>
    <col min="7705" max="7705" width="48.5703125" style="108" customWidth="1"/>
    <col min="7706" max="7706" width="6.140625" style="108" customWidth="1"/>
    <col min="7707" max="7947" width="9.42578125" style="108"/>
    <col min="7948" max="7948" width="32.85546875" style="108" customWidth="1"/>
    <col min="7949" max="7960" width="16.7109375" style="108" customWidth="1"/>
    <col min="7961" max="7961" width="48.5703125" style="108" customWidth="1"/>
    <col min="7962" max="7962" width="6.140625" style="108" customWidth="1"/>
    <col min="7963" max="8203" width="9.42578125" style="108"/>
    <col min="8204" max="8204" width="32.85546875" style="108" customWidth="1"/>
    <col min="8205" max="8216" width="16.7109375" style="108" customWidth="1"/>
    <col min="8217" max="8217" width="48.5703125" style="108" customWidth="1"/>
    <col min="8218" max="8218" width="6.140625" style="108" customWidth="1"/>
    <col min="8219" max="8459" width="9.42578125" style="108"/>
    <col min="8460" max="8460" width="32.85546875" style="108" customWidth="1"/>
    <col min="8461" max="8472" width="16.7109375" style="108" customWidth="1"/>
    <col min="8473" max="8473" width="48.5703125" style="108" customWidth="1"/>
    <col min="8474" max="8474" width="6.140625" style="108" customWidth="1"/>
    <col min="8475" max="8715" width="9.42578125" style="108"/>
    <col min="8716" max="8716" width="32.85546875" style="108" customWidth="1"/>
    <col min="8717" max="8728" width="16.7109375" style="108" customWidth="1"/>
    <col min="8729" max="8729" width="48.5703125" style="108" customWidth="1"/>
    <col min="8730" max="8730" width="6.140625" style="108" customWidth="1"/>
    <col min="8731" max="8971" width="9.42578125" style="108"/>
    <col min="8972" max="8972" width="32.85546875" style="108" customWidth="1"/>
    <col min="8973" max="8984" width="16.7109375" style="108" customWidth="1"/>
    <col min="8985" max="8985" width="48.5703125" style="108" customWidth="1"/>
    <col min="8986" max="8986" width="6.140625" style="108" customWidth="1"/>
    <col min="8987" max="9227" width="9.42578125" style="108"/>
    <col min="9228" max="9228" width="32.85546875" style="108" customWidth="1"/>
    <col min="9229" max="9240" width="16.7109375" style="108" customWidth="1"/>
    <col min="9241" max="9241" width="48.5703125" style="108" customWidth="1"/>
    <col min="9242" max="9242" width="6.140625" style="108" customWidth="1"/>
    <col min="9243" max="9483" width="9.42578125" style="108"/>
    <col min="9484" max="9484" width="32.85546875" style="108" customWidth="1"/>
    <col min="9485" max="9496" width="16.7109375" style="108" customWidth="1"/>
    <col min="9497" max="9497" width="48.5703125" style="108" customWidth="1"/>
    <col min="9498" max="9498" width="6.140625" style="108" customWidth="1"/>
    <col min="9499" max="9739" width="9.42578125" style="108"/>
    <col min="9740" max="9740" width="32.85546875" style="108" customWidth="1"/>
    <col min="9741" max="9752" width="16.7109375" style="108" customWidth="1"/>
    <col min="9753" max="9753" width="48.5703125" style="108" customWidth="1"/>
    <col min="9754" max="9754" width="6.140625" style="108" customWidth="1"/>
    <col min="9755" max="9995" width="9.42578125" style="108"/>
    <col min="9996" max="9996" width="32.85546875" style="108" customWidth="1"/>
    <col min="9997" max="10008" width="16.7109375" style="108" customWidth="1"/>
    <col min="10009" max="10009" width="48.5703125" style="108" customWidth="1"/>
    <col min="10010" max="10010" width="6.140625" style="108" customWidth="1"/>
    <col min="10011" max="10251" width="9.42578125" style="108"/>
    <col min="10252" max="10252" width="32.85546875" style="108" customWidth="1"/>
    <col min="10253" max="10264" width="16.7109375" style="108" customWidth="1"/>
    <col min="10265" max="10265" width="48.5703125" style="108" customWidth="1"/>
    <col min="10266" max="10266" width="6.140625" style="108" customWidth="1"/>
    <col min="10267" max="10507" width="9.42578125" style="108"/>
    <col min="10508" max="10508" width="32.85546875" style="108" customWidth="1"/>
    <col min="10509" max="10520" width="16.7109375" style="108" customWidth="1"/>
    <col min="10521" max="10521" width="48.5703125" style="108" customWidth="1"/>
    <col min="10522" max="10522" width="6.140625" style="108" customWidth="1"/>
    <col min="10523" max="10763" width="9.42578125" style="108"/>
    <col min="10764" max="10764" width="32.85546875" style="108" customWidth="1"/>
    <col min="10765" max="10776" width="16.7109375" style="108" customWidth="1"/>
    <col min="10777" max="10777" width="48.5703125" style="108" customWidth="1"/>
    <col min="10778" max="10778" width="6.140625" style="108" customWidth="1"/>
    <col min="10779" max="11019" width="9.42578125" style="108"/>
    <col min="11020" max="11020" width="32.85546875" style="108" customWidth="1"/>
    <col min="11021" max="11032" width="16.7109375" style="108" customWidth="1"/>
    <col min="11033" max="11033" width="48.5703125" style="108" customWidth="1"/>
    <col min="11034" max="11034" width="6.140625" style="108" customWidth="1"/>
    <col min="11035" max="11275" width="9.42578125" style="108"/>
    <col min="11276" max="11276" width="32.85546875" style="108" customWidth="1"/>
    <col min="11277" max="11288" width="16.7109375" style="108" customWidth="1"/>
    <col min="11289" max="11289" width="48.5703125" style="108" customWidth="1"/>
    <col min="11290" max="11290" width="6.140625" style="108" customWidth="1"/>
    <col min="11291" max="11531" width="9.42578125" style="108"/>
    <col min="11532" max="11532" width="32.85546875" style="108" customWidth="1"/>
    <col min="11533" max="11544" width="16.7109375" style="108" customWidth="1"/>
    <col min="11545" max="11545" width="48.5703125" style="108" customWidth="1"/>
    <col min="11546" max="11546" width="6.140625" style="108" customWidth="1"/>
    <col min="11547" max="11787" width="9.42578125" style="108"/>
    <col min="11788" max="11788" width="32.85546875" style="108" customWidth="1"/>
    <col min="11789" max="11800" width="16.7109375" style="108" customWidth="1"/>
    <col min="11801" max="11801" width="48.5703125" style="108" customWidth="1"/>
    <col min="11802" max="11802" width="6.140625" style="108" customWidth="1"/>
    <col min="11803" max="12043" width="9.42578125" style="108"/>
    <col min="12044" max="12044" width="32.85546875" style="108" customWidth="1"/>
    <col min="12045" max="12056" width="16.7109375" style="108" customWidth="1"/>
    <col min="12057" max="12057" width="48.5703125" style="108" customWidth="1"/>
    <col min="12058" max="12058" width="6.140625" style="108" customWidth="1"/>
    <col min="12059" max="12299" width="9.42578125" style="108"/>
    <col min="12300" max="12300" width="32.85546875" style="108" customWidth="1"/>
    <col min="12301" max="12312" width="16.7109375" style="108" customWidth="1"/>
    <col min="12313" max="12313" width="48.5703125" style="108" customWidth="1"/>
    <col min="12314" max="12314" width="6.140625" style="108" customWidth="1"/>
    <col min="12315" max="12555" width="9.42578125" style="108"/>
    <col min="12556" max="12556" width="32.85546875" style="108" customWidth="1"/>
    <col min="12557" max="12568" width="16.7109375" style="108" customWidth="1"/>
    <col min="12569" max="12569" width="48.5703125" style="108" customWidth="1"/>
    <col min="12570" max="12570" width="6.140625" style="108" customWidth="1"/>
    <col min="12571" max="12811" width="9.42578125" style="108"/>
    <col min="12812" max="12812" width="32.85546875" style="108" customWidth="1"/>
    <col min="12813" max="12824" width="16.7109375" style="108" customWidth="1"/>
    <col min="12825" max="12825" width="48.5703125" style="108" customWidth="1"/>
    <col min="12826" max="12826" width="6.140625" style="108" customWidth="1"/>
    <col min="12827" max="13067" width="9.42578125" style="108"/>
    <col min="13068" max="13068" width="32.85546875" style="108" customWidth="1"/>
    <col min="13069" max="13080" width="16.7109375" style="108" customWidth="1"/>
    <col min="13081" max="13081" width="48.5703125" style="108" customWidth="1"/>
    <col min="13082" max="13082" width="6.140625" style="108" customWidth="1"/>
    <col min="13083" max="13323" width="9.42578125" style="108"/>
    <col min="13324" max="13324" width="32.85546875" style="108" customWidth="1"/>
    <col min="13325" max="13336" width="16.7109375" style="108" customWidth="1"/>
    <col min="13337" max="13337" width="48.5703125" style="108" customWidth="1"/>
    <col min="13338" max="13338" width="6.140625" style="108" customWidth="1"/>
    <col min="13339" max="13579" width="9.42578125" style="108"/>
    <col min="13580" max="13580" width="32.85546875" style="108" customWidth="1"/>
    <col min="13581" max="13592" width="16.7109375" style="108" customWidth="1"/>
    <col min="13593" max="13593" width="48.5703125" style="108" customWidth="1"/>
    <col min="13594" max="13594" width="6.140625" style="108" customWidth="1"/>
    <col min="13595" max="13835" width="9.42578125" style="108"/>
    <col min="13836" max="13836" width="32.85546875" style="108" customWidth="1"/>
    <col min="13837" max="13848" width="16.7109375" style="108" customWidth="1"/>
    <col min="13849" max="13849" width="48.5703125" style="108" customWidth="1"/>
    <col min="13850" max="13850" width="6.140625" style="108" customWidth="1"/>
    <col min="13851" max="14091" width="9.42578125" style="108"/>
    <col min="14092" max="14092" width="32.85546875" style="108" customWidth="1"/>
    <col min="14093" max="14104" width="16.7109375" style="108" customWidth="1"/>
    <col min="14105" max="14105" width="48.5703125" style="108" customWidth="1"/>
    <col min="14106" max="14106" width="6.140625" style="108" customWidth="1"/>
    <col min="14107" max="14347" width="9.42578125" style="108"/>
    <col min="14348" max="14348" width="32.85546875" style="108" customWidth="1"/>
    <col min="14349" max="14360" width="16.7109375" style="108" customWidth="1"/>
    <col min="14361" max="14361" width="48.5703125" style="108" customWidth="1"/>
    <col min="14362" max="14362" width="6.140625" style="108" customWidth="1"/>
    <col min="14363" max="14603" width="9.42578125" style="108"/>
    <col min="14604" max="14604" width="32.85546875" style="108" customWidth="1"/>
    <col min="14605" max="14616" width="16.7109375" style="108" customWidth="1"/>
    <col min="14617" max="14617" width="48.5703125" style="108" customWidth="1"/>
    <col min="14618" max="14618" width="6.140625" style="108" customWidth="1"/>
    <col min="14619" max="14859" width="9.42578125" style="108"/>
    <col min="14860" max="14860" width="32.85546875" style="108" customWidth="1"/>
    <col min="14861" max="14872" width="16.7109375" style="108" customWidth="1"/>
    <col min="14873" max="14873" width="48.5703125" style="108" customWidth="1"/>
    <col min="14874" max="14874" width="6.140625" style="108" customWidth="1"/>
    <col min="14875" max="15115" width="9.42578125" style="108"/>
    <col min="15116" max="15116" width="32.85546875" style="108" customWidth="1"/>
    <col min="15117" max="15128" width="16.7109375" style="108" customWidth="1"/>
    <col min="15129" max="15129" width="48.5703125" style="108" customWidth="1"/>
    <col min="15130" max="15130" width="6.140625" style="108" customWidth="1"/>
    <col min="15131" max="15371" width="9.42578125" style="108"/>
    <col min="15372" max="15372" width="32.85546875" style="108" customWidth="1"/>
    <col min="15373" max="15384" width="16.7109375" style="108" customWidth="1"/>
    <col min="15385" max="15385" width="48.5703125" style="108" customWidth="1"/>
    <col min="15386" max="15386" width="6.140625" style="108" customWidth="1"/>
    <col min="15387" max="15627" width="9.42578125" style="108"/>
    <col min="15628" max="15628" width="32.85546875" style="108" customWidth="1"/>
    <col min="15629" max="15640" width="16.7109375" style="108" customWidth="1"/>
    <col min="15641" max="15641" width="48.5703125" style="108" customWidth="1"/>
    <col min="15642" max="15642" width="6.140625" style="108" customWidth="1"/>
    <col min="15643" max="15883" width="9.42578125" style="108"/>
    <col min="15884" max="15884" width="32.85546875" style="108" customWidth="1"/>
    <col min="15885" max="15896" width="16.7109375" style="108" customWidth="1"/>
    <col min="15897" max="15897" width="48.5703125" style="108" customWidth="1"/>
    <col min="15898" max="15898" width="6.140625" style="108" customWidth="1"/>
    <col min="15899" max="16139" width="9.42578125" style="108"/>
    <col min="16140" max="16140" width="32.85546875" style="108" customWidth="1"/>
    <col min="16141" max="16152" width="16.7109375" style="108" customWidth="1"/>
    <col min="16153" max="16153" width="48.5703125" style="108" customWidth="1"/>
    <col min="16154" max="16154" width="6.140625" style="108" customWidth="1"/>
    <col min="16155" max="16384" width="9.42578125" style="108"/>
  </cols>
  <sheetData>
    <row r="1" spans="1:25" x14ac:dyDescent="0.25">
      <c r="A1" s="226" t="s">
        <v>148</v>
      </c>
      <c r="B1" s="226"/>
      <c r="C1" s="226"/>
      <c r="D1" s="226"/>
      <c r="E1" s="226"/>
      <c r="F1" s="226"/>
      <c r="G1" s="226"/>
      <c r="H1" s="226"/>
      <c r="I1" s="226"/>
      <c r="J1" s="226"/>
      <c r="K1" s="226"/>
      <c r="L1" s="226"/>
      <c r="M1" s="226"/>
      <c r="N1" s="226"/>
      <c r="O1" s="226"/>
      <c r="P1" s="226"/>
      <c r="Q1" s="226"/>
      <c r="R1" s="226"/>
      <c r="S1" s="226"/>
      <c r="T1" s="226"/>
      <c r="U1" s="226"/>
      <c r="V1" s="226"/>
      <c r="W1" s="226"/>
      <c r="X1" s="226"/>
      <c r="Y1" s="226"/>
    </row>
    <row r="2" spans="1:25" ht="16.5" x14ac:dyDescent="0.25">
      <c r="A2" s="227" t="s">
        <v>149</v>
      </c>
      <c r="B2" s="227"/>
      <c r="C2" s="227"/>
      <c r="D2" s="227"/>
      <c r="E2" s="227"/>
      <c r="F2" s="227"/>
      <c r="G2" s="227"/>
      <c r="H2" s="227"/>
      <c r="I2" s="227"/>
      <c r="J2" s="227"/>
      <c r="K2" s="227"/>
      <c r="L2" s="227"/>
      <c r="M2" s="227"/>
      <c r="N2" s="227"/>
      <c r="O2" s="227"/>
      <c r="P2" s="227"/>
      <c r="Q2" s="227"/>
      <c r="R2" s="227"/>
      <c r="S2" s="227"/>
      <c r="T2" s="227"/>
      <c r="U2" s="227"/>
      <c r="V2" s="227"/>
      <c r="W2" s="227"/>
      <c r="X2" s="227"/>
      <c r="Y2" s="227"/>
    </row>
    <row r="3" spans="1:25" ht="16.5" x14ac:dyDescent="0.25">
      <c r="A3" s="109"/>
      <c r="B3" s="109"/>
      <c r="C3" s="109"/>
      <c r="D3" s="109"/>
      <c r="E3" s="109"/>
      <c r="F3" s="109"/>
      <c r="G3" s="109"/>
      <c r="H3" s="109"/>
      <c r="I3" s="109"/>
      <c r="J3" s="109"/>
      <c r="K3" s="109"/>
      <c r="L3" s="109"/>
      <c r="M3" s="109"/>
      <c r="N3" s="109"/>
      <c r="O3" s="109"/>
      <c r="P3" s="109"/>
      <c r="Q3" s="109"/>
      <c r="R3" s="109"/>
      <c r="S3" s="109"/>
      <c r="T3" s="109"/>
      <c r="U3" s="109"/>
      <c r="V3" s="109"/>
      <c r="W3" s="109"/>
      <c r="X3" s="109"/>
      <c r="Y3" s="109"/>
    </row>
    <row r="4" spans="1:25" x14ac:dyDescent="0.25">
      <c r="A4" s="7" t="s">
        <v>9</v>
      </c>
      <c r="B4" s="222" t="s">
        <v>36</v>
      </c>
      <c r="C4" s="221"/>
      <c r="D4" s="222" t="s">
        <v>36</v>
      </c>
      <c r="E4" s="221"/>
      <c r="F4" s="222" t="s">
        <v>36</v>
      </c>
      <c r="G4" s="221"/>
      <c r="H4" s="222" t="s">
        <v>36</v>
      </c>
      <c r="I4" s="221"/>
      <c r="J4" s="222" t="s">
        <v>36</v>
      </c>
      <c r="K4" s="221"/>
      <c r="L4" s="228" t="s">
        <v>36</v>
      </c>
      <c r="M4" s="229"/>
      <c r="N4" s="215" t="s">
        <v>36</v>
      </c>
      <c r="O4" s="225"/>
      <c r="P4" s="215" t="s">
        <v>36</v>
      </c>
      <c r="Q4" s="225"/>
      <c r="R4" s="215" t="s">
        <v>36</v>
      </c>
      <c r="S4" s="225"/>
      <c r="T4" s="215" t="s">
        <v>36</v>
      </c>
      <c r="U4" s="225"/>
      <c r="V4" s="215" t="s">
        <v>36</v>
      </c>
      <c r="W4" s="225"/>
      <c r="X4" s="110" t="s">
        <v>36</v>
      </c>
      <c r="Y4" s="230" t="s">
        <v>10</v>
      </c>
    </row>
    <row r="5" spans="1:25" x14ac:dyDescent="0.25">
      <c r="A5" s="7" t="s">
        <v>11</v>
      </c>
      <c r="B5" s="222" t="s">
        <v>13</v>
      </c>
      <c r="C5" s="221"/>
      <c r="D5" s="222" t="s">
        <v>14</v>
      </c>
      <c r="E5" s="221"/>
      <c r="F5" s="222" t="s">
        <v>15</v>
      </c>
      <c r="G5" s="221"/>
      <c r="H5" s="222" t="s">
        <v>16</v>
      </c>
      <c r="I5" s="221"/>
      <c r="J5" s="222" t="s">
        <v>17</v>
      </c>
      <c r="K5" s="221"/>
      <c r="L5" s="228" t="s">
        <v>18</v>
      </c>
      <c r="M5" s="229"/>
      <c r="N5" s="215" t="s">
        <v>19</v>
      </c>
      <c r="O5" s="225"/>
      <c r="P5" s="215" t="s">
        <v>20</v>
      </c>
      <c r="Q5" s="225"/>
      <c r="R5" s="215" t="s">
        <v>21</v>
      </c>
      <c r="S5" s="225"/>
      <c r="T5" s="215" t="s">
        <v>22</v>
      </c>
      <c r="U5" s="225"/>
      <c r="V5" s="215" t="s">
        <v>23</v>
      </c>
      <c r="W5" s="225"/>
      <c r="X5" s="110" t="s">
        <v>12</v>
      </c>
      <c r="Y5" s="230"/>
    </row>
    <row r="6" spans="1:25" s="113" customFormat="1" ht="11.25" x14ac:dyDescent="0.25">
      <c r="A6" s="111"/>
      <c r="B6" s="36"/>
      <c r="C6" s="36" t="s">
        <v>25</v>
      </c>
      <c r="D6" s="36"/>
      <c r="E6" s="36" t="s">
        <v>25</v>
      </c>
      <c r="F6" s="36"/>
      <c r="G6" s="36" t="s">
        <v>25</v>
      </c>
      <c r="H6" s="36"/>
      <c r="I6" s="36" t="s">
        <v>25</v>
      </c>
      <c r="J6" s="36"/>
      <c r="K6" s="36" t="s">
        <v>25</v>
      </c>
      <c r="L6" s="112"/>
      <c r="M6" s="112" t="s">
        <v>25</v>
      </c>
      <c r="N6" s="38"/>
      <c r="O6" s="38" t="s">
        <v>25</v>
      </c>
      <c r="P6" s="38"/>
      <c r="Q6" s="38" t="s">
        <v>25</v>
      </c>
      <c r="R6" s="38"/>
      <c r="S6" s="38" t="s">
        <v>25</v>
      </c>
      <c r="T6" s="38"/>
      <c r="U6" s="38" t="s">
        <v>25</v>
      </c>
      <c r="V6" s="38"/>
      <c r="W6" s="38" t="s">
        <v>25</v>
      </c>
      <c r="X6" s="38" t="s">
        <v>25</v>
      </c>
      <c r="Y6" s="230"/>
    </row>
    <row r="7" spans="1:25" ht="25.5" x14ac:dyDescent="0.25">
      <c r="A7" s="114" t="s">
        <v>26</v>
      </c>
      <c r="B7" s="9" t="s">
        <v>150</v>
      </c>
      <c r="C7" s="9" t="s">
        <v>28</v>
      </c>
      <c r="D7" s="9" t="s">
        <v>150</v>
      </c>
      <c r="E7" s="9" t="s">
        <v>28</v>
      </c>
      <c r="F7" s="9" t="s">
        <v>150</v>
      </c>
      <c r="G7" s="9" t="s">
        <v>28</v>
      </c>
      <c r="H7" s="9" t="s">
        <v>150</v>
      </c>
      <c r="I7" s="9" t="s">
        <v>28</v>
      </c>
      <c r="J7" s="9" t="s">
        <v>150</v>
      </c>
      <c r="K7" s="9" t="s">
        <v>28</v>
      </c>
      <c r="L7" s="9" t="s">
        <v>150</v>
      </c>
      <c r="M7" s="9" t="s">
        <v>28</v>
      </c>
      <c r="N7" s="10" t="s">
        <v>151</v>
      </c>
      <c r="O7" s="10" t="s">
        <v>29</v>
      </c>
      <c r="P7" s="10" t="s">
        <v>151</v>
      </c>
      <c r="Q7" s="10" t="s">
        <v>29</v>
      </c>
      <c r="R7" s="10" t="s">
        <v>152</v>
      </c>
      <c r="S7" s="10" t="s">
        <v>29</v>
      </c>
      <c r="T7" s="10" t="s">
        <v>152</v>
      </c>
      <c r="U7" s="10" t="s">
        <v>29</v>
      </c>
      <c r="V7" s="10" t="s">
        <v>152</v>
      </c>
      <c r="W7" s="10" t="s">
        <v>29</v>
      </c>
      <c r="X7" s="10" t="s">
        <v>153</v>
      </c>
      <c r="Y7" s="230"/>
    </row>
    <row r="8" spans="1:25" s="117" customFormat="1" x14ac:dyDescent="0.25">
      <c r="A8" s="115">
        <v>1</v>
      </c>
      <c r="B8" s="17">
        <v>2</v>
      </c>
      <c r="C8" s="17">
        <v>3</v>
      </c>
      <c r="D8" s="17">
        <v>4</v>
      </c>
      <c r="E8" s="17">
        <v>5</v>
      </c>
      <c r="F8" s="17">
        <v>6</v>
      </c>
      <c r="G8" s="17">
        <v>7</v>
      </c>
      <c r="H8" s="17">
        <v>8</v>
      </c>
      <c r="I8" s="17">
        <v>9</v>
      </c>
      <c r="J8" s="17">
        <v>10</v>
      </c>
      <c r="K8" s="17">
        <v>11</v>
      </c>
      <c r="L8" s="116">
        <v>12</v>
      </c>
      <c r="M8" s="116">
        <v>13</v>
      </c>
      <c r="N8" s="18">
        <v>14</v>
      </c>
      <c r="O8" s="18">
        <v>15</v>
      </c>
      <c r="P8" s="18">
        <v>16</v>
      </c>
      <c r="Q8" s="18">
        <v>17</v>
      </c>
      <c r="R8" s="18">
        <v>18</v>
      </c>
      <c r="S8" s="18">
        <v>19</v>
      </c>
      <c r="T8" s="18">
        <v>20</v>
      </c>
      <c r="U8" s="18">
        <v>21</v>
      </c>
      <c r="V8" s="18">
        <v>22</v>
      </c>
      <c r="W8" s="18">
        <v>23</v>
      </c>
      <c r="X8" s="18">
        <v>26</v>
      </c>
      <c r="Y8" s="115">
        <v>27</v>
      </c>
    </row>
    <row r="9" spans="1:25" s="117" customFormat="1" ht="41.25" x14ac:dyDescent="0.25">
      <c r="A9" s="118" t="s">
        <v>154</v>
      </c>
      <c r="B9" s="234">
        <f>292+261+575+183+8+2</f>
        <v>1321</v>
      </c>
      <c r="C9" s="62">
        <f>215852.97+59285.69+71651.22+37416.83+2247.29+338.86</f>
        <v>386792.86</v>
      </c>
      <c r="D9" s="234">
        <f>2997+416+606+199+49+11</f>
        <v>4278</v>
      </c>
      <c r="E9" s="62">
        <f>416038.6+92892.41+79683.64+46380.32+4474.75+1850.4</f>
        <v>641320.12</v>
      </c>
      <c r="F9" s="234">
        <f>2913+401+650+215+51+11</f>
        <v>4241</v>
      </c>
      <c r="G9" s="62">
        <f>342807.27+72352.48+97934.32+48117.63+4038.12+1983.36</f>
        <v>567233.17999999993</v>
      </c>
      <c r="H9" s="234">
        <f>2857+398+660+223+51+11</f>
        <v>4200</v>
      </c>
      <c r="I9" s="62">
        <f>327841.06+68707.93+103869.2+53261.11+4693.08+1799</f>
        <v>560171.38</v>
      </c>
      <c r="J9" s="234">
        <f>2792+389+652+222+57+11</f>
        <v>4123</v>
      </c>
      <c r="K9" s="62">
        <f>335152.28+71617.58+109705.01+51315.77+5288.73+1721.9</f>
        <v>574801.27</v>
      </c>
      <c r="L9" s="237">
        <v>3725</v>
      </c>
      <c r="M9" s="119">
        <v>403320.91</v>
      </c>
      <c r="N9" s="120">
        <v>1526</v>
      </c>
      <c r="O9" s="64">
        <v>322664</v>
      </c>
      <c r="P9" s="120">
        <v>1526</v>
      </c>
      <c r="Q9" s="64">
        <v>322664</v>
      </c>
      <c r="R9" s="120">
        <v>1501</v>
      </c>
      <c r="S9" s="64">
        <v>318056</v>
      </c>
      <c r="T9" s="120">
        <v>1590</v>
      </c>
      <c r="U9" s="64">
        <v>351832</v>
      </c>
      <c r="V9" s="120">
        <v>1686</v>
      </c>
      <c r="W9" s="64">
        <v>376505</v>
      </c>
      <c r="X9" s="64">
        <f>W9+U9+S9+Q9+O9+M9+K9+I9+G9+E9+C9</f>
        <v>4825360.72</v>
      </c>
      <c r="Y9" s="231" t="s">
        <v>155</v>
      </c>
    </row>
    <row r="10" spans="1:25" s="117" customFormat="1" ht="28.5" x14ac:dyDescent="0.25">
      <c r="A10" s="118" t="s">
        <v>156</v>
      </c>
      <c r="B10" s="235"/>
      <c r="C10" s="62">
        <f>100+1643.32</f>
        <v>1743.32</v>
      </c>
      <c r="D10" s="235"/>
      <c r="E10" s="62">
        <f>100+1965.46</f>
        <v>2065.46</v>
      </c>
      <c r="F10" s="235"/>
      <c r="G10" s="62">
        <f>100+937.55</f>
        <v>1037.55</v>
      </c>
      <c r="H10" s="235"/>
      <c r="I10" s="62">
        <f>200+831.99</f>
        <v>1031.99</v>
      </c>
      <c r="J10" s="235"/>
      <c r="K10" s="62">
        <f>100+799.29</f>
        <v>899.29</v>
      </c>
      <c r="L10" s="238"/>
      <c r="M10" s="119">
        <v>691.32</v>
      </c>
      <c r="N10" s="120">
        <v>494</v>
      </c>
      <c r="O10" s="64">
        <v>42022</v>
      </c>
      <c r="P10" s="120"/>
      <c r="Q10" s="64"/>
      <c r="R10" s="120">
        <v>233</v>
      </c>
      <c r="S10" s="64">
        <v>11650</v>
      </c>
      <c r="T10" s="120">
        <v>88</v>
      </c>
      <c r="U10" s="64">
        <v>4400</v>
      </c>
      <c r="V10" s="120">
        <v>97</v>
      </c>
      <c r="W10" s="64">
        <v>4850</v>
      </c>
      <c r="X10" s="64">
        <f t="shared" ref="X10" si="0">W10+U10+S10+Q10+O10+M10+K10+I10+G10+E10+C10</f>
        <v>70390.930000000022</v>
      </c>
      <c r="Y10" s="232"/>
    </row>
    <row r="11" spans="1:25" s="117" customFormat="1" ht="66.75" x14ac:dyDescent="0.25">
      <c r="A11" s="118" t="s">
        <v>157</v>
      </c>
      <c r="B11" s="235"/>
      <c r="C11" s="62">
        <v>0</v>
      </c>
      <c r="D11" s="235"/>
      <c r="E11" s="62">
        <v>0</v>
      </c>
      <c r="F11" s="235"/>
      <c r="G11" s="62">
        <v>0</v>
      </c>
      <c r="H11" s="235"/>
      <c r="I11" s="62">
        <v>0</v>
      </c>
      <c r="J11" s="235"/>
      <c r="K11" s="62">
        <v>0</v>
      </c>
      <c r="L11" s="238"/>
      <c r="M11" s="119">
        <v>0</v>
      </c>
      <c r="N11" s="120"/>
      <c r="O11" s="64"/>
      <c r="P11" s="120"/>
      <c r="Q11" s="64"/>
      <c r="R11" s="120">
        <v>4</v>
      </c>
      <c r="S11" s="64">
        <v>429</v>
      </c>
      <c r="T11" s="120">
        <v>4</v>
      </c>
      <c r="U11" s="64">
        <v>429</v>
      </c>
      <c r="V11" s="120">
        <v>4</v>
      </c>
      <c r="W11" s="64">
        <v>429</v>
      </c>
      <c r="X11" s="64">
        <f>W11+U11+S11+Q11+O11+M11+K11+I11+G11+E11+C11</f>
        <v>1287</v>
      </c>
      <c r="Y11" s="232"/>
    </row>
    <row r="12" spans="1:25" s="117" customFormat="1" ht="54" x14ac:dyDescent="0.25">
      <c r="A12" s="118" t="s">
        <v>158</v>
      </c>
      <c r="B12" s="236"/>
      <c r="C12" s="62">
        <f>3133.1+68.8</f>
        <v>3201.9</v>
      </c>
      <c r="D12" s="236"/>
      <c r="E12" s="62">
        <f>4139.01+73.72</f>
        <v>4212.7300000000005</v>
      </c>
      <c r="F12" s="236"/>
      <c r="G12" s="62">
        <f>4694.28+131.5</f>
        <v>4825.78</v>
      </c>
      <c r="H12" s="236"/>
      <c r="I12" s="62">
        <f>4370.05+279.87</f>
        <v>4649.92</v>
      </c>
      <c r="J12" s="236"/>
      <c r="K12" s="62">
        <f>4343.21+335.9</f>
        <v>4679.1099999999997</v>
      </c>
      <c r="L12" s="239"/>
      <c r="M12" s="119">
        <v>4016.6</v>
      </c>
      <c r="N12" s="120"/>
      <c r="O12" s="64"/>
      <c r="P12" s="120"/>
      <c r="Q12" s="64"/>
      <c r="R12" s="120">
        <f>139+14</f>
        <v>153</v>
      </c>
      <c r="S12" s="64">
        <v>9928</v>
      </c>
      <c r="T12" s="120">
        <f>153+14</f>
        <v>167</v>
      </c>
      <c r="U12" s="64">
        <v>8773</v>
      </c>
      <c r="V12" s="120">
        <f>168+14</f>
        <v>182</v>
      </c>
      <c r="W12" s="64">
        <v>11810</v>
      </c>
      <c r="X12" s="64">
        <f>W12+U12+S12+Q12+O12+M12+K12+I12+G12+E12+C12</f>
        <v>56097.04</v>
      </c>
      <c r="Y12" s="233"/>
    </row>
    <row r="13" spans="1:25" s="117" customFormat="1" x14ac:dyDescent="0.25">
      <c r="A13" s="121" t="s">
        <v>1</v>
      </c>
      <c r="B13" s="122" t="s">
        <v>147</v>
      </c>
      <c r="C13" s="123">
        <f>SUM(C9:C12)</f>
        <v>391738.08</v>
      </c>
      <c r="D13" s="122" t="s">
        <v>147</v>
      </c>
      <c r="E13" s="123">
        <f>SUM(E9:E12)</f>
        <v>647598.30999999994</v>
      </c>
      <c r="F13" s="122" t="s">
        <v>147</v>
      </c>
      <c r="G13" s="123">
        <f>SUM(G9:G12)</f>
        <v>573096.51</v>
      </c>
      <c r="H13" s="122" t="s">
        <v>147</v>
      </c>
      <c r="I13" s="123">
        <f>SUM(I9:I12)</f>
        <v>565853.29</v>
      </c>
      <c r="J13" s="122" t="s">
        <v>147</v>
      </c>
      <c r="K13" s="123">
        <f>SUM(K9:K12)</f>
        <v>580379.67000000004</v>
      </c>
      <c r="L13" s="124" t="s">
        <v>147</v>
      </c>
      <c r="M13" s="125">
        <f>SUM(M9:M12)</f>
        <v>408028.82999999996</v>
      </c>
      <c r="N13" s="126" t="s">
        <v>147</v>
      </c>
      <c r="O13" s="127">
        <f>SUM(O9:O12)</f>
        <v>364686</v>
      </c>
      <c r="P13" s="126" t="s">
        <v>147</v>
      </c>
      <c r="Q13" s="127">
        <f>SUM(Q9:Q12)</f>
        <v>322664</v>
      </c>
      <c r="R13" s="126" t="s">
        <v>147</v>
      </c>
      <c r="S13" s="127">
        <f>SUM(S9:S12)</f>
        <v>340063</v>
      </c>
      <c r="T13" s="126" t="s">
        <v>147</v>
      </c>
      <c r="U13" s="127">
        <f>SUM(U9:U12)</f>
        <v>365434</v>
      </c>
      <c r="V13" s="126" t="s">
        <v>147</v>
      </c>
      <c r="W13" s="127">
        <f>SUM(W9:W12)</f>
        <v>393594</v>
      </c>
      <c r="X13" s="127">
        <f>SUM(X9:X12)</f>
        <v>4953135.6899999995</v>
      </c>
      <c r="Y13" s="128"/>
    </row>
    <row r="14" spans="1:25" x14ac:dyDescent="0.25">
      <c r="B14" s="130"/>
      <c r="X14" s="132"/>
    </row>
    <row r="15" spans="1:25" x14ac:dyDescent="0.25">
      <c r="B15" s="132"/>
      <c r="C15" s="132"/>
      <c r="M15" s="132"/>
      <c r="X15" s="132"/>
    </row>
    <row r="16" spans="1:25" x14ac:dyDescent="0.25">
      <c r="C16" s="132"/>
      <c r="D16" s="130"/>
      <c r="E16" s="130"/>
      <c r="F16" s="130"/>
      <c r="G16" s="130"/>
      <c r="H16" s="130"/>
      <c r="I16" s="130"/>
      <c r="J16" s="130"/>
      <c r="K16" s="130"/>
      <c r="L16" s="130"/>
      <c r="N16" s="130"/>
      <c r="P16" s="130"/>
      <c r="R16" s="130"/>
      <c r="T16" s="130"/>
      <c r="V16" s="130"/>
    </row>
    <row r="17" spans="2:22" x14ac:dyDescent="0.25">
      <c r="B17" s="130"/>
      <c r="D17" s="130"/>
      <c r="E17" s="130"/>
      <c r="F17" s="130"/>
      <c r="G17" s="130"/>
      <c r="H17" s="130"/>
      <c r="I17" s="130"/>
      <c r="J17" s="130"/>
      <c r="K17" s="130"/>
      <c r="L17" s="130"/>
      <c r="N17" s="130"/>
      <c r="P17" s="130"/>
      <c r="R17" s="130"/>
      <c r="T17" s="130"/>
      <c r="V17" s="130"/>
    </row>
    <row r="18" spans="2:22" x14ac:dyDescent="0.25">
      <c r="D18" s="130"/>
      <c r="E18" s="130"/>
      <c r="F18" s="130"/>
      <c r="G18" s="130"/>
      <c r="H18" s="130"/>
      <c r="I18" s="130"/>
      <c r="J18" s="130"/>
      <c r="K18" s="130"/>
      <c r="L18" s="130"/>
      <c r="N18" s="130"/>
      <c r="P18" s="130"/>
      <c r="R18" s="130"/>
      <c r="T18" s="130"/>
      <c r="V18" s="130"/>
    </row>
    <row r="19" spans="2:22" x14ac:dyDescent="0.25">
      <c r="D19" s="130"/>
      <c r="E19" s="130"/>
      <c r="F19" s="130"/>
      <c r="G19" s="130"/>
      <c r="H19" s="130"/>
      <c r="I19" s="130"/>
      <c r="J19" s="130"/>
      <c r="K19" s="130"/>
      <c r="L19" s="130"/>
      <c r="N19" s="130"/>
      <c r="P19" s="130"/>
      <c r="R19" s="130"/>
      <c r="T19" s="130"/>
      <c r="V19" s="130"/>
    </row>
    <row r="20" spans="2:22" x14ac:dyDescent="0.25">
      <c r="D20" s="130"/>
      <c r="E20" s="130"/>
      <c r="F20" s="130"/>
      <c r="G20" s="130"/>
      <c r="H20" s="130"/>
      <c r="I20" s="130"/>
      <c r="J20" s="130"/>
      <c r="K20" s="130"/>
      <c r="L20" s="130"/>
      <c r="N20" s="130"/>
      <c r="P20" s="130"/>
      <c r="R20" s="130"/>
      <c r="T20" s="130"/>
      <c r="V20" s="130"/>
    </row>
  </sheetData>
  <mergeCells count="32">
    <mergeCell ref="Y9:Y12"/>
    <mergeCell ref="B9:B12"/>
    <mergeCell ref="D9:D12"/>
    <mergeCell ref="F9:F12"/>
    <mergeCell ref="H9:H12"/>
    <mergeCell ref="J9:J12"/>
    <mergeCell ref="L9:L12"/>
    <mergeCell ref="L5:M5"/>
    <mergeCell ref="N5:O5"/>
    <mergeCell ref="P5:Q5"/>
    <mergeCell ref="R5:S5"/>
    <mergeCell ref="T5:U5"/>
    <mergeCell ref="V5:W5"/>
    <mergeCell ref="R4:S4"/>
    <mergeCell ref="T4:U4"/>
    <mergeCell ref="V4:W4"/>
    <mergeCell ref="Y4:Y7"/>
    <mergeCell ref="B5:C5"/>
    <mergeCell ref="D5:E5"/>
    <mergeCell ref="F5:G5"/>
    <mergeCell ref="H5:I5"/>
    <mergeCell ref="J5:K5"/>
    <mergeCell ref="A1:Y1"/>
    <mergeCell ref="A2:Y2"/>
    <mergeCell ref="B4:C4"/>
    <mergeCell ref="D4:E4"/>
    <mergeCell ref="F4:G4"/>
    <mergeCell ref="H4:I4"/>
    <mergeCell ref="J4:K4"/>
    <mergeCell ref="L4:M4"/>
    <mergeCell ref="N4:O4"/>
    <mergeCell ref="P4:Q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DD297-4BFF-4E18-A980-462F59A1B0EF}">
  <dimension ref="A1:AJ31"/>
  <sheetViews>
    <sheetView workbookViewId="0">
      <selection activeCell="V25" sqref="V25"/>
    </sheetView>
  </sheetViews>
  <sheetFormatPr defaultColWidth="9.42578125" defaultRowHeight="15" x14ac:dyDescent="0.25"/>
  <cols>
    <col min="1" max="2" width="28" style="129" customWidth="1"/>
    <col min="3" max="25" width="15.140625" style="131" customWidth="1"/>
    <col min="26" max="26" width="53.140625" style="133" customWidth="1"/>
    <col min="27" max="27" width="45.7109375" style="108" customWidth="1"/>
    <col min="28" max="273" width="9.42578125" style="108"/>
    <col min="274" max="274" width="21.7109375" style="108" customWidth="1"/>
    <col min="275" max="275" width="10.28515625" style="108" customWidth="1"/>
    <col min="276" max="276" width="14.140625" style="108" customWidth="1"/>
    <col min="277" max="277" width="10.28515625" style="108" customWidth="1"/>
    <col min="278" max="278" width="14.140625" style="108" customWidth="1"/>
    <col min="279" max="279" width="10.28515625" style="108" customWidth="1"/>
    <col min="280" max="281" width="14.140625" style="108" customWidth="1"/>
    <col min="282" max="282" width="46.28515625" style="108" customWidth="1"/>
    <col min="283" max="283" width="45.7109375" style="108" customWidth="1"/>
    <col min="284" max="529" width="9.42578125" style="108"/>
    <col min="530" max="530" width="21.7109375" style="108" customWidth="1"/>
    <col min="531" max="531" width="10.28515625" style="108" customWidth="1"/>
    <col min="532" max="532" width="14.140625" style="108" customWidth="1"/>
    <col min="533" max="533" width="10.28515625" style="108" customWidth="1"/>
    <col min="534" max="534" width="14.140625" style="108" customWidth="1"/>
    <col min="535" max="535" width="10.28515625" style="108" customWidth="1"/>
    <col min="536" max="537" width="14.140625" style="108" customWidth="1"/>
    <col min="538" max="538" width="46.28515625" style="108" customWidth="1"/>
    <col min="539" max="539" width="45.7109375" style="108" customWidth="1"/>
    <col min="540" max="785" width="9.42578125" style="108"/>
    <col min="786" max="786" width="21.7109375" style="108" customWidth="1"/>
    <col min="787" max="787" width="10.28515625" style="108" customWidth="1"/>
    <col min="788" max="788" width="14.140625" style="108" customWidth="1"/>
    <col min="789" max="789" width="10.28515625" style="108" customWidth="1"/>
    <col min="790" max="790" width="14.140625" style="108" customWidth="1"/>
    <col min="791" max="791" width="10.28515625" style="108" customWidth="1"/>
    <col min="792" max="793" width="14.140625" style="108" customWidth="1"/>
    <col min="794" max="794" width="46.28515625" style="108" customWidth="1"/>
    <col min="795" max="795" width="45.7109375" style="108" customWidth="1"/>
    <col min="796" max="1041" width="9.42578125" style="108"/>
    <col min="1042" max="1042" width="21.7109375" style="108" customWidth="1"/>
    <col min="1043" max="1043" width="10.28515625" style="108" customWidth="1"/>
    <col min="1044" max="1044" width="14.140625" style="108" customWidth="1"/>
    <col min="1045" max="1045" width="10.28515625" style="108" customWidth="1"/>
    <col min="1046" max="1046" width="14.140625" style="108" customWidth="1"/>
    <col min="1047" max="1047" width="10.28515625" style="108" customWidth="1"/>
    <col min="1048" max="1049" width="14.140625" style="108" customWidth="1"/>
    <col min="1050" max="1050" width="46.28515625" style="108" customWidth="1"/>
    <col min="1051" max="1051" width="45.7109375" style="108" customWidth="1"/>
    <col min="1052" max="1297" width="9.42578125" style="108"/>
    <col min="1298" max="1298" width="21.7109375" style="108" customWidth="1"/>
    <col min="1299" max="1299" width="10.28515625" style="108" customWidth="1"/>
    <col min="1300" max="1300" width="14.140625" style="108" customWidth="1"/>
    <col min="1301" max="1301" width="10.28515625" style="108" customWidth="1"/>
    <col min="1302" max="1302" width="14.140625" style="108" customWidth="1"/>
    <col min="1303" max="1303" width="10.28515625" style="108" customWidth="1"/>
    <col min="1304" max="1305" width="14.140625" style="108" customWidth="1"/>
    <col min="1306" max="1306" width="46.28515625" style="108" customWidth="1"/>
    <col min="1307" max="1307" width="45.7109375" style="108" customWidth="1"/>
    <col min="1308" max="1553" width="9.42578125" style="108"/>
    <col min="1554" max="1554" width="21.7109375" style="108" customWidth="1"/>
    <col min="1555" max="1555" width="10.28515625" style="108" customWidth="1"/>
    <col min="1556" max="1556" width="14.140625" style="108" customWidth="1"/>
    <col min="1557" max="1557" width="10.28515625" style="108" customWidth="1"/>
    <col min="1558" max="1558" width="14.140625" style="108" customWidth="1"/>
    <col min="1559" max="1559" width="10.28515625" style="108" customWidth="1"/>
    <col min="1560" max="1561" width="14.140625" style="108" customWidth="1"/>
    <col min="1562" max="1562" width="46.28515625" style="108" customWidth="1"/>
    <col min="1563" max="1563" width="45.7109375" style="108" customWidth="1"/>
    <col min="1564" max="1809" width="9.42578125" style="108"/>
    <col min="1810" max="1810" width="21.7109375" style="108" customWidth="1"/>
    <col min="1811" max="1811" width="10.28515625" style="108" customWidth="1"/>
    <col min="1812" max="1812" width="14.140625" style="108" customWidth="1"/>
    <col min="1813" max="1813" width="10.28515625" style="108" customWidth="1"/>
    <col min="1814" max="1814" width="14.140625" style="108" customWidth="1"/>
    <col min="1815" max="1815" width="10.28515625" style="108" customWidth="1"/>
    <col min="1816" max="1817" width="14.140625" style="108" customWidth="1"/>
    <col min="1818" max="1818" width="46.28515625" style="108" customWidth="1"/>
    <col min="1819" max="1819" width="45.7109375" style="108" customWidth="1"/>
    <col min="1820" max="2065" width="9.42578125" style="108"/>
    <col min="2066" max="2066" width="21.7109375" style="108" customWidth="1"/>
    <col min="2067" max="2067" width="10.28515625" style="108" customWidth="1"/>
    <col min="2068" max="2068" width="14.140625" style="108" customWidth="1"/>
    <col min="2069" max="2069" width="10.28515625" style="108" customWidth="1"/>
    <col min="2070" max="2070" width="14.140625" style="108" customWidth="1"/>
    <col min="2071" max="2071" width="10.28515625" style="108" customWidth="1"/>
    <col min="2072" max="2073" width="14.140625" style="108" customWidth="1"/>
    <col min="2074" max="2074" width="46.28515625" style="108" customWidth="1"/>
    <col min="2075" max="2075" width="45.7109375" style="108" customWidth="1"/>
    <col min="2076" max="2321" width="9.42578125" style="108"/>
    <col min="2322" max="2322" width="21.7109375" style="108" customWidth="1"/>
    <col min="2323" max="2323" width="10.28515625" style="108" customWidth="1"/>
    <col min="2324" max="2324" width="14.140625" style="108" customWidth="1"/>
    <col min="2325" max="2325" width="10.28515625" style="108" customWidth="1"/>
    <col min="2326" max="2326" width="14.140625" style="108" customWidth="1"/>
    <col min="2327" max="2327" width="10.28515625" style="108" customWidth="1"/>
    <col min="2328" max="2329" width="14.140625" style="108" customWidth="1"/>
    <col min="2330" max="2330" width="46.28515625" style="108" customWidth="1"/>
    <col min="2331" max="2331" width="45.7109375" style="108" customWidth="1"/>
    <col min="2332" max="2577" width="9.42578125" style="108"/>
    <col min="2578" max="2578" width="21.7109375" style="108" customWidth="1"/>
    <col min="2579" max="2579" width="10.28515625" style="108" customWidth="1"/>
    <col min="2580" max="2580" width="14.140625" style="108" customWidth="1"/>
    <col min="2581" max="2581" width="10.28515625" style="108" customWidth="1"/>
    <col min="2582" max="2582" width="14.140625" style="108" customWidth="1"/>
    <col min="2583" max="2583" width="10.28515625" style="108" customWidth="1"/>
    <col min="2584" max="2585" width="14.140625" style="108" customWidth="1"/>
    <col min="2586" max="2586" width="46.28515625" style="108" customWidth="1"/>
    <col min="2587" max="2587" width="45.7109375" style="108" customWidth="1"/>
    <col min="2588" max="2833" width="9.42578125" style="108"/>
    <col min="2834" max="2834" width="21.7109375" style="108" customWidth="1"/>
    <col min="2835" max="2835" width="10.28515625" style="108" customWidth="1"/>
    <col min="2836" max="2836" width="14.140625" style="108" customWidth="1"/>
    <col min="2837" max="2837" width="10.28515625" style="108" customWidth="1"/>
    <col min="2838" max="2838" width="14.140625" style="108" customWidth="1"/>
    <col min="2839" max="2839" width="10.28515625" style="108" customWidth="1"/>
    <col min="2840" max="2841" width="14.140625" style="108" customWidth="1"/>
    <col min="2842" max="2842" width="46.28515625" style="108" customWidth="1"/>
    <col min="2843" max="2843" width="45.7109375" style="108" customWidth="1"/>
    <col min="2844" max="3089" width="9.42578125" style="108"/>
    <col min="3090" max="3090" width="21.7109375" style="108" customWidth="1"/>
    <col min="3091" max="3091" width="10.28515625" style="108" customWidth="1"/>
    <col min="3092" max="3092" width="14.140625" style="108" customWidth="1"/>
    <col min="3093" max="3093" width="10.28515625" style="108" customWidth="1"/>
    <col min="3094" max="3094" width="14.140625" style="108" customWidth="1"/>
    <col min="3095" max="3095" width="10.28515625" style="108" customWidth="1"/>
    <col min="3096" max="3097" width="14.140625" style="108" customWidth="1"/>
    <col min="3098" max="3098" width="46.28515625" style="108" customWidth="1"/>
    <col min="3099" max="3099" width="45.7109375" style="108" customWidth="1"/>
    <col min="3100" max="3345" width="9.42578125" style="108"/>
    <col min="3346" max="3346" width="21.7109375" style="108" customWidth="1"/>
    <col min="3347" max="3347" width="10.28515625" style="108" customWidth="1"/>
    <col min="3348" max="3348" width="14.140625" style="108" customWidth="1"/>
    <col min="3349" max="3349" width="10.28515625" style="108" customWidth="1"/>
    <col min="3350" max="3350" width="14.140625" style="108" customWidth="1"/>
    <col min="3351" max="3351" width="10.28515625" style="108" customWidth="1"/>
    <col min="3352" max="3353" width="14.140625" style="108" customWidth="1"/>
    <col min="3354" max="3354" width="46.28515625" style="108" customWidth="1"/>
    <col min="3355" max="3355" width="45.7109375" style="108" customWidth="1"/>
    <col min="3356" max="3601" width="9.42578125" style="108"/>
    <col min="3602" max="3602" width="21.7109375" style="108" customWidth="1"/>
    <col min="3603" max="3603" width="10.28515625" style="108" customWidth="1"/>
    <col min="3604" max="3604" width="14.140625" style="108" customWidth="1"/>
    <col min="3605" max="3605" width="10.28515625" style="108" customWidth="1"/>
    <col min="3606" max="3606" width="14.140625" style="108" customWidth="1"/>
    <col min="3607" max="3607" width="10.28515625" style="108" customWidth="1"/>
    <col min="3608" max="3609" width="14.140625" style="108" customWidth="1"/>
    <col min="3610" max="3610" width="46.28515625" style="108" customWidth="1"/>
    <col min="3611" max="3611" width="45.7109375" style="108" customWidth="1"/>
    <col min="3612" max="3857" width="9.42578125" style="108"/>
    <col min="3858" max="3858" width="21.7109375" style="108" customWidth="1"/>
    <col min="3859" max="3859" width="10.28515625" style="108" customWidth="1"/>
    <col min="3860" max="3860" width="14.140625" style="108" customWidth="1"/>
    <col min="3861" max="3861" width="10.28515625" style="108" customWidth="1"/>
    <col min="3862" max="3862" width="14.140625" style="108" customWidth="1"/>
    <col min="3863" max="3863" width="10.28515625" style="108" customWidth="1"/>
    <col min="3864" max="3865" width="14.140625" style="108" customWidth="1"/>
    <col min="3866" max="3866" width="46.28515625" style="108" customWidth="1"/>
    <col min="3867" max="3867" width="45.7109375" style="108" customWidth="1"/>
    <col min="3868" max="4113" width="9.42578125" style="108"/>
    <col min="4114" max="4114" width="21.7109375" style="108" customWidth="1"/>
    <col min="4115" max="4115" width="10.28515625" style="108" customWidth="1"/>
    <col min="4116" max="4116" width="14.140625" style="108" customWidth="1"/>
    <col min="4117" max="4117" width="10.28515625" style="108" customWidth="1"/>
    <col min="4118" max="4118" width="14.140625" style="108" customWidth="1"/>
    <col min="4119" max="4119" width="10.28515625" style="108" customWidth="1"/>
    <col min="4120" max="4121" width="14.140625" style="108" customWidth="1"/>
    <col min="4122" max="4122" width="46.28515625" style="108" customWidth="1"/>
    <col min="4123" max="4123" width="45.7109375" style="108" customWidth="1"/>
    <col min="4124" max="4369" width="9.42578125" style="108"/>
    <col min="4370" max="4370" width="21.7109375" style="108" customWidth="1"/>
    <col min="4371" max="4371" width="10.28515625" style="108" customWidth="1"/>
    <col min="4372" max="4372" width="14.140625" style="108" customWidth="1"/>
    <col min="4373" max="4373" width="10.28515625" style="108" customWidth="1"/>
    <col min="4374" max="4374" width="14.140625" style="108" customWidth="1"/>
    <col min="4375" max="4375" width="10.28515625" style="108" customWidth="1"/>
    <col min="4376" max="4377" width="14.140625" style="108" customWidth="1"/>
    <col min="4378" max="4378" width="46.28515625" style="108" customWidth="1"/>
    <col min="4379" max="4379" width="45.7109375" style="108" customWidth="1"/>
    <col min="4380" max="4625" width="9.42578125" style="108"/>
    <col min="4626" max="4626" width="21.7109375" style="108" customWidth="1"/>
    <col min="4627" max="4627" width="10.28515625" style="108" customWidth="1"/>
    <col min="4628" max="4628" width="14.140625" style="108" customWidth="1"/>
    <col min="4629" max="4629" width="10.28515625" style="108" customWidth="1"/>
    <col min="4630" max="4630" width="14.140625" style="108" customWidth="1"/>
    <col min="4631" max="4631" width="10.28515625" style="108" customWidth="1"/>
    <col min="4632" max="4633" width="14.140625" style="108" customWidth="1"/>
    <col min="4634" max="4634" width="46.28515625" style="108" customWidth="1"/>
    <col min="4635" max="4635" width="45.7109375" style="108" customWidth="1"/>
    <col min="4636" max="4881" width="9.42578125" style="108"/>
    <col min="4882" max="4882" width="21.7109375" style="108" customWidth="1"/>
    <col min="4883" max="4883" width="10.28515625" style="108" customWidth="1"/>
    <col min="4884" max="4884" width="14.140625" style="108" customWidth="1"/>
    <col min="4885" max="4885" width="10.28515625" style="108" customWidth="1"/>
    <col min="4886" max="4886" width="14.140625" style="108" customWidth="1"/>
    <col min="4887" max="4887" width="10.28515625" style="108" customWidth="1"/>
    <col min="4888" max="4889" width="14.140625" style="108" customWidth="1"/>
    <col min="4890" max="4890" width="46.28515625" style="108" customWidth="1"/>
    <col min="4891" max="4891" width="45.7109375" style="108" customWidth="1"/>
    <col min="4892" max="5137" width="9.42578125" style="108"/>
    <col min="5138" max="5138" width="21.7109375" style="108" customWidth="1"/>
    <col min="5139" max="5139" width="10.28515625" style="108" customWidth="1"/>
    <col min="5140" max="5140" width="14.140625" style="108" customWidth="1"/>
    <col min="5141" max="5141" width="10.28515625" style="108" customWidth="1"/>
    <col min="5142" max="5142" width="14.140625" style="108" customWidth="1"/>
    <col min="5143" max="5143" width="10.28515625" style="108" customWidth="1"/>
    <col min="5144" max="5145" width="14.140625" style="108" customWidth="1"/>
    <col min="5146" max="5146" width="46.28515625" style="108" customWidth="1"/>
    <col min="5147" max="5147" width="45.7109375" style="108" customWidth="1"/>
    <col min="5148" max="5393" width="9.42578125" style="108"/>
    <col min="5394" max="5394" width="21.7109375" style="108" customWidth="1"/>
    <col min="5395" max="5395" width="10.28515625" style="108" customWidth="1"/>
    <col min="5396" max="5396" width="14.140625" style="108" customWidth="1"/>
    <col min="5397" max="5397" width="10.28515625" style="108" customWidth="1"/>
    <col min="5398" max="5398" width="14.140625" style="108" customWidth="1"/>
    <col min="5399" max="5399" width="10.28515625" style="108" customWidth="1"/>
    <col min="5400" max="5401" width="14.140625" style="108" customWidth="1"/>
    <col min="5402" max="5402" width="46.28515625" style="108" customWidth="1"/>
    <col min="5403" max="5403" width="45.7109375" style="108" customWidth="1"/>
    <col min="5404" max="5649" width="9.42578125" style="108"/>
    <col min="5650" max="5650" width="21.7109375" style="108" customWidth="1"/>
    <col min="5651" max="5651" width="10.28515625" style="108" customWidth="1"/>
    <col min="5652" max="5652" width="14.140625" style="108" customWidth="1"/>
    <col min="5653" max="5653" width="10.28515625" style="108" customWidth="1"/>
    <col min="5654" max="5654" width="14.140625" style="108" customWidth="1"/>
    <col min="5655" max="5655" width="10.28515625" style="108" customWidth="1"/>
    <col min="5656" max="5657" width="14.140625" style="108" customWidth="1"/>
    <col min="5658" max="5658" width="46.28515625" style="108" customWidth="1"/>
    <col min="5659" max="5659" width="45.7109375" style="108" customWidth="1"/>
    <col min="5660" max="5905" width="9.42578125" style="108"/>
    <col min="5906" max="5906" width="21.7109375" style="108" customWidth="1"/>
    <col min="5907" max="5907" width="10.28515625" style="108" customWidth="1"/>
    <col min="5908" max="5908" width="14.140625" style="108" customWidth="1"/>
    <col min="5909" max="5909" width="10.28515625" style="108" customWidth="1"/>
    <col min="5910" max="5910" width="14.140625" style="108" customWidth="1"/>
    <col min="5911" max="5911" width="10.28515625" style="108" customWidth="1"/>
    <col min="5912" max="5913" width="14.140625" style="108" customWidth="1"/>
    <col min="5914" max="5914" width="46.28515625" style="108" customWidth="1"/>
    <col min="5915" max="5915" width="45.7109375" style="108" customWidth="1"/>
    <col min="5916" max="6161" width="9.42578125" style="108"/>
    <col min="6162" max="6162" width="21.7109375" style="108" customWidth="1"/>
    <col min="6163" max="6163" width="10.28515625" style="108" customWidth="1"/>
    <col min="6164" max="6164" width="14.140625" style="108" customWidth="1"/>
    <col min="6165" max="6165" width="10.28515625" style="108" customWidth="1"/>
    <col min="6166" max="6166" width="14.140625" style="108" customWidth="1"/>
    <col min="6167" max="6167" width="10.28515625" style="108" customWidth="1"/>
    <col min="6168" max="6169" width="14.140625" style="108" customWidth="1"/>
    <col min="6170" max="6170" width="46.28515625" style="108" customWidth="1"/>
    <col min="6171" max="6171" width="45.7109375" style="108" customWidth="1"/>
    <col min="6172" max="6417" width="9.42578125" style="108"/>
    <col min="6418" max="6418" width="21.7109375" style="108" customWidth="1"/>
    <col min="6419" max="6419" width="10.28515625" style="108" customWidth="1"/>
    <col min="6420" max="6420" width="14.140625" style="108" customWidth="1"/>
    <col min="6421" max="6421" width="10.28515625" style="108" customWidth="1"/>
    <col min="6422" max="6422" width="14.140625" style="108" customWidth="1"/>
    <col min="6423" max="6423" width="10.28515625" style="108" customWidth="1"/>
    <col min="6424" max="6425" width="14.140625" style="108" customWidth="1"/>
    <col min="6426" max="6426" width="46.28515625" style="108" customWidth="1"/>
    <col min="6427" max="6427" width="45.7109375" style="108" customWidth="1"/>
    <col min="6428" max="6673" width="9.42578125" style="108"/>
    <col min="6674" max="6674" width="21.7109375" style="108" customWidth="1"/>
    <col min="6675" max="6675" width="10.28515625" style="108" customWidth="1"/>
    <col min="6676" max="6676" width="14.140625" style="108" customWidth="1"/>
    <col min="6677" max="6677" width="10.28515625" style="108" customWidth="1"/>
    <col min="6678" max="6678" width="14.140625" style="108" customWidth="1"/>
    <col min="6679" max="6679" width="10.28515625" style="108" customWidth="1"/>
    <col min="6680" max="6681" width="14.140625" style="108" customWidth="1"/>
    <col min="6682" max="6682" width="46.28515625" style="108" customWidth="1"/>
    <col min="6683" max="6683" width="45.7109375" style="108" customWidth="1"/>
    <col min="6684" max="6929" width="9.42578125" style="108"/>
    <col min="6930" max="6930" width="21.7109375" style="108" customWidth="1"/>
    <col min="6931" max="6931" width="10.28515625" style="108" customWidth="1"/>
    <col min="6932" max="6932" width="14.140625" style="108" customWidth="1"/>
    <col min="6933" max="6933" width="10.28515625" style="108" customWidth="1"/>
    <col min="6934" max="6934" width="14.140625" style="108" customWidth="1"/>
    <col min="6935" max="6935" width="10.28515625" style="108" customWidth="1"/>
    <col min="6936" max="6937" width="14.140625" style="108" customWidth="1"/>
    <col min="6938" max="6938" width="46.28515625" style="108" customWidth="1"/>
    <col min="6939" max="6939" width="45.7109375" style="108" customWidth="1"/>
    <col min="6940" max="7185" width="9.42578125" style="108"/>
    <col min="7186" max="7186" width="21.7109375" style="108" customWidth="1"/>
    <col min="7187" max="7187" width="10.28515625" style="108" customWidth="1"/>
    <col min="7188" max="7188" width="14.140625" style="108" customWidth="1"/>
    <col min="7189" max="7189" width="10.28515625" style="108" customWidth="1"/>
    <col min="7190" max="7190" width="14.140625" style="108" customWidth="1"/>
    <col min="7191" max="7191" width="10.28515625" style="108" customWidth="1"/>
    <col min="7192" max="7193" width="14.140625" style="108" customWidth="1"/>
    <col min="7194" max="7194" width="46.28515625" style="108" customWidth="1"/>
    <col min="7195" max="7195" width="45.7109375" style="108" customWidth="1"/>
    <col min="7196" max="7441" width="9.42578125" style="108"/>
    <col min="7442" max="7442" width="21.7109375" style="108" customWidth="1"/>
    <col min="7443" max="7443" width="10.28515625" style="108" customWidth="1"/>
    <col min="7444" max="7444" width="14.140625" style="108" customWidth="1"/>
    <col min="7445" max="7445" width="10.28515625" style="108" customWidth="1"/>
    <col min="7446" max="7446" width="14.140625" style="108" customWidth="1"/>
    <col min="7447" max="7447" width="10.28515625" style="108" customWidth="1"/>
    <col min="7448" max="7449" width="14.140625" style="108" customWidth="1"/>
    <col min="7450" max="7450" width="46.28515625" style="108" customWidth="1"/>
    <col min="7451" max="7451" width="45.7109375" style="108" customWidth="1"/>
    <col min="7452" max="7697" width="9.42578125" style="108"/>
    <col min="7698" max="7698" width="21.7109375" style="108" customWidth="1"/>
    <col min="7699" max="7699" width="10.28515625" style="108" customWidth="1"/>
    <col min="7700" max="7700" width="14.140625" style="108" customWidth="1"/>
    <col min="7701" max="7701" width="10.28515625" style="108" customWidth="1"/>
    <col min="7702" max="7702" width="14.140625" style="108" customWidth="1"/>
    <col min="7703" max="7703" width="10.28515625" style="108" customWidth="1"/>
    <col min="7704" max="7705" width="14.140625" style="108" customWidth="1"/>
    <col min="7706" max="7706" width="46.28515625" style="108" customWidth="1"/>
    <col min="7707" max="7707" width="45.7109375" style="108" customWidth="1"/>
    <col min="7708" max="7953" width="9.42578125" style="108"/>
    <col min="7954" max="7954" width="21.7109375" style="108" customWidth="1"/>
    <col min="7955" max="7955" width="10.28515625" style="108" customWidth="1"/>
    <col min="7956" max="7956" width="14.140625" style="108" customWidth="1"/>
    <col min="7957" max="7957" width="10.28515625" style="108" customWidth="1"/>
    <col min="7958" max="7958" width="14.140625" style="108" customWidth="1"/>
    <col min="7959" max="7959" width="10.28515625" style="108" customWidth="1"/>
    <col min="7960" max="7961" width="14.140625" style="108" customWidth="1"/>
    <col min="7962" max="7962" width="46.28515625" style="108" customWidth="1"/>
    <col min="7963" max="7963" width="45.7109375" style="108" customWidth="1"/>
    <col min="7964" max="8209" width="9.42578125" style="108"/>
    <col min="8210" max="8210" width="21.7109375" style="108" customWidth="1"/>
    <col min="8211" max="8211" width="10.28515625" style="108" customWidth="1"/>
    <col min="8212" max="8212" width="14.140625" style="108" customWidth="1"/>
    <col min="8213" max="8213" width="10.28515625" style="108" customWidth="1"/>
    <col min="8214" max="8214" width="14.140625" style="108" customWidth="1"/>
    <col min="8215" max="8215" width="10.28515625" style="108" customWidth="1"/>
    <col min="8216" max="8217" width="14.140625" style="108" customWidth="1"/>
    <col min="8218" max="8218" width="46.28515625" style="108" customWidth="1"/>
    <col min="8219" max="8219" width="45.7109375" style="108" customWidth="1"/>
    <col min="8220" max="8465" width="9.42578125" style="108"/>
    <col min="8466" max="8466" width="21.7109375" style="108" customWidth="1"/>
    <col min="8467" max="8467" width="10.28515625" style="108" customWidth="1"/>
    <col min="8468" max="8468" width="14.140625" style="108" customWidth="1"/>
    <col min="8469" max="8469" width="10.28515625" style="108" customWidth="1"/>
    <col min="8470" max="8470" width="14.140625" style="108" customWidth="1"/>
    <col min="8471" max="8471" width="10.28515625" style="108" customWidth="1"/>
    <col min="8472" max="8473" width="14.140625" style="108" customWidth="1"/>
    <col min="8474" max="8474" width="46.28515625" style="108" customWidth="1"/>
    <col min="8475" max="8475" width="45.7109375" style="108" customWidth="1"/>
    <col min="8476" max="8721" width="9.42578125" style="108"/>
    <col min="8722" max="8722" width="21.7109375" style="108" customWidth="1"/>
    <col min="8723" max="8723" width="10.28515625" style="108" customWidth="1"/>
    <col min="8724" max="8724" width="14.140625" style="108" customWidth="1"/>
    <col min="8725" max="8725" width="10.28515625" style="108" customWidth="1"/>
    <col min="8726" max="8726" width="14.140625" style="108" customWidth="1"/>
    <col min="8727" max="8727" width="10.28515625" style="108" customWidth="1"/>
    <col min="8728" max="8729" width="14.140625" style="108" customWidth="1"/>
    <col min="8730" max="8730" width="46.28515625" style="108" customWidth="1"/>
    <col min="8731" max="8731" width="45.7109375" style="108" customWidth="1"/>
    <col min="8732" max="8977" width="9.42578125" style="108"/>
    <col min="8978" max="8978" width="21.7109375" style="108" customWidth="1"/>
    <col min="8979" max="8979" width="10.28515625" style="108" customWidth="1"/>
    <col min="8980" max="8980" width="14.140625" style="108" customWidth="1"/>
    <col min="8981" max="8981" width="10.28515625" style="108" customWidth="1"/>
    <col min="8982" max="8982" width="14.140625" style="108" customWidth="1"/>
    <col min="8983" max="8983" width="10.28515625" style="108" customWidth="1"/>
    <col min="8984" max="8985" width="14.140625" style="108" customWidth="1"/>
    <col min="8986" max="8986" width="46.28515625" style="108" customWidth="1"/>
    <col min="8987" max="8987" width="45.7109375" style="108" customWidth="1"/>
    <col min="8988" max="9233" width="9.42578125" style="108"/>
    <col min="9234" max="9234" width="21.7109375" style="108" customWidth="1"/>
    <col min="9235" max="9235" width="10.28515625" style="108" customWidth="1"/>
    <col min="9236" max="9236" width="14.140625" style="108" customWidth="1"/>
    <col min="9237" max="9237" width="10.28515625" style="108" customWidth="1"/>
    <col min="9238" max="9238" width="14.140625" style="108" customWidth="1"/>
    <col min="9239" max="9239" width="10.28515625" style="108" customWidth="1"/>
    <col min="9240" max="9241" width="14.140625" style="108" customWidth="1"/>
    <col min="9242" max="9242" width="46.28515625" style="108" customWidth="1"/>
    <col min="9243" max="9243" width="45.7109375" style="108" customWidth="1"/>
    <col min="9244" max="9489" width="9.42578125" style="108"/>
    <col min="9490" max="9490" width="21.7109375" style="108" customWidth="1"/>
    <col min="9491" max="9491" width="10.28515625" style="108" customWidth="1"/>
    <col min="9492" max="9492" width="14.140625" style="108" customWidth="1"/>
    <col min="9493" max="9493" width="10.28515625" style="108" customWidth="1"/>
    <col min="9494" max="9494" width="14.140625" style="108" customWidth="1"/>
    <col min="9495" max="9495" width="10.28515625" style="108" customWidth="1"/>
    <col min="9496" max="9497" width="14.140625" style="108" customWidth="1"/>
    <col min="9498" max="9498" width="46.28515625" style="108" customWidth="1"/>
    <col min="9499" max="9499" width="45.7109375" style="108" customWidth="1"/>
    <col min="9500" max="9745" width="9.42578125" style="108"/>
    <col min="9746" max="9746" width="21.7109375" style="108" customWidth="1"/>
    <col min="9747" max="9747" width="10.28515625" style="108" customWidth="1"/>
    <col min="9748" max="9748" width="14.140625" style="108" customWidth="1"/>
    <col min="9749" max="9749" width="10.28515625" style="108" customWidth="1"/>
    <col min="9750" max="9750" width="14.140625" style="108" customWidth="1"/>
    <col min="9751" max="9751" width="10.28515625" style="108" customWidth="1"/>
    <col min="9752" max="9753" width="14.140625" style="108" customWidth="1"/>
    <col min="9754" max="9754" width="46.28515625" style="108" customWidth="1"/>
    <col min="9755" max="9755" width="45.7109375" style="108" customWidth="1"/>
    <col min="9756" max="10001" width="9.42578125" style="108"/>
    <col min="10002" max="10002" width="21.7109375" style="108" customWidth="1"/>
    <col min="10003" max="10003" width="10.28515625" style="108" customWidth="1"/>
    <col min="10004" max="10004" width="14.140625" style="108" customWidth="1"/>
    <col min="10005" max="10005" width="10.28515625" style="108" customWidth="1"/>
    <col min="10006" max="10006" width="14.140625" style="108" customWidth="1"/>
    <col min="10007" max="10007" width="10.28515625" style="108" customWidth="1"/>
    <col min="10008" max="10009" width="14.140625" style="108" customWidth="1"/>
    <col min="10010" max="10010" width="46.28515625" style="108" customWidth="1"/>
    <col min="10011" max="10011" width="45.7109375" style="108" customWidth="1"/>
    <col min="10012" max="10257" width="9.42578125" style="108"/>
    <col min="10258" max="10258" width="21.7109375" style="108" customWidth="1"/>
    <col min="10259" max="10259" width="10.28515625" style="108" customWidth="1"/>
    <col min="10260" max="10260" width="14.140625" style="108" customWidth="1"/>
    <col min="10261" max="10261" width="10.28515625" style="108" customWidth="1"/>
    <col min="10262" max="10262" width="14.140625" style="108" customWidth="1"/>
    <col min="10263" max="10263" width="10.28515625" style="108" customWidth="1"/>
    <col min="10264" max="10265" width="14.140625" style="108" customWidth="1"/>
    <col min="10266" max="10266" width="46.28515625" style="108" customWidth="1"/>
    <col min="10267" max="10267" width="45.7109375" style="108" customWidth="1"/>
    <col min="10268" max="10513" width="9.42578125" style="108"/>
    <col min="10514" max="10514" width="21.7109375" style="108" customWidth="1"/>
    <col min="10515" max="10515" width="10.28515625" style="108" customWidth="1"/>
    <col min="10516" max="10516" width="14.140625" style="108" customWidth="1"/>
    <col min="10517" max="10517" width="10.28515625" style="108" customWidth="1"/>
    <col min="10518" max="10518" width="14.140625" style="108" customWidth="1"/>
    <col min="10519" max="10519" width="10.28515625" style="108" customWidth="1"/>
    <col min="10520" max="10521" width="14.140625" style="108" customWidth="1"/>
    <col min="10522" max="10522" width="46.28515625" style="108" customWidth="1"/>
    <col min="10523" max="10523" width="45.7109375" style="108" customWidth="1"/>
    <col min="10524" max="10769" width="9.42578125" style="108"/>
    <col min="10770" max="10770" width="21.7109375" style="108" customWidth="1"/>
    <col min="10771" max="10771" width="10.28515625" style="108" customWidth="1"/>
    <col min="10772" max="10772" width="14.140625" style="108" customWidth="1"/>
    <col min="10773" max="10773" width="10.28515625" style="108" customWidth="1"/>
    <col min="10774" max="10774" width="14.140625" style="108" customWidth="1"/>
    <col min="10775" max="10775" width="10.28515625" style="108" customWidth="1"/>
    <col min="10776" max="10777" width="14.140625" style="108" customWidth="1"/>
    <col min="10778" max="10778" width="46.28515625" style="108" customWidth="1"/>
    <col min="10779" max="10779" width="45.7109375" style="108" customWidth="1"/>
    <col min="10780" max="11025" width="9.42578125" style="108"/>
    <col min="11026" max="11026" width="21.7109375" style="108" customWidth="1"/>
    <col min="11027" max="11027" width="10.28515625" style="108" customWidth="1"/>
    <col min="11028" max="11028" width="14.140625" style="108" customWidth="1"/>
    <col min="11029" max="11029" width="10.28515625" style="108" customWidth="1"/>
    <col min="11030" max="11030" width="14.140625" style="108" customWidth="1"/>
    <col min="11031" max="11031" width="10.28515625" style="108" customWidth="1"/>
    <col min="11032" max="11033" width="14.140625" style="108" customWidth="1"/>
    <col min="11034" max="11034" width="46.28515625" style="108" customWidth="1"/>
    <col min="11035" max="11035" width="45.7109375" style="108" customWidth="1"/>
    <col min="11036" max="11281" width="9.42578125" style="108"/>
    <col min="11282" max="11282" width="21.7109375" style="108" customWidth="1"/>
    <col min="11283" max="11283" width="10.28515625" style="108" customWidth="1"/>
    <col min="11284" max="11284" width="14.140625" style="108" customWidth="1"/>
    <col min="11285" max="11285" width="10.28515625" style="108" customWidth="1"/>
    <col min="11286" max="11286" width="14.140625" style="108" customWidth="1"/>
    <col min="11287" max="11287" width="10.28515625" style="108" customWidth="1"/>
    <col min="11288" max="11289" width="14.140625" style="108" customWidth="1"/>
    <col min="11290" max="11290" width="46.28515625" style="108" customWidth="1"/>
    <col min="11291" max="11291" width="45.7109375" style="108" customWidth="1"/>
    <col min="11292" max="11537" width="9.42578125" style="108"/>
    <col min="11538" max="11538" width="21.7109375" style="108" customWidth="1"/>
    <col min="11539" max="11539" width="10.28515625" style="108" customWidth="1"/>
    <col min="11540" max="11540" width="14.140625" style="108" customWidth="1"/>
    <col min="11541" max="11541" width="10.28515625" style="108" customWidth="1"/>
    <col min="11542" max="11542" width="14.140625" style="108" customWidth="1"/>
    <col min="11543" max="11543" width="10.28515625" style="108" customWidth="1"/>
    <col min="11544" max="11545" width="14.140625" style="108" customWidth="1"/>
    <col min="11546" max="11546" width="46.28515625" style="108" customWidth="1"/>
    <col min="11547" max="11547" width="45.7109375" style="108" customWidth="1"/>
    <col min="11548" max="11793" width="9.42578125" style="108"/>
    <col min="11794" max="11794" width="21.7109375" style="108" customWidth="1"/>
    <col min="11795" max="11795" width="10.28515625" style="108" customWidth="1"/>
    <col min="11796" max="11796" width="14.140625" style="108" customWidth="1"/>
    <col min="11797" max="11797" width="10.28515625" style="108" customWidth="1"/>
    <col min="11798" max="11798" width="14.140625" style="108" customWidth="1"/>
    <col min="11799" max="11799" width="10.28515625" style="108" customWidth="1"/>
    <col min="11800" max="11801" width="14.140625" style="108" customWidth="1"/>
    <col min="11802" max="11802" width="46.28515625" style="108" customWidth="1"/>
    <col min="11803" max="11803" width="45.7109375" style="108" customWidth="1"/>
    <col min="11804" max="12049" width="9.42578125" style="108"/>
    <col min="12050" max="12050" width="21.7109375" style="108" customWidth="1"/>
    <col min="12051" max="12051" width="10.28515625" style="108" customWidth="1"/>
    <col min="12052" max="12052" width="14.140625" style="108" customWidth="1"/>
    <col min="12053" max="12053" width="10.28515625" style="108" customWidth="1"/>
    <col min="12054" max="12054" width="14.140625" style="108" customWidth="1"/>
    <col min="12055" max="12055" width="10.28515625" style="108" customWidth="1"/>
    <col min="12056" max="12057" width="14.140625" style="108" customWidth="1"/>
    <col min="12058" max="12058" width="46.28515625" style="108" customWidth="1"/>
    <col min="12059" max="12059" width="45.7109375" style="108" customWidth="1"/>
    <col min="12060" max="12305" width="9.42578125" style="108"/>
    <col min="12306" max="12306" width="21.7109375" style="108" customWidth="1"/>
    <col min="12307" max="12307" width="10.28515625" style="108" customWidth="1"/>
    <col min="12308" max="12308" width="14.140625" style="108" customWidth="1"/>
    <col min="12309" max="12309" width="10.28515625" style="108" customWidth="1"/>
    <col min="12310" max="12310" width="14.140625" style="108" customWidth="1"/>
    <col min="12311" max="12311" width="10.28515625" style="108" customWidth="1"/>
    <col min="12312" max="12313" width="14.140625" style="108" customWidth="1"/>
    <col min="12314" max="12314" width="46.28515625" style="108" customWidth="1"/>
    <col min="12315" max="12315" width="45.7109375" style="108" customWidth="1"/>
    <col min="12316" max="12561" width="9.42578125" style="108"/>
    <col min="12562" max="12562" width="21.7109375" style="108" customWidth="1"/>
    <col min="12563" max="12563" width="10.28515625" style="108" customWidth="1"/>
    <col min="12564" max="12564" width="14.140625" style="108" customWidth="1"/>
    <col min="12565" max="12565" width="10.28515625" style="108" customWidth="1"/>
    <col min="12566" max="12566" width="14.140625" style="108" customWidth="1"/>
    <col min="12567" max="12567" width="10.28515625" style="108" customWidth="1"/>
    <col min="12568" max="12569" width="14.140625" style="108" customWidth="1"/>
    <col min="12570" max="12570" width="46.28515625" style="108" customWidth="1"/>
    <col min="12571" max="12571" width="45.7109375" style="108" customWidth="1"/>
    <col min="12572" max="12817" width="9.42578125" style="108"/>
    <col min="12818" max="12818" width="21.7109375" style="108" customWidth="1"/>
    <col min="12819" max="12819" width="10.28515625" style="108" customWidth="1"/>
    <col min="12820" max="12820" width="14.140625" style="108" customWidth="1"/>
    <col min="12821" max="12821" width="10.28515625" style="108" customWidth="1"/>
    <col min="12822" max="12822" width="14.140625" style="108" customWidth="1"/>
    <col min="12823" max="12823" width="10.28515625" style="108" customWidth="1"/>
    <col min="12824" max="12825" width="14.140625" style="108" customWidth="1"/>
    <col min="12826" max="12826" width="46.28515625" style="108" customWidth="1"/>
    <col min="12827" max="12827" width="45.7109375" style="108" customWidth="1"/>
    <col min="12828" max="13073" width="9.42578125" style="108"/>
    <col min="13074" max="13074" width="21.7109375" style="108" customWidth="1"/>
    <col min="13075" max="13075" width="10.28515625" style="108" customWidth="1"/>
    <col min="13076" max="13076" width="14.140625" style="108" customWidth="1"/>
    <col min="13077" max="13077" width="10.28515625" style="108" customWidth="1"/>
    <col min="13078" max="13078" width="14.140625" style="108" customWidth="1"/>
    <col min="13079" max="13079" width="10.28515625" style="108" customWidth="1"/>
    <col min="13080" max="13081" width="14.140625" style="108" customWidth="1"/>
    <col min="13082" max="13082" width="46.28515625" style="108" customWidth="1"/>
    <col min="13083" max="13083" width="45.7109375" style="108" customWidth="1"/>
    <col min="13084" max="13329" width="9.42578125" style="108"/>
    <col min="13330" max="13330" width="21.7109375" style="108" customWidth="1"/>
    <col min="13331" max="13331" width="10.28515625" style="108" customWidth="1"/>
    <col min="13332" max="13332" width="14.140625" style="108" customWidth="1"/>
    <col min="13333" max="13333" width="10.28515625" style="108" customWidth="1"/>
    <col min="13334" max="13334" width="14.140625" style="108" customWidth="1"/>
    <col min="13335" max="13335" width="10.28515625" style="108" customWidth="1"/>
    <col min="13336" max="13337" width="14.140625" style="108" customWidth="1"/>
    <col min="13338" max="13338" width="46.28515625" style="108" customWidth="1"/>
    <col min="13339" max="13339" width="45.7109375" style="108" customWidth="1"/>
    <col min="13340" max="13585" width="9.42578125" style="108"/>
    <col min="13586" max="13586" width="21.7109375" style="108" customWidth="1"/>
    <col min="13587" max="13587" width="10.28515625" style="108" customWidth="1"/>
    <col min="13588" max="13588" width="14.140625" style="108" customWidth="1"/>
    <col min="13589" max="13589" width="10.28515625" style="108" customWidth="1"/>
    <col min="13590" max="13590" width="14.140625" style="108" customWidth="1"/>
    <col min="13591" max="13591" width="10.28515625" style="108" customWidth="1"/>
    <col min="13592" max="13593" width="14.140625" style="108" customWidth="1"/>
    <col min="13594" max="13594" width="46.28515625" style="108" customWidth="1"/>
    <col min="13595" max="13595" width="45.7109375" style="108" customWidth="1"/>
    <col min="13596" max="13841" width="9.42578125" style="108"/>
    <col min="13842" max="13842" width="21.7109375" style="108" customWidth="1"/>
    <col min="13843" max="13843" width="10.28515625" style="108" customWidth="1"/>
    <col min="13844" max="13844" width="14.140625" style="108" customWidth="1"/>
    <col min="13845" max="13845" width="10.28515625" style="108" customWidth="1"/>
    <col min="13846" max="13846" width="14.140625" style="108" customWidth="1"/>
    <col min="13847" max="13847" width="10.28515625" style="108" customWidth="1"/>
    <col min="13848" max="13849" width="14.140625" style="108" customWidth="1"/>
    <col min="13850" max="13850" width="46.28515625" style="108" customWidth="1"/>
    <col min="13851" max="13851" width="45.7109375" style="108" customWidth="1"/>
    <col min="13852" max="14097" width="9.42578125" style="108"/>
    <col min="14098" max="14098" width="21.7109375" style="108" customWidth="1"/>
    <col min="14099" max="14099" width="10.28515625" style="108" customWidth="1"/>
    <col min="14100" max="14100" width="14.140625" style="108" customWidth="1"/>
    <col min="14101" max="14101" width="10.28515625" style="108" customWidth="1"/>
    <col min="14102" max="14102" width="14.140625" style="108" customWidth="1"/>
    <col min="14103" max="14103" width="10.28515625" style="108" customWidth="1"/>
    <col min="14104" max="14105" width="14.140625" style="108" customWidth="1"/>
    <col min="14106" max="14106" width="46.28515625" style="108" customWidth="1"/>
    <col min="14107" max="14107" width="45.7109375" style="108" customWidth="1"/>
    <col min="14108" max="14353" width="9.42578125" style="108"/>
    <col min="14354" max="14354" width="21.7109375" style="108" customWidth="1"/>
    <col min="14355" max="14355" width="10.28515625" style="108" customWidth="1"/>
    <col min="14356" max="14356" width="14.140625" style="108" customWidth="1"/>
    <col min="14357" max="14357" width="10.28515625" style="108" customWidth="1"/>
    <col min="14358" max="14358" width="14.140625" style="108" customWidth="1"/>
    <col min="14359" max="14359" width="10.28515625" style="108" customWidth="1"/>
    <col min="14360" max="14361" width="14.140625" style="108" customWidth="1"/>
    <col min="14362" max="14362" width="46.28515625" style="108" customWidth="1"/>
    <col min="14363" max="14363" width="45.7109375" style="108" customWidth="1"/>
    <col min="14364" max="14609" width="9.42578125" style="108"/>
    <col min="14610" max="14610" width="21.7109375" style="108" customWidth="1"/>
    <col min="14611" max="14611" width="10.28515625" style="108" customWidth="1"/>
    <col min="14612" max="14612" width="14.140625" style="108" customWidth="1"/>
    <col min="14613" max="14613" width="10.28515625" style="108" customWidth="1"/>
    <col min="14614" max="14614" width="14.140625" style="108" customWidth="1"/>
    <col min="14615" max="14615" width="10.28515625" style="108" customWidth="1"/>
    <col min="14616" max="14617" width="14.140625" style="108" customWidth="1"/>
    <col min="14618" max="14618" width="46.28515625" style="108" customWidth="1"/>
    <col min="14619" max="14619" width="45.7109375" style="108" customWidth="1"/>
    <col min="14620" max="14865" width="9.42578125" style="108"/>
    <col min="14866" max="14866" width="21.7109375" style="108" customWidth="1"/>
    <col min="14867" max="14867" width="10.28515625" style="108" customWidth="1"/>
    <col min="14868" max="14868" width="14.140625" style="108" customWidth="1"/>
    <col min="14869" max="14869" width="10.28515625" style="108" customWidth="1"/>
    <col min="14870" max="14870" width="14.140625" style="108" customWidth="1"/>
    <col min="14871" max="14871" width="10.28515625" style="108" customWidth="1"/>
    <col min="14872" max="14873" width="14.140625" style="108" customWidth="1"/>
    <col min="14874" max="14874" width="46.28515625" style="108" customWidth="1"/>
    <col min="14875" max="14875" width="45.7109375" style="108" customWidth="1"/>
    <col min="14876" max="15121" width="9.42578125" style="108"/>
    <col min="15122" max="15122" width="21.7109375" style="108" customWidth="1"/>
    <col min="15123" max="15123" width="10.28515625" style="108" customWidth="1"/>
    <col min="15124" max="15124" width="14.140625" style="108" customWidth="1"/>
    <col min="15125" max="15125" width="10.28515625" style="108" customWidth="1"/>
    <col min="15126" max="15126" width="14.140625" style="108" customWidth="1"/>
    <col min="15127" max="15127" width="10.28515625" style="108" customWidth="1"/>
    <col min="15128" max="15129" width="14.140625" style="108" customWidth="1"/>
    <col min="15130" max="15130" width="46.28515625" style="108" customWidth="1"/>
    <col min="15131" max="15131" width="45.7109375" style="108" customWidth="1"/>
    <col min="15132" max="15377" width="9.42578125" style="108"/>
    <col min="15378" max="15378" width="21.7109375" style="108" customWidth="1"/>
    <col min="15379" max="15379" width="10.28515625" style="108" customWidth="1"/>
    <col min="15380" max="15380" width="14.140625" style="108" customWidth="1"/>
    <col min="15381" max="15381" width="10.28515625" style="108" customWidth="1"/>
    <col min="15382" max="15382" width="14.140625" style="108" customWidth="1"/>
    <col min="15383" max="15383" width="10.28515625" style="108" customWidth="1"/>
    <col min="15384" max="15385" width="14.140625" style="108" customWidth="1"/>
    <col min="15386" max="15386" width="46.28515625" style="108" customWidth="1"/>
    <col min="15387" max="15387" width="45.7109375" style="108" customWidth="1"/>
    <col min="15388" max="15633" width="9.42578125" style="108"/>
    <col min="15634" max="15634" width="21.7109375" style="108" customWidth="1"/>
    <col min="15635" max="15635" width="10.28515625" style="108" customWidth="1"/>
    <col min="15636" max="15636" width="14.140625" style="108" customWidth="1"/>
    <col min="15637" max="15637" width="10.28515625" style="108" customWidth="1"/>
    <col min="15638" max="15638" width="14.140625" style="108" customWidth="1"/>
    <col min="15639" max="15639" width="10.28515625" style="108" customWidth="1"/>
    <col min="15640" max="15641" width="14.140625" style="108" customWidth="1"/>
    <col min="15642" max="15642" width="46.28515625" style="108" customWidth="1"/>
    <col min="15643" max="15643" width="45.7109375" style="108" customWidth="1"/>
    <col min="15644" max="15889" width="9.42578125" style="108"/>
    <col min="15890" max="15890" width="21.7109375" style="108" customWidth="1"/>
    <col min="15891" max="15891" width="10.28515625" style="108" customWidth="1"/>
    <col min="15892" max="15892" width="14.140625" style="108" customWidth="1"/>
    <col min="15893" max="15893" width="10.28515625" style="108" customWidth="1"/>
    <col min="15894" max="15894" width="14.140625" style="108" customWidth="1"/>
    <col min="15895" max="15895" width="10.28515625" style="108" customWidth="1"/>
    <col min="15896" max="15897" width="14.140625" style="108" customWidth="1"/>
    <col min="15898" max="15898" width="46.28515625" style="108" customWidth="1"/>
    <col min="15899" max="15899" width="45.7109375" style="108" customWidth="1"/>
    <col min="15900" max="16145" width="9.42578125" style="108"/>
    <col min="16146" max="16146" width="21.7109375" style="108" customWidth="1"/>
    <col min="16147" max="16147" width="10.28515625" style="108" customWidth="1"/>
    <col min="16148" max="16148" width="14.140625" style="108" customWidth="1"/>
    <col min="16149" max="16149" width="10.28515625" style="108" customWidth="1"/>
    <col min="16150" max="16150" width="14.140625" style="108" customWidth="1"/>
    <col min="16151" max="16151" width="10.28515625" style="108" customWidth="1"/>
    <col min="16152" max="16153" width="14.140625" style="108" customWidth="1"/>
    <col min="16154" max="16154" width="46.28515625" style="108" customWidth="1"/>
    <col min="16155" max="16155" width="45.7109375" style="108" customWidth="1"/>
    <col min="16156" max="16384" width="9.42578125" style="108"/>
  </cols>
  <sheetData>
    <row r="1" spans="1:27" x14ac:dyDescent="0.25">
      <c r="A1" s="226" t="s">
        <v>159</v>
      </c>
      <c r="B1" s="226"/>
      <c r="C1" s="226"/>
      <c r="D1" s="226"/>
      <c r="E1" s="226"/>
      <c r="F1" s="226"/>
      <c r="G1" s="226"/>
      <c r="H1" s="226"/>
      <c r="I1" s="226"/>
      <c r="J1" s="226"/>
      <c r="K1" s="226"/>
      <c r="L1" s="226"/>
      <c r="M1" s="226"/>
      <c r="N1" s="226"/>
      <c r="O1" s="226"/>
      <c r="P1" s="226"/>
      <c r="Q1" s="226"/>
      <c r="R1" s="226"/>
      <c r="S1" s="226"/>
      <c r="T1" s="226"/>
      <c r="U1" s="226"/>
      <c r="V1" s="226"/>
      <c r="W1" s="226"/>
      <c r="X1" s="226"/>
      <c r="Y1" s="226"/>
      <c r="Z1" s="226"/>
    </row>
    <row r="2" spans="1:27" ht="16.5" x14ac:dyDescent="0.25">
      <c r="A2" s="219" t="s">
        <v>160</v>
      </c>
      <c r="B2" s="219"/>
      <c r="C2" s="219"/>
      <c r="D2" s="219"/>
      <c r="E2" s="219"/>
      <c r="F2" s="219"/>
      <c r="G2" s="219"/>
      <c r="H2" s="219"/>
      <c r="I2" s="219"/>
      <c r="J2" s="219"/>
      <c r="K2" s="219"/>
      <c r="L2" s="219"/>
      <c r="M2" s="219"/>
      <c r="N2" s="219"/>
      <c r="O2" s="219"/>
      <c r="P2" s="219"/>
      <c r="Q2" s="219"/>
      <c r="R2" s="219"/>
      <c r="S2" s="219"/>
      <c r="T2" s="219"/>
      <c r="U2" s="219"/>
      <c r="V2" s="219"/>
      <c r="W2" s="219"/>
      <c r="X2" s="219"/>
      <c r="Y2" s="219"/>
      <c r="Z2" s="219"/>
    </row>
    <row r="3" spans="1:27" x14ac:dyDescent="0.25">
      <c r="A3" s="7" t="s">
        <v>9</v>
      </c>
      <c r="B3" s="7"/>
      <c r="C3" s="240" t="s">
        <v>36</v>
      </c>
      <c r="D3" s="240"/>
      <c r="E3" s="240" t="s">
        <v>36</v>
      </c>
      <c r="F3" s="240"/>
      <c r="G3" s="240" t="s">
        <v>36</v>
      </c>
      <c r="H3" s="240"/>
      <c r="I3" s="240" t="s">
        <v>36</v>
      </c>
      <c r="J3" s="240"/>
      <c r="K3" s="240" t="s">
        <v>36</v>
      </c>
      <c r="L3" s="240"/>
      <c r="M3" s="240" t="s">
        <v>36</v>
      </c>
      <c r="N3" s="240"/>
      <c r="O3" s="241" t="s">
        <v>36</v>
      </c>
      <c r="P3" s="241"/>
      <c r="Q3" s="241" t="s">
        <v>36</v>
      </c>
      <c r="R3" s="241"/>
      <c r="S3" s="241" t="s">
        <v>36</v>
      </c>
      <c r="T3" s="241"/>
      <c r="U3" s="241" t="s">
        <v>36</v>
      </c>
      <c r="V3" s="241"/>
      <c r="W3" s="241" t="s">
        <v>36</v>
      </c>
      <c r="X3" s="241"/>
      <c r="Y3" s="110" t="s">
        <v>36</v>
      </c>
      <c r="Z3" s="242" t="s">
        <v>10</v>
      </c>
    </row>
    <row r="4" spans="1:27" ht="25.5" x14ac:dyDescent="0.25">
      <c r="A4" s="7" t="s">
        <v>11</v>
      </c>
      <c r="B4" s="7"/>
      <c r="C4" s="240" t="s">
        <v>13</v>
      </c>
      <c r="D4" s="240"/>
      <c r="E4" s="240" t="s">
        <v>14</v>
      </c>
      <c r="F4" s="240"/>
      <c r="G4" s="240" t="s">
        <v>15</v>
      </c>
      <c r="H4" s="240"/>
      <c r="I4" s="240" t="s">
        <v>16</v>
      </c>
      <c r="J4" s="240"/>
      <c r="K4" s="240" t="s">
        <v>17</v>
      </c>
      <c r="L4" s="240"/>
      <c r="M4" s="240" t="s">
        <v>18</v>
      </c>
      <c r="N4" s="240"/>
      <c r="O4" s="241" t="s">
        <v>19</v>
      </c>
      <c r="P4" s="241"/>
      <c r="Q4" s="241" t="s">
        <v>20</v>
      </c>
      <c r="R4" s="241"/>
      <c r="S4" s="241" t="s">
        <v>21</v>
      </c>
      <c r="T4" s="241"/>
      <c r="U4" s="241" t="s">
        <v>22</v>
      </c>
      <c r="V4" s="241"/>
      <c r="W4" s="241" t="s">
        <v>23</v>
      </c>
      <c r="X4" s="241"/>
      <c r="Y4" s="110" t="s">
        <v>161</v>
      </c>
      <c r="Z4" s="242"/>
    </row>
    <row r="5" spans="1:27" s="113" customFormat="1" ht="11.25" x14ac:dyDescent="0.25">
      <c r="A5" s="111"/>
      <c r="B5" s="111"/>
      <c r="C5" s="36"/>
      <c r="D5" s="36" t="s">
        <v>25</v>
      </c>
      <c r="E5" s="36"/>
      <c r="F5" s="36" t="s">
        <v>25</v>
      </c>
      <c r="G5" s="36"/>
      <c r="H5" s="36" t="s">
        <v>25</v>
      </c>
      <c r="I5" s="36"/>
      <c r="J5" s="36" t="s">
        <v>25</v>
      </c>
      <c r="K5" s="36"/>
      <c r="L5" s="36" t="s">
        <v>25</v>
      </c>
      <c r="M5" s="36"/>
      <c r="N5" s="36" t="s">
        <v>25</v>
      </c>
      <c r="O5" s="134"/>
      <c r="P5" s="134" t="s">
        <v>25</v>
      </c>
      <c r="Q5" s="134"/>
      <c r="R5" s="134" t="s">
        <v>25</v>
      </c>
      <c r="S5" s="134"/>
      <c r="T5" s="134" t="s">
        <v>25</v>
      </c>
      <c r="U5" s="134"/>
      <c r="V5" s="134" t="s">
        <v>25</v>
      </c>
      <c r="W5" s="134"/>
      <c r="X5" s="134" t="s">
        <v>25</v>
      </c>
      <c r="Y5" s="134" t="s">
        <v>25</v>
      </c>
      <c r="Z5" s="242"/>
    </row>
    <row r="6" spans="1:27" ht="25.5" x14ac:dyDescent="0.25">
      <c r="A6" s="114" t="s">
        <v>26</v>
      </c>
      <c r="B6" s="114" t="s">
        <v>162</v>
      </c>
      <c r="C6" s="9" t="s">
        <v>41</v>
      </c>
      <c r="D6" s="9" t="s">
        <v>28</v>
      </c>
      <c r="E6" s="9" t="s">
        <v>41</v>
      </c>
      <c r="F6" s="9" t="s">
        <v>28</v>
      </c>
      <c r="G6" s="9" t="s">
        <v>41</v>
      </c>
      <c r="H6" s="9" t="s">
        <v>28</v>
      </c>
      <c r="I6" s="9" t="s">
        <v>41</v>
      </c>
      <c r="J6" s="9" t="s">
        <v>28</v>
      </c>
      <c r="K6" s="9" t="s">
        <v>41</v>
      </c>
      <c r="L6" s="9" t="s">
        <v>28</v>
      </c>
      <c r="M6" s="9" t="s">
        <v>41</v>
      </c>
      <c r="N6" s="9" t="s">
        <v>28</v>
      </c>
      <c r="O6" s="110" t="s">
        <v>163</v>
      </c>
      <c r="P6" s="110" t="s">
        <v>164</v>
      </c>
      <c r="Q6" s="110" t="s">
        <v>163</v>
      </c>
      <c r="R6" s="110" t="s">
        <v>164</v>
      </c>
      <c r="S6" s="110" t="s">
        <v>163</v>
      </c>
      <c r="T6" s="110" t="s">
        <v>164</v>
      </c>
      <c r="U6" s="110" t="s">
        <v>163</v>
      </c>
      <c r="V6" s="110" t="s">
        <v>164</v>
      </c>
      <c r="W6" s="110" t="s">
        <v>163</v>
      </c>
      <c r="X6" s="110" t="s">
        <v>164</v>
      </c>
      <c r="Y6" s="110" t="s">
        <v>164</v>
      </c>
      <c r="Z6" s="242"/>
    </row>
    <row r="7" spans="1:27" s="117" customFormat="1" x14ac:dyDescent="0.25">
      <c r="A7" s="115">
        <v>1</v>
      </c>
      <c r="B7" s="115">
        <v>2</v>
      </c>
      <c r="C7" s="17">
        <v>3</v>
      </c>
      <c r="D7" s="17">
        <v>4</v>
      </c>
      <c r="E7" s="17">
        <v>5</v>
      </c>
      <c r="F7" s="17">
        <v>6</v>
      </c>
      <c r="G7" s="17">
        <v>7</v>
      </c>
      <c r="H7" s="17">
        <v>8</v>
      </c>
      <c r="I7" s="17">
        <v>9</v>
      </c>
      <c r="J7" s="17">
        <v>10</v>
      </c>
      <c r="K7" s="17">
        <v>11</v>
      </c>
      <c r="L7" s="17">
        <v>12</v>
      </c>
      <c r="M7" s="17">
        <v>13</v>
      </c>
      <c r="N7" s="17">
        <v>14</v>
      </c>
      <c r="O7" s="135">
        <v>15</v>
      </c>
      <c r="P7" s="135">
        <v>16</v>
      </c>
      <c r="Q7" s="135">
        <v>17</v>
      </c>
      <c r="R7" s="135">
        <v>18</v>
      </c>
      <c r="S7" s="135">
        <v>19</v>
      </c>
      <c r="T7" s="135">
        <v>20</v>
      </c>
      <c r="U7" s="135">
        <v>21</v>
      </c>
      <c r="V7" s="135">
        <v>22</v>
      </c>
      <c r="W7" s="135">
        <v>23</v>
      </c>
      <c r="X7" s="135">
        <v>24</v>
      </c>
      <c r="Y7" s="135">
        <v>27</v>
      </c>
      <c r="Z7" s="115">
        <v>28</v>
      </c>
    </row>
    <row r="8" spans="1:27" s="117" customFormat="1" ht="25.5" x14ac:dyDescent="0.25">
      <c r="A8" s="118" t="s">
        <v>165</v>
      </c>
      <c r="B8" s="118" t="s">
        <v>165</v>
      </c>
      <c r="C8" s="136">
        <v>6</v>
      </c>
      <c r="D8" s="62">
        <v>12</v>
      </c>
      <c r="E8" s="137">
        <v>8</v>
      </c>
      <c r="F8" s="62">
        <v>16</v>
      </c>
      <c r="G8" s="137">
        <v>29</v>
      </c>
      <c r="H8" s="62">
        <v>58</v>
      </c>
      <c r="I8" s="137">
        <v>2</v>
      </c>
      <c r="J8" s="62">
        <v>4</v>
      </c>
      <c r="K8" s="137">
        <v>0</v>
      </c>
      <c r="L8" s="62">
        <v>0</v>
      </c>
      <c r="M8" s="138">
        <v>0</v>
      </c>
      <c r="N8" s="22">
        <v>0</v>
      </c>
      <c r="O8" s="139">
        <v>0</v>
      </c>
      <c r="P8" s="64">
        <v>0</v>
      </c>
      <c r="Q8" s="139">
        <v>0</v>
      </c>
      <c r="R8" s="64">
        <v>0</v>
      </c>
      <c r="S8" s="139">
        <v>0</v>
      </c>
      <c r="T8" s="64">
        <v>0</v>
      </c>
      <c r="U8" s="139">
        <v>0</v>
      </c>
      <c r="V8" s="64">
        <v>0</v>
      </c>
      <c r="W8" s="139">
        <v>0</v>
      </c>
      <c r="X8" s="64">
        <v>0</v>
      </c>
      <c r="Y8" s="64">
        <f>X8+V8+T8+R8+P8+N8+L8+J8+H8+F8+D8</f>
        <v>90</v>
      </c>
      <c r="Z8" s="245" t="s">
        <v>166</v>
      </c>
      <c r="AA8" s="140"/>
    </row>
    <row r="9" spans="1:27" s="117" customFormat="1" ht="63.75" x14ac:dyDescent="0.25">
      <c r="A9" s="118" t="s">
        <v>167</v>
      </c>
      <c r="B9" s="118" t="s">
        <v>168</v>
      </c>
      <c r="C9" s="136">
        <v>153</v>
      </c>
      <c r="D9" s="62">
        <v>306</v>
      </c>
      <c r="E9" s="137">
        <v>236</v>
      </c>
      <c r="F9" s="62">
        <v>472</v>
      </c>
      <c r="G9" s="137">
        <v>445</v>
      </c>
      <c r="H9" s="62">
        <v>890</v>
      </c>
      <c r="I9" s="137">
        <v>224</v>
      </c>
      <c r="J9" s="62">
        <v>448</v>
      </c>
      <c r="K9" s="137">
        <f>72+97</f>
        <v>169</v>
      </c>
      <c r="L9" s="62">
        <f>144+194</f>
        <v>338</v>
      </c>
      <c r="M9" s="138">
        <f>56+127</f>
        <v>183</v>
      </c>
      <c r="N9" s="22">
        <f>112+254</f>
        <v>366</v>
      </c>
      <c r="O9" s="139">
        <v>242</v>
      </c>
      <c r="P9" s="139">
        <f>O9*2</f>
        <v>484</v>
      </c>
      <c r="Q9" s="139">
        <v>242</v>
      </c>
      <c r="R9" s="139">
        <f>Q9*2</f>
        <v>484</v>
      </c>
      <c r="S9" s="139">
        <v>242</v>
      </c>
      <c r="T9" s="139">
        <f>S9*2</f>
        <v>484</v>
      </c>
      <c r="U9" s="139">
        <v>445</v>
      </c>
      <c r="V9" s="139">
        <f>U9*2</f>
        <v>890</v>
      </c>
      <c r="W9" s="139">
        <v>445</v>
      </c>
      <c r="X9" s="139">
        <f>W9*2</f>
        <v>890</v>
      </c>
      <c r="Y9" s="64">
        <f>X9+V9+T9+R9+P9+N9+L9+J9+H9+F9+D9</f>
        <v>6052</v>
      </c>
      <c r="Z9" s="246"/>
    </row>
    <row r="10" spans="1:27" s="117" customFormat="1" ht="25.5" x14ac:dyDescent="0.25">
      <c r="A10" s="118" t="s">
        <v>169</v>
      </c>
      <c r="B10" s="118" t="s">
        <v>170</v>
      </c>
      <c r="C10" s="136">
        <v>104</v>
      </c>
      <c r="D10" s="62">
        <v>208</v>
      </c>
      <c r="E10" s="137">
        <v>86</v>
      </c>
      <c r="F10" s="62">
        <v>172</v>
      </c>
      <c r="G10" s="137">
        <v>138</v>
      </c>
      <c r="H10" s="62">
        <v>276</v>
      </c>
      <c r="I10" s="137">
        <v>65</v>
      </c>
      <c r="J10" s="62">
        <v>130</v>
      </c>
      <c r="K10" s="137">
        <v>34</v>
      </c>
      <c r="L10" s="62">
        <v>68</v>
      </c>
      <c r="M10" s="138">
        <v>65</v>
      </c>
      <c r="N10" s="22">
        <v>130</v>
      </c>
      <c r="O10" s="139">
        <v>88</v>
      </c>
      <c r="P10" s="139">
        <f t="shared" ref="P10:P16" si="0">O10*2</f>
        <v>176</v>
      </c>
      <c r="Q10" s="139">
        <v>88</v>
      </c>
      <c r="R10" s="139">
        <f t="shared" ref="R10:R16" si="1">Q10*2</f>
        <v>176</v>
      </c>
      <c r="S10" s="139">
        <v>88</v>
      </c>
      <c r="T10" s="139">
        <f t="shared" ref="T10:T16" si="2">S10*2</f>
        <v>176</v>
      </c>
      <c r="U10" s="139">
        <v>138</v>
      </c>
      <c r="V10" s="139">
        <f t="shared" ref="V10:V16" si="3">U10*2</f>
        <v>276</v>
      </c>
      <c r="W10" s="139">
        <v>138</v>
      </c>
      <c r="X10" s="139">
        <f t="shared" ref="X10:X16" si="4">W10*2</f>
        <v>276</v>
      </c>
      <c r="Y10" s="64">
        <f>X10+V10+T10+R10+P10+N10+L10+J10+H10+F10+D10</f>
        <v>2064</v>
      </c>
      <c r="Z10" s="246"/>
    </row>
    <row r="11" spans="1:27" s="117" customFormat="1" ht="51" x14ac:dyDescent="0.25">
      <c r="A11" s="118" t="s">
        <v>171</v>
      </c>
      <c r="B11" s="118" t="s">
        <v>172</v>
      </c>
      <c r="C11" s="136">
        <v>59</v>
      </c>
      <c r="D11" s="62">
        <v>118</v>
      </c>
      <c r="E11" s="137">
        <v>100</v>
      </c>
      <c r="F11" s="62">
        <v>200</v>
      </c>
      <c r="G11" s="137">
        <v>206</v>
      </c>
      <c r="H11" s="62">
        <v>406</v>
      </c>
      <c r="I11" s="137">
        <v>250</v>
      </c>
      <c r="J11" s="62">
        <v>500</v>
      </c>
      <c r="K11" s="137">
        <v>106</v>
      </c>
      <c r="L11" s="62">
        <v>212</v>
      </c>
      <c r="M11" s="138">
        <v>57</v>
      </c>
      <c r="N11" s="22">
        <v>114</v>
      </c>
      <c r="O11" s="139">
        <v>137</v>
      </c>
      <c r="P11" s="139">
        <f t="shared" si="0"/>
        <v>274</v>
      </c>
      <c r="Q11" s="139">
        <v>137</v>
      </c>
      <c r="R11" s="139">
        <f t="shared" si="1"/>
        <v>274</v>
      </c>
      <c r="S11" s="139">
        <v>137</v>
      </c>
      <c r="T11" s="139">
        <f t="shared" si="2"/>
        <v>274</v>
      </c>
      <c r="U11" s="139">
        <v>250</v>
      </c>
      <c r="V11" s="139">
        <f t="shared" si="3"/>
        <v>500</v>
      </c>
      <c r="W11" s="139">
        <v>250</v>
      </c>
      <c r="X11" s="139">
        <f t="shared" si="4"/>
        <v>500</v>
      </c>
      <c r="Y11" s="64">
        <f>X11+V11+T11+R11+P11+N11+L11+J11+H11+F11+D11</f>
        <v>3372</v>
      </c>
      <c r="Z11" s="246"/>
    </row>
    <row r="12" spans="1:27" s="117" customFormat="1" ht="25.5" x14ac:dyDescent="0.25">
      <c r="A12" s="118" t="s">
        <v>173</v>
      </c>
      <c r="B12" s="118" t="s">
        <v>174</v>
      </c>
      <c r="C12" s="136">
        <v>0</v>
      </c>
      <c r="D12" s="62">
        <v>0</v>
      </c>
      <c r="E12" s="137">
        <v>0</v>
      </c>
      <c r="F12" s="62">
        <v>0</v>
      </c>
      <c r="G12" s="137">
        <v>0</v>
      </c>
      <c r="H12" s="62">
        <v>0</v>
      </c>
      <c r="I12" s="137">
        <v>0</v>
      </c>
      <c r="J12" s="62">
        <v>0</v>
      </c>
      <c r="K12" s="137">
        <v>2</v>
      </c>
      <c r="L12" s="62">
        <v>4</v>
      </c>
      <c r="M12" s="138">
        <v>0</v>
      </c>
      <c r="N12" s="22">
        <v>0</v>
      </c>
      <c r="O12" s="139">
        <v>2</v>
      </c>
      <c r="P12" s="139">
        <f t="shared" si="0"/>
        <v>4</v>
      </c>
      <c r="Q12" s="139">
        <v>2</v>
      </c>
      <c r="R12" s="139">
        <f t="shared" si="1"/>
        <v>4</v>
      </c>
      <c r="S12" s="139">
        <v>2</v>
      </c>
      <c r="T12" s="139">
        <f t="shared" si="2"/>
        <v>4</v>
      </c>
      <c r="U12" s="139">
        <v>10</v>
      </c>
      <c r="V12" s="139">
        <f t="shared" si="3"/>
        <v>20</v>
      </c>
      <c r="W12" s="139">
        <v>10</v>
      </c>
      <c r="X12" s="139">
        <f t="shared" si="4"/>
        <v>20</v>
      </c>
      <c r="Y12" s="64">
        <f>X12+V12+T12+R12+P12+N12+L12+J12+H12+F12+D12</f>
        <v>56</v>
      </c>
      <c r="Z12" s="246"/>
    </row>
    <row r="13" spans="1:27" s="117" customFormat="1" x14ac:dyDescent="0.25">
      <c r="A13" s="248" t="s">
        <v>175</v>
      </c>
      <c r="B13" s="118" t="s">
        <v>78</v>
      </c>
      <c r="C13" s="243">
        <v>14</v>
      </c>
      <c r="D13" s="251">
        <v>28</v>
      </c>
      <c r="E13" s="243">
        <v>13</v>
      </c>
      <c r="F13" s="243">
        <v>26</v>
      </c>
      <c r="G13" s="243">
        <v>11</v>
      </c>
      <c r="H13" s="243">
        <v>22</v>
      </c>
      <c r="I13" s="243">
        <v>14</v>
      </c>
      <c r="J13" s="243">
        <v>28</v>
      </c>
      <c r="K13" s="137">
        <v>0</v>
      </c>
      <c r="L13" s="62">
        <v>0</v>
      </c>
      <c r="M13" s="138">
        <v>0</v>
      </c>
      <c r="N13" s="141">
        <v>0</v>
      </c>
      <c r="O13" s="139">
        <v>12</v>
      </c>
      <c r="P13" s="139">
        <f t="shared" si="0"/>
        <v>24</v>
      </c>
      <c r="Q13" s="139">
        <v>12</v>
      </c>
      <c r="R13" s="139">
        <f t="shared" si="1"/>
        <v>24</v>
      </c>
      <c r="S13" s="139">
        <v>12</v>
      </c>
      <c r="T13" s="139">
        <f t="shared" si="2"/>
        <v>24</v>
      </c>
      <c r="U13" s="139">
        <v>14</v>
      </c>
      <c r="V13" s="139">
        <f t="shared" si="3"/>
        <v>28</v>
      </c>
      <c r="W13" s="139">
        <v>14</v>
      </c>
      <c r="X13" s="139">
        <f t="shared" si="4"/>
        <v>28</v>
      </c>
      <c r="Y13" s="244">
        <f>D13+F13+H13+J13+N15+P13+P14+P15+R13+R14+R15+T13+T14+T15+V13+V14+V15+X13+X14+X15</f>
        <v>490</v>
      </c>
      <c r="Z13" s="246"/>
    </row>
    <row r="14" spans="1:27" s="117" customFormat="1" x14ac:dyDescent="0.25">
      <c r="A14" s="249"/>
      <c r="B14" s="118" t="s">
        <v>176</v>
      </c>
      <c r="C14" s="238"/>
      <c r="D14" s="252"/>
      <c r="E14" s="238"/>
      <c r="F14" s="238"/>
      <c r="G14" s="238"/>
      <c r="H14" s="238"/>
      <c r="I14" s="238"/>
      <c r="J14" s="238"/>
      <c r="K14" s="137">
        <v>0</v>
      </c>
      <c r="L14" s="62">
        <v>0</v>
      </c>
      <c r="M14" s="138">
        <v>0</v>
      </c>
      <c r="N14" s="141">
        <v>0</v>
      </c>
      <c r="O14" s="139">
        <v>12</v>
      </c>
      <c r="P14" s="139">
        <f t="shared" si="0"/>
        <v>24</v>
      </c>
      <c r="Q14" s="139">
        <v>12</v>
      </c>
      <c r="R14" s="139">
        <f t="shared" si="1"/>
        <v>24</v>
      </c>
      <c r="S14" s="139">
        <v>12</v>
      </c>
      <c r="T14" s="139">
        <f t="shared" si="2"/>
        <v>24</v>
      </c>
      <c r="U14" s="139">
        <v>14</v>
      </c>
      <c r="V14" s="139">
        <f t="shared" si="3"/>
        <v>28</v>
      </c>
      <c r="W14" s="139">
        <v>14</v>
      </c>
      <c r="X14" s="139">
        <f t="shared" si="4"/>
        <v>28</v>
      </c>
      <c r="Y14" s="238"/>
      <c r="Z14" s="246"/>
    </row>
    <row r="15" spans="1:27" s="117" customFormat="1" x14ac:dyDescent="0.25">
      <c r="A15" s="250"/>
      <c r="B15" s="118" t="s">
        <v>177</v>
      </c>
      <c r="C15" s="239"/>
      <c r="D15" s="253"/>
      <c r="E15" s="239"/>
      <c r="F15" s="239"/>
      <c r="G15" s="239"/>
      <c r="H15" s="239"/>
      <c r="I15" s="239"/>
      <c r="J15" s="239"/>
      <c r="K15" s="137">
        <v>0</v>
      </c>
      <c r="L15" s="62">
        <v>0</v>
      </c>
      <c r="M15" s="142">
        <v>1</v>
      </c>
      <c r="N15" s="22">
        <v>2</v>
      </c>
      <c r="O15" s="139">
        <v>12</v>
      </c>
      <c r="P15" s="139">
        <f t="shared" si="0"/>
        <v>24</v>
      </c>
      <c r="Q15" s="139">
        <v>12</v>
      </c>
      <c r="R15" s="139">
        <f t="shared" si="1"/>
        <v>24</v>
      </c>
      <c r="S15" s="139">
        <v>12</v>
      </c>
      <c r="T15" s="139">
        <f t="shared" si="2"/>
        <v>24</v>
      </c>
      <c r="U15" s="139">
        <v>14</v>
      </c>
      <c r="V15" s="139">
        <f t="shared" si="3"/>
        <v>28</v>
      </c>
      <c r="W15" s="139">
        <v>14</v>
      </c>
      <c r="X15" s="139">
        <f t="shared" si="4"/>
        <v>28</v>
      </c>
      <c r="Y15" s="239"/>
      <c r="Z15" s="246"/>
    </row>
    <row r="16" spans="1:27" s="117" customFormat="1" ht="25.5" x14ac:dyDescent="0.25">
      <c r="A16" s="118" t="s">
        <v>178</v>
      </c>
      <c r="B16" s="118" t="s">
        <v>179</v>
      </c>
      <c r="C16" s="136">
        <v>7</v>
      </c>
      <c r="D16" s="62">
        <v>14</v>
      </c>
      <c r="E16" s="137">
        <v>19</v>
      </c>
      <c r="F16" s="62">
        <v>38</v>
      </c>
      <c r="G16" s="137">
        <v>19</v>
      </c>
      <c r="H16" s="62">
        <v>38</v>
      </c>
      <c r="I16" s="137">
        <v>29</v>
      </c>
      <c r="J16" s="62">
        <v>58</v>
      </c>
      <c r="K16" s="137">
        <v>4</v>
      </c>
      <c r="L16" s="62">
        <v>8</v>
      </c>
      <c r="M16" s="138">
        <v>11</v>
      </c>
      <c r="N16" s="22">
        <v>22</v>
      </c>
      <c r="O16" s="139">
        <v>16</v>
      </c>
      <c r="P16" s="139">
        <f t="shared" si="0"/>
        <v>32</v>
      </c>
      <c r="Q16" s="139">
        <v>16</v>
      </c>
      <c r="R16" s="139">
        <f t="shared" si="1"/>
        <v>32</v>
      </c>
      <c r="S16" s="139">
        <v>16</v>
      </c>
      <c r="T16" s="139">
        <f t="shared" si="2"/>
        <v>32</v>
      </c>
      <c r="U16" s="139">
        <v>29</v>
      </c>
      <c r="V16" s="139">
        <f t="shared" si="3"/>
        <v>58</v>
      </c>
      <c r="W16" s="139">
        <v>29</v>
      </c>
      <c r="X16" s="139">
        <f t="shared" si="4"/>
        <v>58</v>
      </c>
      <c r="Y16" s="139">
        <f>X16+V16+T16+R16+P16+N16+L16+J16+H16+F16+D16</f>
        <v>390</v>
      </c>
      <c r="Z16" s="247"/>
    </row>
    <row r="17" spans="1:36" s="117" customFormat="1" x14ac:dyDescent="0.25">
      <c r="A17" s="121" t="s">
        <v>1</v>
      </c>
      <c r="B17" s="121"/>
      <c r="C17" s="143">
        <f t="shared" ref="C17:X17" si="5">SUM(C8:C16)</f>
        <v>343</v>
      </c>
      <c r="D17" s="21">
        <f t="shared" si="5"/>
        <v>686</v>
      </c>
      <c r="E17" s="144">
        <f t="shared" si="5"/>
        <v>462</v>
      </c>
      <c r="F17" s="123">
        <f t="shared" si="5"/>
        <v>924</v>
      </c>
      <c r="G17" s="144">
        <f t="shared" si="5"/>
        <v>848</v>
      </c>
      <c r="H17" s="21">
        <f t="shared" si="5"/>
        <v>1690</v>
      </c>
      <c r="I17" s="144">
        <f t="shared" si="5"/>
        <v>584</v>
      </c>
      <c r="J17" s="21">
        <f t="shared" si="5"/>
        <v>1168</v>
      </c>
      <c r="K17" s="144">
        <f t="shared" si="5"/>
        <v>315</v>
      </c>
      <c r="L17" s="21">
        <f t="shared" si="5"/>
        <v>630</v>
      </c>
      <c r="M17" s="144">
        <f t="shared" si="5"/>
        <v>317</v>
      </c>
      <c r="N17" s="21">
        <f t="shared" si="5"/>
        <v>634</v>
      </c>
      <c r="O17" s="145">
        <f t="shared" si="5"/>
        <v>521</v>
      </c>
      <c r="P17" s="146">
        <f t="shared" si="5"/>
        <v>1042</v>
      </c>
      <c r="Q17" s="145">
        <f t="shared" si="5"/>
        <v>521</v>
      </c>
      <c r="R17" s="146">
        <f t="shared" si="5"/>
        <v>1042</v>
      </c>
      <c r="S17" s="145">
        <f t="shared" si="5"/>
        <v>521</v>
      </c>
      <c r="T17" s="146">
        <f t="shared" si="5"/>
        <v>1042</v>
      </c>
      <c r="U17" s="145">
        <f t="shared" si="5"/>
        <v>914</v>
      </c>
      <c r="V17" s="146">
        <f t="shared" si="5"/>
        <v>1828</v>
      </c>
      <c r="W17" s="145">
        <f t="shared" si="5"/>
        <v>914</v>
      </c>
      <c r="X17" s="146">
        <f t="shared" si="5"/>
        <v>1828</v>
      </c>
      <c r="Y17" s="146">
        <f>SUM(Y8:Y16)</f>
        <v>12514</v>
      </c>
      <c r="Z17" s="128"/>
    </row>
    <row r="19" spans="1:36" x14ac:dyDescent="0.25">
      <c r="A19" s="147"/>
      <c r="B19" s="147"/>
      <c r="C19" s="148"/>
      <c r="D19" s="148"/>
      <c r="E19" s="148"/>
      <c r="F19" s="148"/>
      <c r="G19" s="148"/>
      <c r="H19" s="148"/>
      <c r="I19" s="148"/>
      <c r="J19" s="148"/>
      <c r="K19" s="148"/>
      <c r="L19" s="148"/>
      <c r="M19" s="148"/>
      <c r="N19" s="149"/>
      <c r="O19" s="149"/>
      <c r="P19" s="148"/>
      <c r="Q19" s="148"/>
      <c r="R19" s="148"/>
      <c r="S19" s="148"/>
      <c r="T19" s="148"/>
      <c r="U19" s="148"/>
      <c r="V19" s="148"/>
      <c r="W19" s="148"/>
      <c r="X19" s="148"/>
      <c r="Y19" s="149"/>
      <c r="Z19" s="148"/>
    </row>
    <row r="20" spans="1:36" x14ac:dyDescent="0.25">
      <c r="A20" s="148"/>
      <c r="B20" s="148"/>
      <c r="C20" s="148"/>
      <c r="D20" s="148"/>
      <c r="E20" s="148"/>
      <c r="F20" s="149"/>
      <c r="G20" s="149"/>
      <c r="H20" s="148"/>
      <c r="I20" s="148"/>
      <c r="J20" s="148"/>
      <c r="K20" s="148"/>
      <c r="L20" s="148"/>
      <c r="M20" s="148"/>
      <c r="N20" s="148"/>
      <c r="O20" s="148"/>
      <c r="P20" s="148"/>
      <c r="Q20" s="149"/>
      <c r="R20" s="148"/>
      <c r="S20" s="148"/>
      <c r="T20" s="148"/>
      <c r="U20" s="148"/>
      <c r="V20" s="148"/>
      <c r="W20" s="148"/>
      <c r="X20" s="148"/>
      <c r="Y20" s="148"/>
      <c r="Z20" s="148"/>
    </row>
    <row r="21" spans="1:36" s="133" customFormat="1" x14ac:dyDescent="0.25">
      <c r="A21" s="148"/>
      <c r="B21" s="148"/>
      <c r="C21" s="148"/>
      <c r="D21" s="148"/>
      <c r="E21" s="148"/>
      <c r="F21" s="148"/>
      <c r="G21" s="148"/>
      <c r="H21" s="148"/>
      <c r="I21" s="148"/>
      <c r="J21" s="148"/>
      <c r="K21" s="148"/>
      <c r="L21" s="148"/>
      <c r="M21" s="148"/>
      <c r="N21" s="148"/>
      <c r="O21" s="148"/>
      <c r="P21" s="148"/>
      <c r="Q21" s="148"/>
      <c r="R21" s="148"/>
      <c r="S21" s="148"/>
      <c r="T21" s="148"/>
      <c r="U21" s="148"/>
      <c r="V21" s="148"/>
      <c r="W21" s="148"/>
      <c r="X21" s="148"/>
      <c r="Y21" s="148"/>
      <c r="Z21" s="148"/>
      <c r="AA21" s="108"/>
      <c r="AB21" s="108"/>
      <c r="AC21" s="108"/>
      <c r="AD21" s="108"/>
      <c r="AE21" s="108"/>
      <c r="AF21" s="108"/>
      <c r="AG21" s="108"/>
      <c r="AH21" s="108"/>
      <c r="AI21" s="108"/>
      <c r="AJ21" s="108"/>
    </row>
    <row r="22" spans="1:36" x14ac:dyDescent="0.25">
      <c r="A22" s="148"/>
      <c r="B22" s="148"/>
      <c r="C22" s="148"/>
      <c r="D22" s="148"/>
      <c r="E22" s="148"/>
      <c r="F22" s="148"/>
      <c r="G22" s="148"/>
      <c r="H22" s="148"/>
      <c r="I22" s="148"/>
      <c r="J22" s="148"/>
      <c r="K22" s="148"/>
      <c r="L22" s="148"/>
      <c r="M22" s="148"/>
      <c r="N22" s="148"/>
      <c r="O22" s="148"/>
      <c r="P22" s="148"/>
      <c r="Q22" s="148"/>
      <c r="R22" s="148"/>
      <c r="S22" s="148"/>
      <c r="T22" s="148"/>
      <c r="U22" s="148"/>
      <c r="V22" s="148"/>
      <c r="W22" s="148"/>
      <c r="X22" s="148"/>
      <c r="Y22" s="148"/>
      <c r="Z22" s="148"/>
    </row>
    <row r="23" spans="1:36" x14ac:dyDescent="0.25">
      <c r="A23" s="148"/>
      <c r="B23" s="148"/>
      <c r="C23" s="148"/>
      <c r="D23" s="148"/>
      <c r="E23" s="148"/>
      <c r="F23" s="148"/>
      <c r="G23" s="148"/>
      <c r="H23" s="148"/>
      <c r="I23" s="148"/>
      <c r="J23" s="148"/>
      <c r="K23" s="148"/>
      <c r="L23" s="148"/>
      <c r="M23" s="148"/>
      <c r="N23" s="148"/>
      <c r="O23" s="148"/>
      <c r="P23" s="148"/>
      <c r="Q23" s="148"/>
      <c r="R23" s="148"/>
      <c r="S23" s="148"/>
      <c r="T23" s="148"/>
      <c r="U23" s="148"/>
      <c r="V23" s="148"/>
      <c r="W23" s="148"/>
      <c r="X23" s="148"/>
      <c r="Y23" s="148"/>
      <c r="Z23" s="148"/>
    </row>
    <row r="24" spans="1:36" x14ac:dyDescent="0.25">
      <c r="A24" s="148"/>
      <c r="B24" s="148"/>
      <c r="C24" s="148"/>
      <c r="D24" s="148"/>
      <c r="E24" s="148"/>
      <c r="F24" s="148"/>
      <c r="G24" s="148"/>
      <c r="H24" s="148"/>
      <c r="I24" s="148"/>
      <c r="J24" s="148"/>
      <c r="K24" s="148"/>
      <c r="L24" s="148"/>
      <c r="M24" s="148"/>
      <c r="N24" s="148"/>
      <c r="O24" s="148"/>
      <c r="P24" s="148"/>
      <c r="Q24" s="148"/>
      <c r="R24" s="148"/>
      <c r="S24" s="148"/>
      <c r="T24" s="148"/>
      <c r="U24" s="148"/>
      <c r="V24" s="148"/>
      <c r="W24" s="148"/>
      <c r="X24" s="148"/>
      <c r="Y24" s="148"/>
      <c r="Z24" s="148"/>
    </row>
    <row r="25" spans="1:36" x14ac:dyDescent="0.25">
      <c r="A25" s="148"/>
      <c r="B25" s="148"/>
      <c r="C25" s="148"/>
      <c r="D25" s="148"/>
      <c r="E25" s="148"/>
      <c r="F25" s="148"/>
      <c r="G25" s="148"/>
      <c r="H25" s="148"/>
      <c r="I25" s="148"/>
      <c r="J25" s="148"/>
      <c r="K25" s="148"/>
      <c r="L25" s="148"/>
      <c r="M25" s="148"/>
      <c r="N25" s="148"/>
      <c r="O25" s="148"/>
      <c r="P25" s="148"/>
      <c r="Q25" s="148"/>
      <c r="R25" s="148"/>
      <c r="S25" s="148"/>
      <c r="T25" s="148"/>
      <c r="U25" s="148"/>
      <c r="V25" s="148"/>
      <c r="W25" s="148"/>
      <c r="X25" s="148"/>
      <c r="Y25" s="148"/>
      <c r="Z25" s="148"/>
    </row>
    <row r="26" spans="1:36" x14ac:dyDescent="0.25">
      <c r="A26" s="148"/>
      <c r="B26" s="148"/>
      <c r="C26" s="148"/>
      <c r="D26" s="148"/>
      <c r="E26" s="148"/>
      <c r="F26" s="148"/>
      <c r="G26" s="148"/>
      <c r="H26" s="148"/>
      <c r="I26" s="148"/>
      <c r="J26" s="148"/>
      <c r="K26" s="148"/>
      <c r="L26" s="148"/>
      <c r="M26" s="148"/>
      <c r="N26" s="148"/>
      <c r="O26" s="148"/>
      <c r="P26" s="148"/>
      <c r="Q26" s="148"/>
      <c r="R26" s="148"/>
      <c r="S26" s="148"/>
      <c r="T26" s="148"/>
      <c r="U26" s="148"/>
      <c r="V26" s="148"/>
      <c r="W26" s="148"/>
      <c r="X26" s="148"/>
      <c r="Y26" s="148"/>
      <c r="Z26" s="148"/>
    </row>
    <row r="27" spans="1:36" x14ac:dyDescent="0.25">
      <c r="A27" s="148"/>
      <c r="B27" s="148"/>
      <c r="C27" s="148"/>
      <c r="D27" s="148"/>
      <c r="E27" s="148"/>
      <c r="F27" s="148"/>
      <c r="G27" s="148"/>
      <c r="H27" s="148"/>
      <c r="I27" s="148"/>
      <c r="J27" s="148"/>
      <c r="K27" s="148"/>
      <c r="L27" s="148"/>
      <c r="M27" s="148"/>
      <c r="N27" s="148"/>
      <c r="O27" s="148"/>
      <c r="P27" s="148"/>
      <c r="Q27" s="148"/>
      <c r="R27" s="148"/>
      <c r="S27" s="148"/>
      <c r="T27" s="148"/>
      <c r="U27" s="148"/>
      <c r="V27" s="148"/>
      <c r="W27" s="148"/>
      <c r="X27" s="148"/>
      <c r="Y27" s="148"/>
      <c r="Z27" s="148"/>
    </row>
    <row r="28" spans="1:36" x14ac:dyDescent="0.25">
      <c r="A28" s="148"/>
      <c r="B28" s="148"/>
      <c r="C28" s="148"/>
      <c r="D28" s="148"/>
      <c r="E28" s="148"/>
      <c r="F28" s="148"/>
      <c r="G28" s="148"/>
      <c r="H28" s="148"/>
      <c r="I28" s="148"/>
      <c r="J28" s="148"/>
      <c r="K28" s="148"/>
      <c r="L28" s="148"/>
      <c r="M28" s="148"/>
      <c r="N28" s="148"/>
      <c r="O28" s="148"/>
      <c r="P28" s="148"/>
      <c r="Q28" s="148"/>
      <c r="R28" s="148"/>
      <c r="S28" s="148"/>
      <c r="T28" s="148"/>
      <c r="U28" s="148"/>
      <c r="V28" s="148"/>
      <c r="W28" s="148"/>
      <c r="X28" s="148"/>
      <c r="Y28" s="148"/>
      <c r="Z28" s="148"/>
    </row>
    <row r="29" spans="1:36" x14ac:dyDescent="0.25">
      <c r="A29" s="148"/>
      <c r="B29" s="148"/>
      <c r="C29" s="148"/>
      <c r="D29" s="148"/>
      <c r="E29" s="148"/>
      <c r="F29" s="148"/>
      <c r="G29" s="148"/>
      <c r="H29" s="148"/>
      <c r="I29" s="148"/>
      <c r="J29" s="148"/>
      <c r="K29" s="148"/>
      <c r="L29" s="148"/>
      <c r="M29" s="148"/>
      <c r="N29" s="148"/>
      <c r="O29" s="148"/>
      <c r="P29" s="148"/>
      <c r="Q29" s="148"/>
      <c r="R29" s="148"/>
      <c r="S29" s="148"/>
      <c r="T29" s="148"/>
      <c r="U29" s="148"/>
      <c r="V29" s="148"/>
      <c r="W29" s="148"/>
      <c r="X29" s="148"/>
      <c r="Y29" s="148"/>
      <c r="Z29" s="148"/>
    </row>
    <row r="30" spans="1:36" x14ac:dyDescent="0.25">
      <c r="A30" s="148"/>
      <c r="B30" s="148"/>
      <c r="C30" s="148"/>
      <c r="D30" s="148"/>
      <c r="E30" s="148"/>
      <c r="F30" s="148"/>
      <c r="G30" s="148"/>
      <c r="H30" s="148"/>
      <c r="I30" s="148"/>
      <c r="J30" s="148"/>
      <c r="K30" s="148"/>
      <c r="L30" s="148"/>
      <c r="M30" s="148"/>
      <c r="N30" s="148"/>
      <c r="O30" s="148"/>
      <c r="P30" s="148"/>
      <c r="Q30" s="148"/>
      <c r="R30" s="148"/>
      <c r="S30" s="148"/>
      <c r="T30" s="148"/>
      <c r="U30" s="148"/>
      <c r="V30" s="148"/>
      <c r="W30" s="148"/>
      <c r="X30" s="148"/>
      <c r="Y30" s="148"/>
      <c r="Z30" s="148"/>
    </row>
    <row r="31" spans="1:36" x14ac:dyDescent="0.25">
      <c r="A31" s="148"/>
      <c r="B31" s="148"/>
      <c r="C31" s="148"/>
      <c r="D31" s="148"/>
      <c r="E31" s="148"/>
      <c r="F31" s="148"/>
      <c r="G31" s="148"/>
      <c r="H31" s="148"/>
      <c r="I31" s="148"/>
      <c r="J31" s="148"/>
      <c r="K31" s="148"/>
      <c r="L31" s="148"/>
      <c r="M31" s="148"/>
      <c r="N31" s="148"/>
      <c r="O31" s="148"/>
      <c r="P31" s="148"/>
      <c r="Q31" s="148"/>
      <c r="R31" s="148"/>
      <c r="S31" s="148"/>
      <c r="T31" s="148"/>
      <c r="U31" s="148"/>
      <c r="V31" s="148"/>
      <c r="W31" s="148"/>
      <c r="X31" s="148"/>
      <c r="Y31" s="148"/>
      <c r="Z31" s="148"/>
    </row>
  </sheetData>
  <mergeCells count="36">
    <mergeCell ref="J13:J15"/>
    <mergeCell ref="Y13:Y15"/>
    <mergeCell ref="Z8:Z16"/>
    <mergeCell ref="A13:A15"/>
    <mergeCell ref="C13:C15"/>
    <mergeCell ref="D13:D15"/>
    <mergeCell ref="E13:E15"/>
    <mergeCell ref="F13:F15"/>
    <mergeCell ref="G13:G15"/>
    <mergeCell ref="H13:H15"/>
    <mergeCell ref="I13:I15"/>
    <mergeCell ref="M4:N4"/>
    <mergeCell ref="O4:P4"/>
    <mergeCell ref="Q4:R4"/>
    <mergeCell ref="S4:T4"/>
    <mergeCell ref="U4:V4"/>
    <mergeCell ref="W4:X4"/>
    <mergeCell ref="S3:T3"/>
    <mergeCell ref="U3:V3"/>
    <mergeCell ref="W3:X3"/>
    <mergeCell ref="Z3:Z6"/>
    <mergeCell ref="C4:D4"/>
    <mergeCell ref="E4:F4"/>
    <mergeCell ref="G4:H4"/>
    <mergeCell ref="I4:J4"/>
    <mergeCell ref="K4:L4"/>
    <mergeCell ref="A1:Z1"/>
    <mergeCell ref="A2:Z2"/>
    <mergeCell ref="C3:D3"/>
    <mergeCell ref="E3:F3"/>
    <mergeCell ref="G3:H3"/>
    <mergeCell ref="I3:J3"/>
    <mergeCell ref="K3:L3"/>
    <mergeCell ref="M3:N3"/>
    <mergeCell ref="O3:P3"/>
    <mergeCell ref="Q3:R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2F36D6-803E-4522-9E42-9EC1D41355AA}">
  <dimension ref="A1:O21"/>
  <sheetViews>
    <sheetView workbookViewId="0">
      <selection activeCell="H21" sqref="H21"/>
    </sheetView>
  </sheetViews>
  <sheetFormatPr defaultColWidth="9.140625" defaultRowHeight="15.75" x14ac:dyDescent="0.25"/>
  <cols>
    <col min="1" max="1" width="5.7109375" style="150" customWidth="1"/>
    <col min="2" max="2" width="42" style="150" customWidth="1"/>
    <col min="3" max="3" width="19.5703125" style="150" customWidth="1"/>
    <col min="4" max="4" width="14" style="150" customWidth="1"/>
    <col min="5" max="5" width="20.140625" style="150" customWidth="1"/>
    <col min="6" max="6" width="14.140625" style="150" customWidth="1"/>
    <col min="7" max="7" width="17.42578125" style="150" customWidth="1"/>
    <col min="8" max="8" width="15" style="150" customWidth="1"/>
    <col min="9" max="9" width="18.7109375" style="150" customWidth="1"/>
    <col min="10" max="10" width="15" style="150" customWidth="1"/>
    <col min="11" max="11" width="21.42578125" style="150" customWidth="1"/>
    <col min="12" max="16384" width="9.140625" style="150"/>
  </cols>
  <sheetData>
    <row r="1" spans="1:15" x14ac:dyDescent="0.25">
      <c r="J1" s="151"/>
      <c r="K1" s="151" t="s">
        <v>180</v>
      </c>
    </row>
    <row r="3" spans="1:15" x14ac:dyDescent="0.25">
      <c r="A3" s="152" t="s">
        <v>181</v>
      </c>
    </row>
    <row r="5" spans="1:15" ht="204.75" x14ac:dyDescent="0.25">
      <c r="A5" s="153" t="s">
        <v>182</v>
      </c>
      <c r="B5" s="153" t="s">
        <v>183</v>
      </c>
      <c r="C5" s="153" t="s">
        <v>184</v>
      </c>
      <c r="D5" s="153" t="s">
        <v>185</v>
      </c>
      <c r="E5" s="153" t="s">
        <v>186</v>
      </c>
      <c r="F5" s="153" t="s">
        <v>185</v>
      </c>
      <c r="G5" s="153" t="s">
        <v>187</v>
      </c>
      <c r="H5" s="153" t="s">
        <v>188</v>
      </c>
      <c r="I5" s="154" t="s">
        <v>189</v>
      </c>
      <c r="J5" s="154" t="s">
        <v>190</v>
      </c>
      <c r="K5" s="155" t="s">
        <v>191</v>
      </c>
      <c r="L5" s="156"/>
      <c r="M5" s="156"/>
      <c r="N5" s="156"/>
      <c r="O5" s="157"/>
    </row>
    <row r="6" spans="1:15" x14ac:dyDescent="0.25">
      <c r="A6" s="158">
        <v>1</v>
      </c>
      <c r="B6" s="159" t="s">
        <v>192</v>
      </c>
      <c r="C6" s="160">
        <v>42156.79</v>
      </c>
      <c r="D6" s="161">
        <v>100</v>
      </c>
      <c r="E6" s="160"/>
      <c r="F6" s="161"/>
      <c r="G6" s="162">
        <f>C6+E6</f>
        <v>42156.79</v>
      </c>
      <c r="H6" s="163">
        <f>D6+F6</f>
        <v>100</v>
      </c>
      <c r="I6" s="164"/>
      <c r="J6" s="165"/>
      <c r="K6" s="166">
        <f>G6+I6</f>
        <v>42156.79</v>
      </c>
    </row>
    <row r="7" spans="1:15" x14ac:dyDescent="0.25">
      <c r="A7" s="158">
        <v>2</v>
      </c>
      <c r="B7" s="159" t="s">
        <v>193</v>
      </c>
      <c r="C7" s="167"/>
      <c r="D7" s="161"/>
      <c r="E7" s="167">
        <v>125364.13</v>
      </c>
      <c r="F7" s="161">
        <v>75</v>
      </c>
      <c r="G7" s="162">
        <f>C7+E7</f>
        <v>125364.13</v>
      </c>
      <c r="H7" s="163">
        <f>D7+F7</f>
        <v>75</v>
      </c>
      <c r="I7" s="164">
        <v>25000</v>
      </c>
      <c r="J7" s="165">
        <v>60</v>
      </c>
      <c r="K7" s="166">
        <f t="shared" ref="K7:K16" si="0">G7+I7</f>
        <v>150364.13</v>
      </c>
    </row>
    <row r="8" spans="1:15" x14ac:dyDescent="0.25">
      <c r="A8" s="158">
        <v>3</v>
      </c>
      <c r="B8" s="168" t="s">
        <v>194</v>
      </c>
      <c r="C8" s="169"/>
      <c r="D8" s="163"/>
      <c r="E8" s="169"/>
      <c r="F8" s="163"/>
      <c r="G8" s="162"/>
      <c r="H8" s="163"/>
      <c r="I8" s="164">
        <v>62000</v>
      </c>
      <c r="J8" s="165">
        <v>80</v>
      </c>
      <c r="K8" s="166">
        <f t="shared" si="0"/>
        <v>62000</v>
      </c>
    </row>
    <row r="9" spans="1:15" x14ac:dyDescent="0.25">
      <c r="A9" s="158">
        <v>4</v>
      </c>
      <c r="B9" s="159" t="s">
        <v>195</v>
      </c>
      <c r="C9" s="167"/>
      <c r="D9" s="161"/>
      <c r="E9" s="167">
        <v>17980.900000000001</v>
      </c>
      <c r="F9" s="161">
        <v>18</v>
      </c>
      <c r="G9" s="162">
        <f>C9+E9</f>
        <v>17980.900000000001</v>
      </c>
      <c r="H9" s="163">
        <f>D9+F9</f>
        <v>18</v>
      </c>
      <c r="I9" s="164"/>
      <c r="J9" s="165"/>
      <c r="K9" s="166">
        <f t="shared" si="0"/>
        <v>17980.900000000001</v>
      </c>
    </row>
    <row r="10" spans="1:15" x14ac:dyDescent="0.25">
      <c r="A10" s="158">
        <v>5</v>
      </c>
      <c r="B10" s="159" t="s">
        <v>196</v>
      </c>
      <c r="C10" s="160">
        <v>240394.37</v>
      </c>
      <c r="D10" s="161">
        <v>100</v>
      </c>
      <c r="E10" s="160">
        <v>107671.37</v>
      </c>
      <c r="F10" s="161">
        <v>100</v>
      </c>
      <c r="G10" s="162">
        <f>C10+E10</f>
        <v>348065.74</v>
      </c>
      <c r="H10" s="163">
        <f>D10+F10</f>
        <v>200</v>
      </c>
      <c r="I10" s="164"/>
      <c r="J10" s="165"/>
      <c r="K10" s="166">
        <f t="shared" si="0"/>
        <v>348065.74</v>
      </c>
    </row>
    <row r="11" spans="1:15" x14ac:dyDescent="0.25">
      <c r="A11" s="158">
        <v>6</v>
      </c>
      <c r="B11" s="168" t="s">
        <v>197</v>
      </c>
      <c r="C11" s="169"/>
      <c r="D11" s="163"/>
      <c r="E11" s="169"/>
      <c r="F11" s="163"/>
      <c r="G11" s="162"/>
      <c r="H11" s="163"/>
      <c r="I11" s="164">
        <v>9995</v>
      </c>
      <c r="J11" s="165">
        <v>30</v>
      </c>
      <c r="K11" s="166">
        <f t="shared" si="0"/>
        <v>9995</v>
      </c>
    </row>
    <row r="12" spans="1:15" x14ac:dyDescent="0.25">
      <c r="A12" s="158">
        <v>7</v>
      </c>
      <c r="B12" s="168" t="s">
        <v>198</v>
      </c>
      <c r="C12" s="169"/>
      <c r="D12" s="163"/>
      <c r="E12" s="169"/>
      <c r="F12" s="163"/>
      <c r="G12" s="162"/>
      <c r="H12" s="163"/>
      <c r="I12" s="164">
        <v>152494.78</v>
      </c>
      <c r="J12" s="165">
        <v>125</v>
      </c>
      <c r="K12" s="166">
        <f t="shared" si="0"/>
        <v>152494.78</v>
      </c>
    </row>
    <row r="13" spans="1:15" x14ac:dyDescent="0.25">
      <c r="A13" s="158">
        <v>8</v>
      </c>
      <c r="B13" s="168" t="s">
        <v>199</v>
      </c>
      <c r="C13" s="169"/>
      <c r="D13" s="163"/>
      <c r="E13" s="169"/>
      <c r="F13" s="163"/>
      <c r="G13" s="162"/>
      <c r="H13" s="163"/>
      <c r="I13" s="164">
        <v>95000</v>
      </c>
      <c r="J13" s="165">
        <v>96</v>
      </c>
      <c r="K13" s="166">
        <f t="shared" si="0"/>
        <v>95000</v>
      </c>
    </row>
    <row r="14" spans="1:15" x14ac:dyDescent="0.25">
      <c r="A14" s="158">
        <v>9</v>
      </c>
      <c r="B14" s="159" t="s">
        <v>200</v>
      </c>
      <c r="C14" s="160">
        <v>19947.28</v>
      </c>
      <c r="D14" s="161">
        <v>35</v>
      </c>
      <c r="E14" s="160">
        <v>32664.05</v>
      </c>
      <c r="F14" s="161">
        <v>40</v>
      </c>
      <c r="G14" s="162">
        <f t="shared" ref="G14:H16" si="1">C14+E14</f>
        <v>52611.33</v>
      </c>
      <c r="H14" s="163">
        <f t="shared" si="1"/>
        <v>75</v>
      </c>
      <c r="I14" s="164">
        <v>10000</v>
      </c>
      <c r="J14" s="165">
        <v>9</v>
      </c>
      <c r="K14" s="166">
        <f t="shared" si="0"/>
        <v>62611.33</v>
      </c>
    </row>
    <row r="15" spans="1:15" x14ac:dyDescent="0.25">
      <c r="A15" s="158">
        <v>10</v>
      </c>
      <c r="B15" s="159" t="s">
        <v>201</v>
      </c>
      <c r="C15" s="167"/>
      <c r="D15" s="161"/>
      <c r="E15" s="167">
        <v>239024.75</v>
      </c>
      <c r="F15" s="161">
        <v>80</v>
      </c>
      <c r="G15" s="162">
        <f t="shared" si="1"/>
        <v>239024.75</v>
      </c>
      <c r="H15" s="163">
        <f t="shared" si="1"/>
        <v>80</v>
      </c>
      <c r="I15" s="164"/>
      <c r="J15" s="165"/>
      <c r="K15" s="166">
        <f t="shared" si="0"/>
        <v>239024.75</v>
      </c>
    </row>
    <row r="16" spans="1:15" x14ac:dyDescent="0.25">
      <c r="A16" s="158">
        <v>11</v>
      </c>
      <c r="B16" s="159" t="s">
        <v>202</v>
      </c>
      <c r="C16" s="160">
        <v>7962.44</v>
      </c>
      <c r="D16" s="161">
        <v>16</v>
      </c>
      <c r="E16" s="160"/>
      <c r="F16" s="161"/>
      <c r="G16" s="162">
        <f t="shared" si="1"/>
        <v>7962.44</v>
      </c>
      <c r="H16" s="163">
        <f t="shared" si="1"/>
        <v>16</v>
      </c>
      <c r="I16" s="164"/>
      <c r="J16" s="165"/>
      <c r="K16" s="166">
        <f t="shared" si="0"/>
        <v>7962.44</v>
      </c>
    </row>
    <row r="17" spans="1:11" ht="18.75" x14ac:dyDescent="0.3">
      <c r="A17" s="170"/>
      <c r="B17" s="171" t="s">
        <v>1</v>
      </c>
      <c r="C17" s="172">
        <f t="shared" ref="C17:K17" si="2">SUM(C6:C16)</f>
        <v>310460.87999999995</v>
      </c>
      <c r="D17" s="173">
        <f t="shared" si="2"/>
        <v>251</v>
      </c>
      <c r="E17" s="172">
        <f t="shared" si="2"/>
        <v>522705.2</v>
      </c>
      <c r="F17" s="173">
        <f t="shared" si="2"/>
        <v>313</v>
      </c>
      <c r="G17" s="172">
        <f t="shared" si="2"/>
        <v>833166.08</v>
      </c>
      <c r="H17" s="173">
        <f t="shared" si="2"/>
        <v>564</v>
      </c>
      <c r="I17" s="174">
        <f t="shared" si="2"/>
        <v>354489.78</v>
      </c>
      <c r="J17" s="175">
        <f t="shared" si="2"/>
        <v>400</v>
      </c>
      <c r="K17" s="176">
        <f t="shared" si="2"/>
        <v>1187655.8599999999</v>
      </c>
    </row>
    <row r="21" spans="1:11" x14ac:dyDescent="0.25">
      <c r="C21" s="17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APKOPOJUMS</vt:lpstr>
      <vt:lpstr>1.pielikums_EM_prognoze</vt:lpstr>
      <vt:lpstr>2.pielikums_LM_prognoze</vt:lpstr>
      <vt:lpstr>3.pielikums_IzM_prognoze</vt:lpstr>
      <vt:lpstr>4.pielikums_VARAM_KAC_prognoze</vt:lpstr>
      <vt:lpstr>5.pielikums_VARAM_māj_uzlab</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Solvita Vaivode</dc:creator>
  <cp:lastModifiedBy>Solvita Vaivode</cp:lastModifiedBy>
  <dcterms:created xsi:type="dcterms:W3CDTF">2023-08-03T06:38:07Z</dcterms:created>
  <dcterms:modified xsi:type="dcterms:W3CDTF">2023-08-22T10:12:37Z</dcterms:modified>
</cp:coreProperties>
</file>