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defaultThemeVersion="166925"/>
  <mc:AlternateContent xmlns:mc="http://schemas.openxmlformats.org/markup-compatibility/2006">
    <mc:Choice Requires="x15">
      <x15ac:absPath xmlns:x15ac="http://schemas.microsoft.com/office/spreadsheetml/2010/11/ac" url="C:\Users\gita.grinfelde-funka\Documents\Maksas pakalpojumi\Sagataves\Iesniegšanai\"/>
    </mc:Choice>
  </mc:AlternateContent>
  <xr:revisionPtr revIDLastSave="0" documentId="13_ncr:1_{9FAA2E66-8EDE-4148-82E4-635A98A81424}" xr6:coauthVersionLast="36" xr6:coauthVersionMax="36" xr10:uidLastSave="{00000000-0000-0000-0000-000000000000}"/>
  <bookViews>
    <workbookView xWindow="0" yWindow="0" windowWidth="28800" windowHeight="11325" xr2:uid="{168A4892-36E8-4759-A299-0E1B747411F8}"/>
  </bookViews>
  <sheets>
    <sheet name="Saturs" sheetId="3" r:id="rId1"/>
    <sheet name="1.1.1." sheetId="5" r:id="rId2"/>
    <sheet name="1.1.2." sheetId="4" r:id="rId3"/>
    <sheet name="1.2.1." sheetId="7" r:id="rId4"/>
    <sheet name="1.2.2." sheetId="8" r:id="rId5"/>
    <sheet name="1.3." sheetId="6" r:id="rId6"/>
    <sheet name="1.4.1." sheetId="9" r:id="rId7"/>
    <sheet name="1.4.2." sheetId="10" r:id="rId8"/>
    <sheet name="1.5." sheetId="13" r:id="rId9"/>
    <sheet name="1.6." sheetId="14" r:id="rId10"/>
    <sheet name="1.7.1." sheetId="11" r:id="rId11"/>
    <sheet name="1.7.2." sheetId="12" r:id="rId12"/>
    <sheet name="2.1.1." sheetId="15" r:id="rId13"/>
    <sheet name="2.1.2." sheetId="16" r:id="rId14"/>
    <sheet name="2.1.3." sheetId="17" r:id="rId15"/>
    <sheet name="2.1.4." sheetId="18" r:id="rId16"/>
    <sheet name="2.1.5." sheetId="19" r:id="rId17"/>
    <sheet name="2.2.1." sheetId="20" r:id="rId18"/>
    <sheet name="2.2.2." sheetId="21" r:id="rId19"/>
    <sheet name="2.2.3." sheetId="22" r:id="rId20"/>
    <sheet name="2.3.1." sheetId="23" r:id="rId21"/>
    <sheet name="2.3.2." sheetId="24" r:id="rId22"/>
    <sheet name="2.3.3." sheetId="25" r:id="rId23"/>
    <sheet name="2.4.1." sheetId="26" r:id="rId24"/>
    <sheet name="2.4.2." sheetId="27" r:id="rId25"/>
    <sheet name="2.5." sheetId="29" r:id="rId26"/>
    <sheet name="2.6.1." sheetId="31" r:id="rId27"/>
    <sheet name="2.6.2." sheetId="33" r:id="rId28"/>
    <sheet name="2.6.3." sheetId="34" r:id="rId29"/>
    <sheet name="2.6.4." sheetId="35" r:id="rId30"/>
    <sheet name="2.6.5." sheetId="36" r:id="rId31"/>
    <sheet name="2.6.6." sheetId="37" r:id="rId32"/>
    <sheet name="2.6.7." sheetId="40" r:id="rId33"/>
    <sheet name="2.6.8." sheetId="38" r:id="rId34"/>
    <sheet name="2.6.9." sheetId="39" r:id="rId35"/>
    <sheet name="2.7.1." sheetId="41" r:id="rId36"/>
    <sheet name="2.7.2." sheetId="42" r:id="rId37"/>
    <sheet name="2.8.1." sheetId="43" r:id="rId38"/>
    <sheet name="2.8.2." sheetId="44" r:id="rId39"/>
  </sheets>
  <definedNames>
    <definedName name="_xlnm.Print_Area" localSheetId="6">'1.4.1.'!$A$1:$E$54</definedName>
    <definedName name="_xlnm.Print_Area" localSheetId="20">'2.3.1.'!$A$1:$E$60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0" i="16" l="1"/>
  <c r="D16" i="7" l="1"/>
  <c r="D15" i="7"/>
  <c r="D59" i="5"/>
  <c r="D30" i="5"/>
  <c r="D13" i="5"/>
  <c r="E20" i="5"/>
  <c r="D20" i="5"/>
  <c r="E35" i="24" l="1"/>
  <c r="E35" i="20"/>
  <c r="E28" i="20"/>
  <c r="E28" i="24"/>
  <c r="E26" i="24"/>
  <c r="D37" i="10" l="1"/>
  <c r="D40" i="10"/>
  <c r="D12" i="10"/>
  <c r="D13" i="10"/>
  <c r="D14" i="10"/>
  <c r="D16" i="10"/>
  <c r="D17" i="10"/>
  <c r="D54" i="10"/>
  <c r="E35" i="10"/>
  <c r="E40" i="10"/>
  <c r="E39" i="10"/>
  <c r="E38" i="10"/>
  <c r="E37" i="10"/>
  <c r="E36" i="10"/>
  <c r="E34" i="10"/>
  <c r="E43" i="10"/>
  <c r="E42" i="10"/>
  <c r="E41" i="10"/>
  <c r="E48" i="10"/>
  <c r="E47" i="10"/>
  <c r="E46" i="10"/>
  <c r="E45" i="10"/>
  <c r="E32" i="10"/>
  <c r="E31" i="10"/>
  <c r="E30" i="10"/>
  <c r="E29" i="10"/>
  <c r="E28" i="10"/>
  <c r="E27" i="10"/>
  <c r="E26" i="10"/>
  <c r="E25" i="10"/>
  <c r="E24" i="10"/>
  <c r="E23" i="10"/>
  <c r="E22" i="10"/>
  <c r="E22" i="9"/>
  <c r="E17" i="10"/>
  <c r="E16" i="10"/>
  <c r="E14" i="10"/>
  <c r="E12" i="10"/>
  <c r="E13" i="10"/>
  <c r="D15" i="10" l="1"/>
  <c r="D11" i="10"/>
  <c r="D10" i="10" s="1"/>
  <c r="E11" i="10"/>
  <c r="E10" i="10" s="1"/>
  <c r="E15" i="10"/>
  <c r="D23" i="9"/>
  <c r="D42" i="9"/>
  <c r="E32" i="9"/>
  <c r="E31" i="9"/>
  <c r="E30" i="9"/>
  <c r="E25" i="9"/>
  <c r="E16" i="9"/>
  <c r="E17" i="9"/>
  <c r="E14" i="9"/>
  <c r="E12" i="9"/>
  <c r="E13" i="9"/>
  <c r="E29" i="9"/>
  <c r="E28" i="9"/>
  <c r="E27" i="9"/>
  <c r="E26" i="9"/>
  <c r="E24" i="9"/>
  <c r="E23" i="9"/>
  <c r="E42" i="9"/>
  <c r="E41" i="9"/>
  <c r="E40" i="9"/>
  <c r="E39" i="9"/>
  <c r="E38" i="9"/>
  <c r="E37" i="9"/>
  <c r="E36" i="9"/>
  <c r="E35" i="9"/>
  <c r="E34" i="9"/>
  <c r="E43" i="9"/>
  <c r="E46" i="9"/>
  <c r="E45" i="9"/>
  <c r="E47" i="9"/>
  <c r="E48" i="9"/>
  <c r="D9" i="10" l="1"/>
  <c r="E9" i="10"/>
  <c r="E35" i="4" l="1"/>
  <c r="E33" i="4"/>
  <c r="E32" i="4"/>
  <c r="E29" i="4"/>
  <c r="D41" i="4"/>
  <c r="E39" i="5"/>
  <c r="E34" i="7"/>
  <c r="E20" i="7"/>
  <c r="E17" i="6"/>
  <c r="E31" i="6"/>
  <c r="E22" i="6"/>
  <c r="D25" i="13"/>
  <c r="D45" i="13"/>
  <c r="E46" i="13"/>
  <c r="E34" i="13"/>
  <c r="E18" i="13"/>
  <c r="E16" i="13"/>
  <c r="D39" i="14" l="1"/>
  <c r="D32" i="14"/>
  <c r="D52" i="14"/>
  <c r="E46" i="14"/>
  <c r="E34" i="12"/>
  <c r="E26" i="12"/>
  <c r="E29" i="12"/>
  <c r="D42" i="12"/>
  <c r="E34" i="11"/>
  <c r="E31" i="12"/>
  <c r="E31" i="11"/>
  <c r="E32" i="11"/>
  <c r="E33" i="11"/>
  <c r="D18" i="11"/>
  <c r="D50" i="11"/>
  <c r="E17" i="11"/>
  <c r="E13" i="11"/>
  <c r="E35" i="19"/>
  <c r="E20" i="17"/>
  <c r="E35" i="16"/>
  <c r="E35" i="15"/>
  <c r="E20" i="15"/>
  <c r="E35" i="22"/>
  <c r="E19" i="22"/>
  <c r="E17" i="22"/>
  <c r="E43" i="21"/>
  <c r="E25" i="21"/>
  <c r="F19" i="21"/>
  <c r="F17" i="21"/>
  <c r="D32" i="20"/>
  <c r="E20" i="20"/>
  <c r="D39" i="25"/>
  <c r="D49" i="25"/>
  <c r="D16" i="25"/>
  <c r="D60" i="25"/>
  <c r="E35" i="25"/>
  <c r="E19" i="25"/>
  <c r="D49" i="24"/>
  <c r="D54" i="24"/>
  <c r="E33" i="24"/>
  <c r="E19" i="23"/>
  <c r="E12" i="23"/>
  <c r="E17" i="23"/>
  <c r="E19" i="29"/>
  <c r="E18" i="29"/>
  <c r="E35" i="27"/>
  <c r="E32" i="27"/>
  <c r="E26" i="27"/>
  <c r="E19" i="27"/>
  <c r="E17" i="27"/>
  <c r="E35" i="26"/>
  <c r="E27" i="26"/>
  <c r="E19" i="26"/>
  <c r="E35" i="39"/>
  <c r="E17" i="39"/>
  <c r="E17" i="38"/>
  <c r="E47" i="40"/>
  <c r="E21" i="40"/>
  <c r="D21" i="40"/>
  <c r="E17" i="40"/>
  <c r="E15" i="40"/>
  <c r="E17" i="37"/>
  <c r="E35" i="36"/>
  <c r="E20" i="36"/>
  <c r="E17" i="36"/>
  <c r="E15" i="36"/>
  <c r="E14" i="36"/>
  <c r="E12" i="36"/>
  <c r="E13" i="36"/>
  <c r="D20" i="35"/>
  <c r="E39" i="35"/>
  <c r="E35" i="35"/>
  <c r="E21" i="35"/>
  <c r="E17" i="35"/>
  <c r="E14" i="34"/>
  <c r="D31" i="31"/>
  <c r="E18" i="31"/>
  <c r="E17" i="31"/>
  <c r="E15" i="31"/>
  <c r="E14" i="31"/>
  <c r="E13" i="31"/>
  <c r="E12" i="31"/>
  <c r="E35" i="31"/>
  <c r="E34" i="31"/>
  <c r="E33" i="31"/>
  <c r="E32" i="31"/>
  <c r="E31" i="31"/>
  <c r="E30" i="31"/>
  <c r="E29" i="31"/>
  <c r="E28" i="31"/>
  <c r="E27" i="31"/>
  <c r="E26" i="31"/>
  <c r="E25" i="31"/>
  <c r="E47" i="31"/>
  <c r="E46" i="31"/>
  <c r="E45" i="31"/>
  <c r="E44" i="31"/>
  <c r="E43" i="31"/>
  <c r="E42" i="31"/>
  <c r="E41" i="31"/>
  <c r="E40" i="31"/>
  <c r="E39" i="31"/>
  <c r="E38" i="31"/>
  <c r="E37" i="31"/>
  <c r="E49" i="31"/>
  <c r="E50" i="31"/>
  <c r="E51" i="31"/>
  <c r="D17" i="43" l="1"/>
  <c r="E34" i="43"/>
  <c r="D13" i="44"/>
  <c r="D32" i="44"/>
  <c r="E34" i="44"/>
  <c r="E32" i="44"/>
  <c r="E32" i="43"/>
  <c r="D45" i="44"/>
  <c r="E17" i="44"/>
  <c r="D24" i="44"/>
  <c r="D29" i="44"/>
  <c r="E33" i="44"/>
  <c r="E31" i="44"/>
  <c r="E30" i="44"/>
  <c r="E29" i="44"/>
  <c r="E28" i="44"/>
  <c r="E27" i="44"/>
  <c r="E26" i="44"/>
  <c r="E25" i="44"/>
  <c r="E24" i="44"/>
  <c r="E23" i="44"/>
  <c r="E18" i="43"/>
  <c r="D17" i="44" l="1"/>
  <c r="E18" i="44"/>
  <c r="E15" i="44"/>
  <c r="E14" i="44"/>
  <c r="E13" i="44"/>
  <c r="E12" i="44"/>
  <c r="E16" i="44" l="1"/>
  <c r="D18" i="44"/>
  <c r="D16" i="44" s="1"/>
  <c r="E11" i="44"/>
  <c r="D55" i="43"/>
  <c r="D29" i="43"/>
  <c r="D40" i="43"/>
  <c r="D46" i="43"/>
  <c r="E33" i="43"/>
  <c r="E31" i="43"/>
  <c r="E30" i="43"/>
  <c r="E29" i="43"/>
  <c r="E28" i="43"/>
  <c r="E27" i="43"/>
  <c r="E26" i="43"/>
  <c r="E25" i="43"/>
  <c r="E24" i="43"/>
  <c r="E23" i="43"/>
  <c r="D18" i="43"/>
  <c r="D16" i="43" s="1"/>
  <c r="D9" i="43" s="1"/>
  <c r="E17" i="43"/>
  <c r="E15" i="43"/>
  <c r="E14" i="43"/>
  <c r="E11" i="43" s="1"/>
  <c r="E13" i="43"/>
  <c r="E12" i="43"/>
  <c r="D23" i="42"/>
  <c r="D24" i="42"/>
  <c r="D45" i="42"/>
  <c r="E49" i="42"/>
  <c r="E34" i="42"/>
  <c r="E33" i="42"/>
  <c r="E32" i="42"/>
  <c r="E31" i="42"/>
  <c r="E30" i="42"/>
  <c r="E29" i="42"/>
  <c r="E28" i="42"/>
  <c r="E27" i="42"/>
  <c r="E26" i="42"/>
  <c r="E25" i="42"/>
  <c r="E24" i="42"/>
  <c r="E23" i="42"/>
  <c r="E17" i="42"/>
  <c r="E18" i="42"/>
  <c r="E15" i="42"/>
  <c r="E14" i="42"/>
  <c r="E13" i="42"/>
  <c r="E12" i="42"/>
  <c r="E49" i="41"/>
  <c r="E34" i="41"/>
  <c r="E33" i="41"/>
  <c r="E32" i="41"/>
  <c r="E31" i="41"/>
  <c r="E30" i="41"/>
  <c r="E29" i="41"/>
  <c r="E28" i="41"/>
  <c r="E27" i="41"/>
  <c r="E26" i="41"/>
  <c r="E25" i="41"/>
  <c r="E24" i="41"/>
  <c r="E23" i="41"/>
  <c r="E17" i="41"/>
  <c r="E11" i="41"/>
  <c r="D11" i="41"/>
  <c r="D10" i="41"/>
  <c r="E18" i="41"/>
  <c r="E15" i="41"/>
  <c r="D15" i="41" s="1"/>
  <c r="E14" i="41"/>
  <c r="E13" i="41"/>
  <c r="E16" i="42"/>
  <c r="D17" i="42"/>
  <c r="D18" i="42"/>
  <c r="E12" i="41"/>
  <c r="E16" i="41"/>
  <c r="D17" i="41"/>
  <c r="D18" i="41"/>
  <c r="D16" i="41" s="1"/>
  <c r="E16" i="43" l="1"/>
  <c r="D16" i="42"/>
  <c r="E11" i="42"/>
  <c r="E16" i="39"/>
  <c r="E34" i="39"/>
  <c r="E33" i="39"/>
  <c r="E32" i="39"/>
  <c r="E31" i="39"/>
  <c r="E30" i="39"/>
  <c r="E29" i="39"/>
  <c r="E28" i="39"/>
  <c r="E27" i="39"/>
  <c r="E26" i="39"/>
  <c r="E25" i="39"/>
  <c r="E18" i="39"/>
  <c r="D18" i="39"/>
  <c r="E15" i="39"/>
  <c r="D15" i="39" s="1"/>
  <c r="D17" i="39"/>
  <c r="E14" i="39"/>
  <c r="E13" i="39"/>
  <c r="E12" i="39"/>
  <c r="D40" i="38"/>
  <c r="D38" i="38"/>
  <c r="D50" i="38"/>
  <c r="E35" i="38"/>
  <c r="E34" i="38"/>
  <c r="E33" i="38"/>
  <c r="E32" i="38"/>
  <c r="E31" i="38"/>
  <c r="E30" i="38"/>
  <c r="E29" i="38"/>
  <c r="E28" i="38"/>
  <c r="E27" i="38"/>
  <c r="E26" i="38"/>
  <c r="E25" i="38"/>
  <c r="D17" i="38"/>
  <c r="E18" i="38"/>
  <c r="D18" i="38" s="1"/>
  <c r="E15" i="38"/>
  <c r="D15" i="38" s="1"/>
  <c r="E14" i="38"/>
  <c r="D14" i="38" s="1"/>
  <c r="E13" i="38"/>
  <c r="E12" i="38"/>
  <c r="E10" i="38" s="1"/>
  <c r="D13" i="38"/>
  <c r="D40" i="40"/>
  <c r="D17" i="40"/>
  <c r="D38" i="40"/>
  <c r="D50" i="40"/>
  <c r="E16" i="40"/>
  <c r="E18" i="40"/>
  <c r="D15" i="40"/>
  <c r="E14" i="40"/>
  <c r="E35" i="40"/>
  <c r="E34" i="40"/>
  <c r="E33" i="40"/>
  <c r="E32" i="40"/>
  <c r="E31" i="40"/>
  <c r="E30" i="40"/>
  <c r="E29" i="40"/>
  <c r="E28" i="40"/>
  <c r="E27" i="40"/>
  <c r="E26" i="40"/>
  <c r="E25" i="40"/>
  <c r="D18" i="40"/>
  <c r="E13" i="40"/>
  <c r="E12" i="40"/>
  <c r="E19" i="40"/>
  <c r="E45" i="40"/>
  <c r="D49" i="37"/>
  <c r="E35" i="37"/>
  <c r="E29" i="37"/>
  <c r="E30" i="37"/>
  <c r="E34" i="37"/>
  <c r="E32" i="37"/>
  <c r="E33" i="37"/>
  <c r="E31" i="37"/>
  <c r="E28" i="37"/>
  <c r="E27" i="37"/>
  <c r="E26" i="37"/>
  <c r="E25" i="37"/>
  <c r="E9" i="43" l="1"/>
  <c r="D16" i="39"/>
  <c r="E10" i="39"/>
  <c r="E11" i="39"/>
  <c r="D16" i="38"/>
  <c r="E16" i="38"/>
  <c r="E11" i="38"/>
  <c r="D12" i="38"/>
  <c r="D16" i="40"/>
  <c r="E10" i="40"/>
  <c r="E9" i="40" s="1"/>
  <c r="E11" i="40"/>
  <c r="E16" i="37"/>
  <c r="E18" i="37"/>
  <c r="D18" i="37" s="1"/>
  <c r="D17" i="37"/>
  <c r="D16" i="37" s="1"/>
  <c r="E15" i="37"/>
  <c r="D15" i="37" s="1"/>
  <c r="E51" i="37"/>
  <c r="E50" i="37"/>
  <c r="E49" i="37"/>
  <c r="E47" i="37"/>
  <c r="E46" i="37"/>
  <c r="E45" i="37"/>
  <c r="E44" i="37"/>
  <c r="E43" i="37"/>
  <c r="E42" i="37"/>
  <c r="E41" i="37"/>
  <c r="E40" i="37"/>
  <c r="E39" i="37"/>
  <c r="E38" i="37"/>
  <c r="E37" i="37"/>
  <c r="E20" i="37"/>
  <c r="E19" i="37" s="1"/>
  <c r="E14" i="37"/>
  <c r="E13" i="37"/>
  <c r="E12" i="37"/>
  <c r="D29" i="36"/>
  <c r="D18" i="36"/>
  <c r="E34" i="36"/>
  <c r="E33" i="36"/>
  <c r="E32" i="36"/>
  <c r="E31" i="36"/>
  <c r="E30" i="36"/>
  <c r="E29" i="36"/>
  <c r="E28" i="36"/>
  <c r="E27" i="36"/>
  <c r="E26" i="36"/>
  <c r="E25" i="36"/>
  <c r="E19" i="36"/>
  <c r="E18" i="36"/>
  <c r="E18" i="35"/>
  <c r="D17" i="36"/>
  <c r="D15" i="36"/>
  <c r="E34" i="35"/>
  <c r="E33" i="35"/>
  <c r="E32" i="35"/>
  <c r="E31" i="35"/>
  <c r="E30" i="35"/>
  <c r="E29" i="35"/>
  <c r="E28" i="35"/>
  <c r="E27" i="35"/>
  <c r="E26" i="35"/>
  <c r="E25" i="35"/>
  <c r="D11" i="38" l="1"/>
  <c r="D10" i="38"/>
  <c r="D9" i="38" s="1"/>
  <c r="E11" i="37"/>
  <c r="E10" i="37"/>
  <c r="E10" i="36"/>
  <c r="E11" i="36"/>
  <c r="D16" i="36"/>
  <c r="E16" i="36"/>
  <c r="D17" i="35"/>
  <c r="D15" i="35"/>
  <c r="E15" i="35"/>
  <c r="E14" i="35"/>
  <c r="E13" i="35"/>
  <c r="E10" i="35" s="1"/>
  <c r="E12" i="35"/>
  <c r="E11" i="35" s="1"/>
  <c r="E35" i="34"/>
  <c r="E34" i="34"/>
  <c r="E33" i="34"/>
  <c r="E32" i="34"/>
  <c r="E31" i="34"/>
  <c r="E30" i="34"/>
  <c r="E29" i="34"/>
  <c r="E28" i="34"/>
  <c r="E27" i="34"/>
  <c r="E26" i="34"/>
  <c r="E25" i="34"/>
  <c r="E17" i="34"/>
  <c r="D17" i="34" s="1"/>
  <c r="E10" i="34"/>
  <c r="E11" i="34"/>
  <c r="E18" i="34"/>
  <c r="E16" i="34"/>
  <c r="E15" i="34"/>
  <c r="D15" i="34" s="1"/>
  <c r="E13" i="34"/>
  <c r="E12" i="34"/>
  <c r="E19" i="34"/>
  <c r="E35" i="33"/>
  <c r="E34" i="33"/>
  <c r="E33" i="33"/>
  <c r="E32" i="33"/>
  <c r="E31" i="33"/>
  <c r="E30" i="33"/>
  <c r="E28" i="33"/>
  <c r="E29" i="33"/>
  <c r="E27" i="33"/>
  <c r="E26" i="33"/>
  <c r="E25" i="33"/>
  <c r="E18" i="33"/>
  <c r="D18" i="33" s="1"/>
  <c r="E17" i="33"/>
  <c r="D17" i="33" s="1"/>
  <c r="E15" i="33"/>
  <c r="D15" i="33" s="1"/>
  <c r="E14" i="33"/>
  <c r="E13" i="33"/>
  <c r="E12" i="33"/>
  <c r="D20" i="31"/>
  <c r="D19" i="31" s="1"/>
  <c r="E19" i="31"/>
  <c r="E16" i="31"/>
  <c r="D18" i="31"/>
  <c r="D17" i="31"/>
  <c r="E10" i="31"/>
  <c r="E11" i="31"/>
  <c r="D15" i="31"/>
  <c r="D16" i="31" l="1"/>
  <c r="E16" i="35"/>
  <c r="D18" i="35"/>
  <c r="D16" i="35" s="1"/>
  <c r="D18" i="34"/>
  <c r="D16" i="34" s="1"/>
  <c r="D16" i="33"/>
  <c r="E16" i="33"/>
  <c r="E11" i="33"/>
  <c r="E10" i="33"/>
  <c r="D49" i="29"/>
  <c r="D51" i="29"/>
  <c r="E40" i="29"/>
  <c r="E34" i="29"/>
  <c r="E28" i="29"/>
  <c r="E33" i="29"/>
  <c r="E32" i="29"/>
  <c r="E31" i="29"/>
  <c r="E30" i="29"/>
  <c r="E29" i="29"/>
  <c r="E27" i="29"/>
  <c r="E26" i="29"/>
  <c r="E25" i="29"/>
  <c r="E24" i="29"/>
  <c r="D18" i="29"/>
  <c r="E16" i="29"/>
  <c r="D16" i="29" s="1"/>
  <c r="E15" i="29"/>
  <c r="E14" i="29"/>
  <c r="E13" i="29"/>
  <c r="E12" i="29"/>
  <c r="E11" i="29"/>
  <c r="D45" i="27"/>
  <c r="D46" i="27"/>
  <c r="E52" i="27"/>
  <c r="E34" i="27"/>
  <c r="E33" i="27"/>
  <c r="E31" i="27"/>
  <c r="E30" i="27"/>
  <c r="E29" i="27"/>
  <c r="E28" i="27"/>
  <c r="E27" i="27"/>
  <c r="E25" i="27"/>
  <c r="E10" i="27"/>
  <c r="E18" i="27"/>
  <c r="D19" i="27"/>
  <c r="D18" i="27" s="1"/>
  <c r="E20" i="27"/>
  <c r="D20" i="27" s="1"/>
  <c r="D17" i="27"/>
  <c r="D10" i="27" s="1"/>
  <c r="E16" i="27"/>
  <c r="E15" i="27"/>
  <c r="E14" i="27"/>
  <c r="E13" i="27"/>
  <c r="E12" i="27"/>
  <c r="D33" i="26"/>
  <c r="D40" i="26"/>
  <c r="D39" i="26"/>
  <c r="D52" i="26"/>
  <c r="D53" i="26"/>
  <c r="E52" i="26"/>
  <c r="E17" i="29" l="1"/>
  <c r="D19" i="29"/>
  <c r="D17" i="29" s="1"/>
  <c r="E10" i="29"/>
  <c r="E9" i="29"/>
  <c r="E11" i="27"/>
  <c r="E18" i="26" l="1"/>
  <c r="E34" i="26"/>
  <c r="E33" i="26"/>
  <c r="E32" i="26"/>
  <c r="E31" i="26"/>
  <c r="E30" i="26"/>
  <c r="E29" i="26"/>
  <c r="E28" i="26"/>
  <c r="E26" i="26"/>
  <c r="E25" i="26"/>
  <c r="E10" i="26"/>
  <c r="D10" i="26"/>
  <c r="E20" i="26"/>
  <c r="D20" i="26" s="1"/>
  <c r="D17" i="26"/>
  <c r="E17" i="26"/>
  <c r="E16" i="26"/>
  <c r="E15" i="26"/>
  <c r="E14" i="26"/>
  <c r="E13" i="26"/>
  <c r="E12" i="26"/>
  <c r="D19" i="26" l="1"/>
  <c r="D18" i="26" s="1"/>
  <c r="E11" i="26"/>
  <c r="E34" i="25"/>
  <c r="E33" i="25"/>
  <c r="E32" i="25"/>
  <c r="E31" i="25"/>
  <c r="E30" i="25"/>
  <c r="E29" i="25"/>
  <c r="E28" i="25"/>
  <c r="E27" i="25"/>
  <c r="E26" i="25"/>
  <c r="E25" i="25"/>
  <c r="E20" i="25"/>
  <c r="D20" i="25" s="1"/>
  <c r="D19" i="25"/>
  <c r="E10" i="25"/>
  <c r="D10" i="25"/>
  <c r="E11" i="25"/>
  <c r="D11" i="25"/>
  <c r="E17" i="25"/>
  <c r="D17" i="25" s="1"/>
  <c r="E16" i="25"/>
  <c r="E15" i="25"/>
  <c r="E14" i="25"/>
  <c r="E13" i="25"/>
  <c r="D18" i="24"/>
  <c r="E12" i="25"/>
  <c r="D39" i="15"/>
  <c r="D30" i="19"/>
  <c r="D18" i="25" l="1"/>
  <c r="E18" i="25"/>
  <c r="D12" i="24" l="1"/>
  <c r="E21" i="24"/>
  <c r="E18" i="24"/>
  <c r="E20" i="24"/>
  <c r="D20" i="24" s="1"/>
  <c r="E19" i="24"/>
  <c r="E17" i="24"/>
  <c r="D17" i="24" s="1"/>
  <c r="E16" i="24"/>
  <c r="E15" i="24"/>
  <c r="E14" i="24"/>
  <c r="E13" i="24"/>
  <c r="E12" i="24"/>
  <c r="D25" i="24"/>
  <c r="D19" i="24"/>
  <c r="D17" i="23"/>
  <c r="E25" i="24"/>
  <c r="E27" i="24"/>
  <c r="E29" i="24"/>
  <c r="E30" i="24"/>
  <c r="E32" i="24"/>
  <c r="E31" i="24"/>
  <c r="E34" i="24"/>
  <c r="E35" i="23"/>
  <c r="E34" i="23"/>
  <c r="E33" i="23"/>
  <c r="E32" i="23"/>
  <c r="E31" i="23"/>
  <c r="E30" i="23"/>
  <c r="E29" i="23"/>
  <c r="E28" i="23"/>
  <c r="E27" i="23"/>
  <c r="E26" i="23"/>
  <c r="E25" i="23"/>
  <c r="E20" i="23"/>
  <c r="D20" i="23" s="1"/>
  <c r="D19" i="23"/>
  <c r="E10" i="23"/>
  <c r="E11" i="23"/>
  <c r="E16" i="23"/>
  <c r="E15" i="23"/>
  <c r="E14" i="23"/>
  <c r="E13" i="23"/>
  <c r="D25" i="20"/>
  <c r="E34" i="22"/>
  <c r="E33" i="22"/>
  <c r="E32" i="22"/>
  <c r="E31" i="22"/>
  <c r="E30" i="22"/>
  <c r="E29" i="22"/>
  <c r="E28" i="22"/>
  <c r="E27" i="22"/>
  <c r="E26" i="22"/>
  <c r="E25" i="22"/>
  <c r="E20" i="22"/>
  <c r="D20" i="22" s="1"/>
  <c r="D19" i="22"/>
  <c r="E16" i="22"/>
  <c r="E15" i="22"/>
  <c r="E14" i="22"/>
  <c r="E13" i="22"/>
  <c r="E12" i="22"/>
  <c r="F35" i="21"/>
  <c r="F34" i="21"/>
  <c r="F33" i="21"/>
  <c r="F32" i="21"/>
  <c r="F31" i="21"/>
  <c r="F30" i="21"/>
  <c r="F29" i="21"/>
  <c r="F28" i="21"/>
  <c r="F27" i="21"/>
  <c r="F26" i="21"/>
  <c r="F24" i="21" s="1"/>
  <c r="F25" i="21"/>
  <c r="F20" i="21"/>
  <c r="E20" i="21" s="1"/>
  <c r="E19" i="21"/>
  <c r="E17" i="21"/>
  <c r="F16" i="21"/>
  <c r="F15" i="21"/>
  <c r="F14" i="21"/>
  <c r="F13" i="21"/>
  <c r="F12" i="21"/>
  <c r="F10" i="21" s="1"/>
  <c r="D18" i="22" l="1"/>
  <c r="E10" i="24"/>
  <c r="E11" i="24"/>
  <c r="D18" i="23"/>
  <c r="E18" i="23"/>
  <c r="E12" i="21"/>
  <c r="F11" i="21"/>
  <c r="E10" i="22"/>
  <c r="E18" i="22"/>
  <c r="D17" i="22"/>
  <c r="E11" i="22"/>
  <c r="E18" i="21"/>
  <c r="F18" i="21"/>
  <c r="F9" i="21" s="1"/>
  <c r="E52" i="19"/>
  <c r="E52" i="18"/>
  <c r="E52" i="17"/>
  <c r="E52" i="16"/>
  <c r="E52" i="15"/>
  <c r="E51" i="13"/>
  <c r="E34" i="20" l="1"/>
  <c r="E33" i="20"/>
  <c r="E32" i="20"/>
  <c r="E31" i="20"/>
  <c r="E30" i="20"/>
  <c r="E29" i="20"/>
  <c r="E27" i="20"/>
  <c r="E26" i="20"/>
  <c r="E25" i="20"/>
  <c r="E19" i="20" l="1"/>
  <c r="E17" i="20"/>
  <c r="E16" i="20"/>
  <c r="E15" i="20"/>
  <c r="E14" i="20"/>
  <c r="E13" i="20"/>
  <c r="E12" i="20"/>
  <c r="E34" i="19"/>
  <c r="E33" i="19"/>
  <c r="E32" i="19"/>
  <c r="E31" i="19"/>
  <c r="E30" i="19"/>
  <c r="E29" i="19"/>
  <c r="E28" i="19"/>
  <c r="E27" i="19"/>
  <c r="E25" i="19"/>
  <c r="E26" i="19"/>
  <c r="E20" i="19"/>
  <c r="E19" i="19"/>
  <c r="D20" i="19"/>
  <c r="E17" i="19"/>
  <c r="E16" i="19"/>
  <c r="E15" i="19"/>
  <c r="E14" i="19"/>
  <c r="E13" i="19"/>
  <c r="E12" i="19"/>
  <c r="E35" i="18"/>
  <c r="E34" i="18"/>
  <c r="E33" i="18"/>
  <c r="E32" i="18"/>
  <c r="E31" i="18"/>
  <c r="E30" i="18"/>
  <c r="E29" i="18"/>
  <c r="E28" i="18"/>
  <c r="E27" i="18"/>
  <c r="E26" i="18"/>
  <c r="E25" i="18"/>
  <c r="E20" i="18"/>
  <c r="D20" i="18" s="1"/>
  <c r="E19" i="18"/>
  <c r="E18" i="18" s="1"/>
  <c r="E17" i="18"/>
  <c r="D17" i="18"/>
  <c r="E16" i="18"/>
  <c r="E15" i="18"/>
  <c r="E14" i="18"/>
  <c r="E13" i="18"/>
  <c r="E12" i="18"/>
  <c r="E35" i="17"/>
  <c r="E34" i="17"/>
  <c r="E33" i="17"/>
  <c r="E32" i="17"/>
  <c r="E31" i="17"/>
  <c r="E30" i="17"/>
  <c r="E28" i="17"/>
  <c r="E29" i="17"/>
  <c r="E27" i="17"/>
  <c r="E26" i="17"/>
  <c r="E25" i="17"/>
  <c r="D20" i="17"/>
  <c r="E17" i="17"/>
  <c r="D17" i="17" s="1"/>
  <c r="E19" i="17"/>
  <c r="E18" i="17" s="1"/>
  <c r="D18" i="17" s="1"/>
  <c r="D19" i="17"/>
  <c r="E16" i="17"/>
  <c r="E15" i="17"/>
  <c r="E14" i="17"/>
  <c r="E13" i="17"/>
  <c r="E10" i="17" s="1"/>
  <c r="E12" i="17"/>
  <c r="D19" i="18" l="1"/>
  <c r="D18" i="18" s="1"/>
  <c r="D17" i="19"/>
  <c r="D19" i="19"/>
  <c r="D35" i="19"/>
  <c r="E11" i="20"/>
  <c r="D12" i="20"/>
  <c r="D17" i="20"/>
  <c r="D20" i="20"/>
  <c r="D18" i="20" s="1"/>
  <c r="E10" i="20"/>
  <c r="D19" i="20"/>
  <c r="E18" i="20"/>
  <c r="D18" i="19"/>
  <c r="E10" i="19"/>
  <c r="E11" i="19"/>
  <c r="E18" i="19"/>
  <c r="E10" i="18"/>
  <c r="E11" i="18"/>
  <c r="E11" i="17"/>
  <c r="E34" i="16"/>
  <c r="E33" i="16"/>
  <c r="E32" i="16"/>
  <c r="E31" i="16"/>
  <c r="E30" i="16"/>
  <c r="E29" i="16"/>
  <c r="E28" i="16"/>
  <c r="E27" i="15"/>
  <c r="E34" i="14"/>
  <c r="E26" i="14"/>
  <c r="E19" i="13"/>
  <c r="E15" i="13"/>
  <c r="E33" i="13"/>
  <c r="E25" i="13"/>
  <c r="E26" i="13"/>
  <c r="E27" i="16"/>
  <c r="E26" i="16"/>
  <c r="E25" i="16"/>
  <c r="E20" i="16"/>
  <c r="E19" i="16"/>
  <c r="D19" i="16" s="1"/>
  <c r="E17" i="16"/>
  <c r="D17" i="16" s="1"/>
  <c r="E16" i="16"/>
  <c r="E15" i="16"/>
  <c r="E14" i="16"/>
  <c r="E13" i="16"/>
  <c r="E12" i="16"/>
  <c r="E10" i="16" s="1"/>
  <c r="E34" i="15"/>
  <c r="E33" i="15"/>
  <c r="E32" i="15"/>
  <c r="E31" i="15"/>
  <c r="E30" i="15"/>
  <c r="E29" i="15"/>
  <c r="E28" i="15"/>
  <c r="E26" i="15"/>
  <c r="E25" i="15"/>
  <c r="D20" i="15"/>
  <c r="E19" i="15"/>
  <c r="E18" i="15" s="1"/>
  <c r="E17" i="15"/>
  <c r="D17" i="15" s="1"/>
  <c r="D19" i="15"/>
  <c r="E16" i="15"/>
  <c r="E15" i="15"/>
  <c r="E14" i="15"/>
  <c r="E13" i="15"/>
  <c r="E12" i="15"/>
  <c r="E10" i="15" s="1"/>
  <c r="E9" i="15" s="1"/>
  <c r="E33" i="12"/>
  <c r="E32" i="12"/>
  <c r="E30" i="12"/>
  <c r="E28" i="12"/>
  <c r="E27" i="12"/>
  <c r="E25" i="12"/>
  <c r="E23" i="12"/>
  <c r="E18" i="12"/>
  <c r="D18" i="12" s="1"/>
  <c r="D17" i="12"/>
  <c r="D16" i="12" s="1"/>
  <c r="E17" i="12"/>
  <c r="E10" i="12"/>
  <c r="E15" i="12"/>
  <c r="E13" i="12"/>
  <c r="E14" i="12"/>
  <c r="E12" i="12"/>
  <c r="E11" i="12" s="1"/>
  <c r="E16" i="12" l="1"/>
  <c r="D18" i="15"/>
  <c r="E9" i="20"/>
  <c r="E18" i="16"/>
  <c r="D20" i="16"/>
  <c r="D18" i="16" s="1"/>
  <c r="E11" i="16"/>
  <c r="E11" i="15"/>
  <c r="E30" i="11" l="1"/>
  <c r="E29" i="11"/>
  <c r="E28" i="11"/>
  <c r="E27" i="11"/>
  <c r="E26" i="11"/>
  <c r="E25" i="11"/>
  <c r="E23" i="11"/>
  <c r="E18" i="11"/>
  <c r="D17" i="11"/>
  <c r="D15" i="11"/>
  <c r="E15" i="11"/>
  <c r="E14" i="11"/>
  <c r="E16" i="11" l="1"/>
  <c r="D16" i="11"/>
  <c r="E12" i="11" l="1"/>
  <c r="E25" i="14"/>
  <c r="E10" i="11" l="1"/>
  <c r="E11" i="11"/>
  <c r="E27" i="14"/>
  <c r="E28" i="14"/>
  <c r="E29" i="14"/>
  <c r="E30" i="14"/>
  <c r="E31" i="14"/>
  <c r="E32" i="14"/>
  <c r="E33" i="14"/>
  <c r="E24" i="14"/>
  <c r="E19" i="14"/>
  <c r="E17" i="14" s="1"/>
  <c r="E18" i="14"/>
  <c r="D18" i="14" s="1"/>
  <c r="E16" i="14"/>
  <c r="D16" i="14" s="1"/>
  <c r="E15" i="14"/>
  <c r="E14" i="14"/>
  <c r="E13" i="14"/>
  <c r="E12" i="14"/>
  <c r="E11" i="14"/>
  <c r="E32" i="13"/>
  <c r="E31" i="13"/>
  <c r="E30" i="13"/>
  <c r="E29" i="13"/>
  <c r="E28" i="13"/>
  <c r="E27" i="13"/>
  <c r="E24" i="13"/>
  <c r="D19" i="13"/>
  <c r="D18" i="13"/>
  <c r="E14" i="13"/>
  <c r="E13" i="13"/>
  <c r="E12" i="13"/>
  <c r="E11" i="13"/>
  <c r="E10" i="13" s="1"/>
  <c r="E10" i="14" l="1"/>
  <c r="E9" i="14" s="1"/>
  <c r="E8" i="14" s="1"/>
  <c r="E9" i="13"/>
  <c r="D19" i="14"/>
  <c r="D17" i="14" s="1"/>
  <c r="D16" i="13"/>
  <c r="E17" i="13"/>
  <c r="D17" i="13"/>
  <c r="D48" i="9" l="1"/>
  <c r="D47" i="9"/>
  <c r="D46" i="9"/>
  <c r="D45" i="9"/>
  <c r="E44" i="9"/>
  <c r="D43" i="9"/>
  <c r="D41" i="9"/>
  <c r="D40" i="9"/>
  <c r="D39" i="9"/>
  <c r="D38" i="9"/>
  <c r="D37" i="9"/>
  <c r="D36" i="9"/>
  <c r="D35" i="9"/>
  <c r="D34" i="9"/>
  <c r="D44" i="9" l="1"/>
  <c r="E15" i="9" l="1"/>
  <c r="D14" i="9"/>
  <c r="D16" i="9"/>
  <c r="D17" i="9"/>
  <c r="E30" i="6"/>
  <c r="E29" i="6"/>
  <c r="E28" i="6"/>
  <c r="E27" i="6"/>
  <c r="E26" i="6"/>
  <c r="E25" i="6"/>
  <c r="E21" i="6"/>
  <c r="E23" i="6"/>
  <c r="E24" i="6"/>
  <c r="D15" i="9" l="1"/>
  <c r="E11" i="9"/>
  <c r="E10" i="9" s="1"/>
  <c r="E9" i="9" s="1"/>
  <c r="D17" i="6"/>
  <c r="D9" i="6"/>
  <c r="E9" i="6"/>
  <c r="D14" i="6"/>
  <c r="E14" i="6"/>
  <c r="E15" i="6"/>
  <c r="D15" i="6" s="1"/>
  <c r="E16" i="6"/>
  <c r="D16" i="6" s="1"/>
  <c r="E10" i="6"/>
  <c r="D10" i="6"/>
  <c r="E11" i="6"/>
  <c r="D11" i="6"/>
  <c r="E13" i="6"/>
  <c r="D13" i="6" s="1"/>
  <c r="E12" i="6"/>
  <c r="D15" i="8" l="1"/>
  <c r="D9" i="8" s="1"/>
  <c r="D20" i="8" s="1"/>
  <c r="D16" i="8"/>
  <c r="D38" i="8"/>
  <c r="D37" i="8"/>
  <c r="D33" i="8"/>
  <c r="E20" i="8"/>
  <c r="E39" i="8"/>
  <c r="E38" i="8"/>
  <c r="E37" i="8"/>
  <c r="E36" i="8"/>
  <c r="E34" i="8"/>
  <c r="E33" i="8"/>
  <c r="E32" i="8"/>
  <c r="E31" i="8"/>
  <c r="E30" i="8"/>
  <c r="E29" i="8"/>
  <c r="E28" i="8"/>
  <c r="E27" i="8"/>
  <c r="E26" i="8"/>
  <c r="E25" i="8"/>
  <c r="E24" i="8"/>
  <c r="E19" i="8"/>
  <c r="E16" i="7"/>
  <c r="E9" i="8"/>
  <c r="D17" i="8"/>
  <c r="E15" i="8"/>
  <c r="E17" i="8"/>
  <c r="E16" i="8"/>
  <c r="E14" i="8"/>
  <c r="E10" i="8" s="1"/>
  <c r="D11" i="8"/>
  <c r="E13" i="8"/>
  <c r="E12" i="8"/>
  <c r="D14" i="8" l="1"/>
  <c r="D10" i="8" s="1"/>
  <c r="E32" i="7" l="1"/>
  <c r="E33" i="7"/>
  <c r="E36" i="7" l="1"/>
  <c r="D17" i="7"/>
  <c r="D19" i="7"/>
  <c r="D12" i="7"/>
  <c r="D29" i="7"/>
  <c r="D32" i="7"/>
  <c r="E39" i="7" l="1"/>
  <c r="E38" i="7"/>
  <c r="E37" i="7"/>
  <c r="E31" i="7"/>
  <c r="E30" i="7" l="1"/>
  <c r="E29" i="7"/>
  <c r="E28" i="7"/>
  <c r="E27" i="7"/>
  <c r="E26" i="7"/>
  <c r="E25" i="7"/>
  <c r="E24" i="7"/>
  <c r="E28" i="4"/>
  <c r="E27" i="4"/>
  <c r="E26" i="4"/>
  <c r="E25" i="4"/>
  <c r="E32" i="5"/>
  <c r="E31" i="5"/>
  <c r="E30" i="5"/>
  <c r="E29" i="5"/>
  <c r="E9" i="7"/>
  <c r="E19" i="7"/>
  <c r="E17" i="7"/>
  <c r="E15" i="7"/>
  <c r="E10" i="7"/>
  <c r="D14" i="7"/>
  <c r="E14" i="7"/>
  <c r="E13" i="7"/>
  <c r="E12" i="7"/>
  <c r="E9" i="4" l="1"/>
  <c r="E10" i="4"/>
  <c r="D9" i="4"/>
  <c r="D10" i="4"/>
  <c r="E34" i="4"/>
  <c r="E31" i="4"/>
  <c r="E30" i="4"/>
  <c r="E12" i="4"/>
  <c r="E18" i="4" l="1"/>
  <c r="D18" i="4" s="1"/>
  <c r="D17" i="4"/>
  <c r="E17" i="4"/>
  <c r="E11" i="4"/>
  <c r="D15" i="4"/>
  <c r="E15" i="4"/>
  <c r="D14" i="4"/>
  <c r="E14" i="4"/>
  <c r="E13" i="4"/>
  <c r="E13" i="5"/>
  <c r="E38" i="5"/>
  <c r="E36" i="5"/>
  <c r="E37" i="5"/>
  <c r="E35" i="5"/>
  <c r="E34" i="5"/>
  <c r="E33" i="5"/>
  <c r="E16" i="4" l="1"/>
  <c r="D16" i="4" s="1"/>
  <c r="E22" i="5" l="1"/>
  <c r="E21" i="5"/>
  <c r="E19" i="5"/>
  <c r="E18" i="5"/>
  <c r="E17" i="5" l="1"/>
  <c r="E16" i="5" l="1"/>
  <c r="E15" i="5" s="1"/>
  <c r="E14" i="5" s="1"/>
  <c r="E28" i="5" l="1"/>
  <c r="D22" i="5" l="1"/>
  <c r="D21" i="5"/>
  <c r="D19" i="5"/>
  <c r="E37" i="4" l="1"/>
  <c r="E41" i="5" l="1"/>
  <c r="E37" i="22" l="1"/>
  <c r="D28" i="6" l="1"/>
  <c r="D57" i="33" l="1"/>
  <c r="D57" i="31"/>
  <c r="D54" i="31" l="1"/>
  <c r="D60" i="27"/>
  <c r="E55" i="16"/>
  <c r="D14" i="16" l="1"/>
  <c r="D13" i="8"/>
  <c r="D12" i="8"/>
  <c r="E48" i="22"/>
  <c r="E48" i="27"/>
  <c r="E48" i="26"/>
  <c r="E48" i="25"/>
  <c r="E48" i="24"/>
  <c r="E48" i="23"/>
  <c r="F48" i="21"/>
  <c r="E48" i="20"/>
  <c r="E48" i="19"/>
  <c r="E48" i="18"/>
  <c r="E48" i="17"/>
  <c r="E48" i="16"/>
  <c r="E48" i="15"/>
  <c r="E49" i="29"/>
  <c r="E47" i="29"/>
  <c r="D47" i="29" s="1"/>
  <c r="D26" i="29"/>
  <c r="D32" i="29"/>
  <c r="D33" i="29"/>
  <c r="D24" i="29"/>
  <c r="D34" i="29"/>
  <c r="D31" i="29"/>
  <c r="D30" i="29"/>
  <c r="D29" i="29"/>
  <c r="D28" i="29"/>
  <c r="D27" i="29"/>
  <c r="D25" i="29"/>
  <c r="E53" i="29"/>
  <c r="D53" i="29" s="1"/>
  <c r="E52" i="29"/>
  <c r="D52" i="29" s="1"/>
  <c r="E51" i="29"/>
  <c r="E48" i="29"/>
  <c r="D48" i="29" s="1"/>
  <c r="E46" i="29"/>
  <c r="D46" i="29" s="1"/>
  <c r="E45" i="29"/>
  <c r="D45" i="29" s="1"/>
  <c r="E44" i="29"/>
  <c r="D44" i="29" s="1"/>
  <c r="E43" i="29"/>
  <c r="D43" i="29" s="1"/>
  <c r="E42" i="29"/>
  <c r="D42" i="29" s="1"/>
  <c r="E41" i="29"/>
  <c r="D40" i="29"/>
  <c r="E39" i="29"/>
  <c r="D39" i="29" s="1"/>
  <c r="E38" i="29"/>
  <c r="D38" i="29" s="1"/>
  <c r="E37" i="29"/>
  <c r="D37" i="29" s="1"/>
  <c r="E36" i="29"/>
  <c r="E11" i="8" l="1"/>
  <c r="D13" i="7"/>
  <c r="E11" i="7"/>
  <c r="D36" i="29"/>
  <c r="D41" i="29"/>
  <c r="D15" i="29"/>
  <c r="D14" i="29"/>
  <c r="D13" i="29"/>
  <c r="D12" i="29"/>
  <c r="D11" i="29"/>
  <c r="D9" i="29" l="1"/>
  <c r="D8" i="29" s="1"/>
  <c r="D20" i="29" s="1"/>
  <c r="D10" i="29"/>
  <c r="D35" i="29"/>
  <c r="D23" i="29"/>
  <c r="D22" i="29" s="1"/>
  <c r="D50" i="29"/>
  <c r="E8" i="29"/>
  <c r="E20" i="29" s="1"/>
  <c r="E35" i="29"/>
  <c r="E23" i="29"/>
  <c r="E22" i="29" s="1"/>
  <c r="E50" i="29"/>
  <c r="E51" i="5"/>
  <c r="E53" i="5"/>
  <c r="E50" i="5"/>
  <c r="E52" i="5"/>
  <c r="E54" i="5"/>
  <c r="E55" i="5"/>
  <c r="E48" i="5"/>
  <c r="E47" i="5"/>
  <c r="E46" i="5"/>
  <c r="E45" i="5"/>
  <c r="E44" i="5"/>
  <c r="E43" i="5"/>
  <c r="E42" i="5"/>
  <c r="E54" i="29" l="1"/>
  <c r="E55" i="29" s="1"/>
  <c r="D54" i="29"/>
  <c r="D55" i="29" s="1"/>
  <c r="E57" i="29" l="1"/>
  <c r="E56" i="29"/>
  <c r="D57" i="29"/>
  <c r="D56" i="29"/>
  <c r="E38" i="4"/>
  <c r="E39" i="4"/>
  <c r="E40" i="4"/>
  <c r="E41" i="4"/>
  <c r="E42" i="4"/>
  <c r="E43" i="4"/>
  <c r="E44" i="4"/>
  <c r="E46" i="4"/>
  <c r="E47" i="4"/>
  <c r="E48" i="4"/>
  <c r="E49" i="4"/>
  <c r="E50" i="4"/>
  <c r="E51" i="4"/>
  <c r="E24" i="5"/>
  <c r="D59" i="29" l="1"/>
  <c r="D18" i="5"/>
  <c r="D17" i="5"/>
  <c r="D16" i="5"/>
  <c r="D13" i="4"/>
  <c r="D15" i="5" l="1"/>
  <c r="D14" i="5" s="1"/>
  <c r="D39" i="5"/>
  <c r="D38" i="5"/>
  <c r="D33" i="5"/>
  <c r="D31" i="5"/>
  <c r="D29" i="5"/>
  <c r="D32" i="5"/>
  <c r="D34" i="5"/>
  <c r="D35" i="5"/>
  <c r="D36" i="5"/>
  <c r="D37" i="5"/>
  <c r="D24" i="5"/>
  <c r="D28" i="5" l="1"/>
  <c r="D27" i="5" s="1"/>
  <c r="D22" i="6" l="1"/>
  <c r="D25" i="6"/>
  <c r="D26" i="6"/>
  <c r="D29" i="6"/>
  <c r="D30" i="6"/>
  <c r="D31" i="6"/>
  <c r="D12" i="6"/>
  <c r="D27" i="6"/>
  <c r="D24" i="6"/>
  <c r="D23" i="6"/>
  <c r="E20" i="6"/>
  <c r="E19" i="6" s="1"/>
  <c r="D21" i="6" l="1"/>
  <c r="D20" i="6" s="1"/>
  <c r="D19" i="6" s="1"/>
  <c r="E44" i="6" l="1"/>
  <c r="D44" i="6" s="1"/>
  <c r="E43" i="6"/>
  <c r="D43" i="6" s="1"/>
  <c r="E42" i="6"/>
  <c r="D42" i="6" s="1"/>
  <c r="E41" i="6"/>
  <c r="D41" i="6" s="1"/>
  <c r="E39" i="6"/>
  <c r="D39" i="6" s="1"/>
  <c r="E38" i="6"/>
  <c r="D38" i="6" s="1"/>
  <c r="E37" i="6"/>
  <c r="D37" i="6" s="1"/>
  <c r="E36" i="6"/>
  <c r="D36" i="6" s="1"/>
  <c r="E35" i="6"/>
  <c r="D35" i="6" s="1"/>
  <c r="E34" i="6"/>
  <c r="D34" i="6" s="1"/>
  <c r="E33" i="6"/>
  <c r="D33" i="6" s="1"/>
  <c r="D15" i="12" l="1"/>
  <c r="D60" i="15"/>
  <c r="D60" i="17"/>
  <c r="D60" i="18"/>
  <c r="D60" i="19"/>
  <c r="D59" i="20"/>
  <c r="E26" i="21"/>
  <c r="E59" i="21"/>
  <c r="D59" i="22"/>
  <c r="D34" i="14"/>
  <c r="D15" i="14"/>
  <c r="D11" i="14"/>
  <c r="D14" i="14"/>
  <c r="D13" i="14"/>
  <c r="D12" i="14"/>
  <c r="D29" i="14"/>
  <c r="D28" i="14"/>
  <c r="D27" i="14"/>
  <c r="D26" i="14"/>
  <c r="D25" i="14"/>
  <c r="D24" i="14"/>
  <c r="D33" i="14"/>
  <c r="E36" i="14"/>
  <c r="D36" i="14" s="1"/>
  <c r="E40" i="14"/>
  <c r="D40" i="14" s="1"/>
  <c r="E39" i="14"/>
  <c r="E38" i="14"/>
  <c r="D38" i="14" s="1"/>
  <c r="E37" i="14"/>
  <c r="D37" i="14" s="1"/>
  <c r="E44" i="14"/>
  <c r="D44" i="14" s="1"/>
  <c r="E43" i="14"/>
  <c r="D43" i="14" s="1"/>
  <c r="E42" i="14"/>
  <c r="D42" i="14" s="1"/>
  <c r="E41" i="14"/>
  <c r="D41" i="14" s="1"/>
  <c r="E48" i="14"/>
  <c r="D48" i="14" s="1"/>
  <c r="E47" i="14"/>
  <c r="D47" i="14" s="1"/>
  <c r="D46" i="14"/>
  <c r="E45" i="14"/>
  <c r="D45" i="14" s="1"/>
  <c r="E49" i="14"/>
  <c r="D49" i="14" s="1"/>
  <c r="E53" i="14"/>
  <c r="D53" i="14" s="1"/>
  <c r="E52" i="14"/>
  <c r="E51" i="14"/>
  <c r="D51" i="14" s="1"/>
  <c r="D10" i="14" l="1"/>
  <c r="D9" i="14" s="1"/>
  <c r="D31" i="14"/>
  <c r="D30" i="14"/>
  <c r="E47" i="13"/>
  <c r="D47" i="13" s="1"/>
  <c r="D8" i="14" l="1"/>
  <c r="D20" i="14" s="1"/>
  <c r="E50" i="14"/>
  <c r="D23" i="14"/>
  <c r="D22" i="14" s="1"/>
  <c r="E23" i="14"/>
  <c r="E20" i="14"/>
  <c r="E35" i="14"/>
  <c r="D14" i="41"/>
  <c r="D14" i="42"/>
  <c r="D55" i="44"/>
  <c r="D41" i="44"/>
  <c r="D52" i="44"/>
  <c r="E49" i="44"/>
  <c r="D49" i="44" s="1"/>
  <c r="E48" i="44"/>
  <c r="D48" i="44" s="1"/>
  <c r="E46" i="44"/>
  <c r="D46" i="44" s="1"/>
  <c r="E45" i="44"/>
  <c r="E44" i="44"/>
  <c r="D44" i="44" s="1"/>
  <c r="E43" i="44"/>
  <c r="D43" i="44" s="1"/>
  <c r="E42" i="44"/>
  <c r="D42" i="44" s="1"/>
  <c r="E41" i="44"/>
  <c r="E40" i="44"/>
  <c r="D40" i="44" s="1"/>
  <c r="E39" i="44"/>
  <c r="D39" i="44" s="1"/>
  <c r="E38" i="44"/>
  <c r="D38" i="44" s="1"/>
  <c r="E37" i="44"/>
  <c r="D37" i="44" s="1"/>
  <c r="E36" i="44"/>
  <c r="D36" i="44" s="1"/>
  <c r="D33" i="44"/>
  <c r="D31" i="44"/>
  <c r="D30" i="44"/>
  <c r="D28" i="44"/>
  <c r="D27" i="44"/>
  <c r="D26" i="44"/>
  <c r="D25" i="44"/>
  <c r="D23" i="44"/>
  <c r="D15" i="44"/>
  <c r="D14" i="44"/>
  <c r="D12" i="44"/>
  <c r="E46" i="43"/>
  <c r="D34" i="43"/>
  <c r="D23" i="43"/>
  <c r="D52" i="43"/>
  <c r="D31" i="43"/>
  <c r="D27" i="43"/>
  <c r="D24" i="43"/>
  <c r="D25" i="43"/>
  <c r="D26" i="43"/>
  <c r="D28" i="43"/>
  <c r="D30" i="43"/>
  <c r="D32" i="43"/>
  <c r="D33" i="43"/>
  <c r="D11" i="44" l="1"/>
  <c r="D10" i="44"/>
  <c r="D15" i="42"/>
  <c r="D50" i="14"/>
  <c r="D35" i="14"/>
  <c r="E22" i="14"/>
  <c r="E54" i="14" s="1"/>
  <c r="E55" i="14" s="1"/>
  <c r="D34" i="44"/>
  <c r="D22" i="44"/>
  <c r="E47" i="44"/>
  <c r="D47" i="44"/>
  <c r="E22" i="44"/>
  <c r="E35" i="44"/>
  <c r="E10" i="44"/>
  <c r="E9" i="44" s="1"/>
  <c r="E19" i="44" s="1"/>
  <c r="E49" i="43"/>
  <c r="D49" i="43" s="1"/>
  <c r="E48" i="43"/>
  <c r="D48" i="43" s="1"/>
  <c r="E45" i="43"/>
  <c r="D45" i="43" s="1"/>
  <c r="E44" i="43"/>
  <c r="D44" i="43" s="1"/>
  <c r="E43" i="43"/>
  <c r="D43" i="43" s="1"/>
  <c r="E42" i="43"/>
  <c r="D42" i="43" s="1"/>
  <c r="E41" i="43"/>
  <c r="D41" i="43" s="1"/>
  <c r="E40" i="43"/>
  <c r="E39" i="43"/>
  <c r="D39" i="43" s="1"/>
  <c r="E38" i="43"/>
  <c r="D38" i="43" s="1"/>
  <c r="E37" i="43"/>
  <c r="D37" i="43" s="1"/>
  <c r="E36" i="43"/>
  <c r="D36" i="43" s="1"/>
  <c r="D15" i="43"/>
  <c r="D14" i="43"/>
  <c r="D13" i="43"/>
  <c r="E10" i="43" l="1"/>
  <c r="D12" i="43"/>
  <c r="D54" i="14"/>
  <c r="D55" i="14" s="1"/>
  <c r="D57" i="14" s="1"/>
  <c r="E57" i="14"/>
  <c r="E56" i="14"/>
  <c r="D21" i="44"/>
  <c r="D35" i="44"/>
  <c r="D9" i="44"/>
  <c r="D19" i="44" s="1"/>
  <c r="E21" i="44"/>
  <c r="E50" i="44" l="1"/>
  <c r="D50" i="44"/>
  <c r="D51" i="44" s="1"/>
  <c r="D10" i="43"/>
  <c r="D11" i="43"/>
  <c r="D56" i="14"/>
  <c r="D59" i="14"/>
  <c r="E19" i="43"/>
  <c r="D56" i="42"/>
  <c r="D53" i="42"/>
  <c r="D13" i="42"/>
  <c r="D34" i="42"/>
  <c r="D33" i="42"/>
  <c r="D32" i="42"/>
  <c r="D31" i="42"/>
  <c r="D30" i="42"/>
  <c r="D29" i="42"/>
  <c r="D28" i="42"/>
  <c r="D27" i="42"/>
  <c r="D26" i="42"/>
  <c r="D25" i="42"/>
  <c r="E36" i="42"/>
  <c r="E45" i="42"/>
  <c r="E44" i="42"/>
  <c r="E43" i="42"/>
  <c r="D43" i="42" s="1"/>
  <c r="E42" i="42"/>
  <c r="D42" i="42" s="1"/>
  <c r="E41" i="42"/>
  <c r="D41" i="42" s="1"/>
  <c r="E40" i="42"/>
  <c r="D40" i="42" s="1"/>
  <c r="E39" i="42"/>
  <c r="E38" i="42"/>
  <c r="D38" i="42" s="1"/>
  <c r="E37" i="42"/>
  <c r="D37" i="42" s="1"/>
  <c r="E50" i="42"/>
  <c r="D49" i="42"/>
  <c r="E48" i="42"/>
  <c r="D48" i="42" s="1"/>
  <c r="E47" i="42"/>
  <c r="D56" i="41"/>
  <c r="E42" i="41"/>
  <c r="E44" i="41"/>
  <c r="D53" i="41"/>
  <c r="D34" i="41"/>
  <c r="E51" i="44" l="1"/>
  <c r="D47" i="42"/>
  <c r="D46" i="42" s="1"/>
  <c r="D50" i="42"/>
  <c r="D44" i="42"/>
  <c r="E10" i="42"/>
  <c r="E9" i="42" s="1"/>
  <c r="E19" i="42" s="1"/>
  <c r="D12" i="42"/>
  <c r="D39" i="42"/>
  <c r="D36" i="42"/>
  <c r="D19" i="43"/>
  <c r="E22" i="43"/>
  <c r="D22" i="43"/>
  <c r="D21" i="43" s="1"/>
  <c r="D47" i="43"/>
  <c r="D35" i="43"/>
  <c r="E35" i="43"/>
  <c r="E47" i="43"/>
  <c r="D22" i="42"/>
  <c r="D21" i="42" s="1"/>
  <c r="E35" i="42"/>
  <c r="E46" i="42"/>
  <c r="E22" i="42"/>
  <c r="D23" i="41"/>
  <c r="D24" i="41"/>
  <c r="D25" i="41"/>
  <c r="D26" i="41"/>
  <c r="D27" i="41"/>
  <c r="D28" i="41"/>
  <c r="D29" i="41"/>
  <c r="D31" i="41"/>
  <c r="D30" i="41"/>
  <c r="D53" i="44" l="1"/>
  <c r="D56" i="44"/>
  <c r="D11" i="42"/>
  <c r="D10" i="42"/>
  <c r="D9" i="42" s="1"/>
  <c r="D19" i="42" s="1"/>
  <c r="E21" i="43"/>
  <c r="D50" i="43"/>
  <c r="D51" i="43" s="1"/>
  <c r="D35" i="42"/>
  <c r="D51" i="42" s="1"/>
  <c r="E21" i="42"/>
  <c r="E51" i="42" s="1"/>
  <c r="E52" i="42" s="1"/>
  <c r="D33" i="41"/>
  <c r="E50" i="43" l="1"/>
  <c r="D52" i="42"/>
  <c r="D57" i="42"/>
  <c r="D54" i="42"/>
  <c r="E51" i="43" l="1"/>
  <c r="D32" i="41"/>
  <c r="D53" i="43" l="1"/>
  <c r="D56" i="43"/>
  <c r="E47" i="41"/>
  <c r="E48" i="41"/>
  <c r="E50" i="41"/>
  <c r="E45" i="41"/>
  <c r="E43" i="41"/>
  <c r="E41" i="41"/>
  <c r="E40" i="41"/>
  <c r="E39" i="41"/>
  <c r="E38" i="41"/>
  <c r="E37" i="41"/>
  <c r="E36" i="41"/>
  <c r="D13" i="41"/>
  <c r="E39" i="40"/>
  <c r="D39" i="40" s="1"/>
  <c r="E42" i="40"/>
  <c r="D42" i="40" s="1"/>
  <c r="D31" i="40"/>
  <c r="D57" i="40"/>
  <c r="D54" i="40"/>
  <c r="D35" i="40"/>
  <c r="E51" i="40"/>
  <c r="D51" i="40" s="1"/>
  <c r="E50" i="40"/>
  <c r="E49" i="40"/>
  <c r="D49" i="40" s="1"/>
  <c r="E46" i="40"/>
  <c r="D46" i="40" s="1"/>
  <c r="D45" i="40"/>
  <c r="E44" i="40"/>
  <c r="D44" i="40" s="1"/>
  <c r="E43" i="40"/>
  <c r="D43" i="40" s="1"/>
  <c r="E41" i="40"/>
  <c r="D41" i="40" s="1"/>
  <c r="E40" i="40"/>
  <c r="E38" i="40"/>
  <c r="E37" i="40"/>
  <c r="D37" i="40" s="1"/>
  <c r="D34" i="40"/>
  <c r="D33" i="40"/>
  <c r="D32" i="40"/>
  <c r="D30" i="40"/>
  <c r="D29" i="40"/>
  <c r="D28" i="40"/>
  <c r="D27" i="40"/>
  <c r="D26" i="40"/>
  <c r="D25" i="40"/>
  <c r="E20" i="40"/>
  <c r="D20" i="40" s="1"/>
  <c r="D19" i="40" s="1"/>
  <c r="D14" i="40"/>
  <c r="D13" i="40"/>
  <c r="D12" i="40"/>
  <c r="D12" i="39"/>
  <c r="D31" i="39"/>
  <c r="D57" i="39"/>
  <c r="E46" i="39"/>
  <c r="D46" i="39" s="1"/>
  <c r="E45" i="39"/>
  <c r="D45" i="39" s="1"/>
  <c r="E44" i="39"/>
  <c r="D44" i="39" s="1"/>
  <c r="E43" i="39"/>
  <c r="D43" i="39" s="1"/>
  <c r="E42" i="39"/>
  <c r="D42" i="39" s="1"/>
  <c r="E41" i="39"/>
  <c r="D41" i="39" s="1"/>
  <c r="E40" i="39"/>
  <c r="D40" i="39" s="1"/>
  <c r="E39" i="39"/>
  <c r="D39" i="39" s="1"/>
  <c r="E38" i="39"/>
  <c r="D38" i="39" s="1"/>
  <c r="E37" i="39"/>
  <c r="D37" i="39" s="1"/>
  <c r="D35" i="39"/>
  <c r="D34" i="39"/>
  <c r="D33" i="39"/>
  <c r="D32" i="39"/>
  <c r="D30" i="39"/>
  <c r="D29" i="39"/>
  <c r="D28" i="39"/>
  <c r="D27" i="39"/>
  <c r="D26" i="39"/>
  <c r="D25" i="39"/>
  <c r="E20" i="39"/>
  <c r="D20" i="39" s="1"/>
  <c r="D14" i="39"/>
  <c r="D13" i="39"/>
  <c r="E51" i="39"/>
  <c r="D51" i="39" s="1"/>
  <c r="E50" i="39"/>
  <c r="D50" i="39" s="1"/>
  <c r="E49" i="39"/>
  <c r="D49" i="39" s="1"/>
  <c r="E47" i="39"/>
  <c r="D47" i="39" s="1"/>
  <c r="E48" i="39"/>
  <c r="D54" i="39"/>
  <c r="D35" i="37"/>
  <c r="D31" i="38"/>
  <c r="D31" i="37"/>
  <c r="D47" i="38"/>
  <c r="D57" i="38"/>
  <c r="D54" i="38"/>
  <c r="E51" i="38"/>
  <c r="E50" i="38"/>
  <c r="E49" i="38"/>
  <c r="E47" i="38"/>
  <c r="E46" i="38"/>
  <c r="D46" i="38" s="1"/>
  <c r="E45" i="38"/>
  <c r="D45" i="38" s="1"/>
  <c r="E44" i="38"/>
  <c r="D44" i="38" s="1"/>
  <c r="E43" i="38"/>
  <c r="D43" i="38" s="1"/>
  <c r="E42" i="38"/>
  <c r="D42" i="38" s="1"/>
  <c r="E41" i="38"/>
  <c r="D41" i="38" s="1"/>
  <c r="E40" i="38"/>
  <c r="E37" i="38"/>
  <c r="D37" i="38" s="1"/>
  <c r="E39" i="38"/>
  <c r="D39" i="38" s="1"/>
  <c r="E38" i="38"/>
  <c r="D34" i="38"/>
  <c r="D33" i="38"/>
  <c r="D32" i="38"/>
  <c r="D30" i="38"/>
  <c r="D29" i="38"/>
  <c r="D28" i="38"/>
  <c r="D27" i="38"/>
  <c r="D26" i="38"/>
  <c r="D25" i="38"/>
  <c r="E20" i="38"/>
  <c r="D57" i="37"/>
  <c r="D54" i="37"/>
  <c r="D10" i="39" l="1"/>
  <c r="D9" i="39" s="1"/>
  <c r="D21" i="39" s="1"/>
  <c r="D19" i="39" s="1"/>
  <c r="D11" i="39"/>
  <c r="D20" i="38"/>
  <c r="D19" i="38" s="1"/>
  <c r="D21" i="38" s="1"/>
  <c r="E19" i="38"/>
  <c r="D11" i="40"/>
  <c r="D10" i="40"/>
  <c r="D9" i="40" s="1"/>
  <c r="D12" i="41"/>
  <c r="D9" i="41" s="1"/>
  <c r="D19" i="41" s="1"/>
  <c r="E10" i="41"/>
  <c r="E9" i="41" s="1"/>
  <c r="E19" i="41" s="1"/>
  <c r="E24" i="39"/>
  <c r="E23" i="39" s="1"/>
  <c r="D49" i="38"/>
  <c r="D51" i="38"/>
  <c r="D35" i="38"/>
  <c r="D44" i="41"/>
  <c r="D36" i="41"/>
  <c r="D37" i="41"/>
  <c r="D45" i="41"/>
  <c r="D42" i="41"/>
  <c r="D38" i="41"/>
  <c r="D50" i="41"/>
  <c r="D39" i="41"/>
  <c r="D49" i="41"/>
  <c r="D40" i="41"/>
  <c r="D48" i="41"/>
  <c r="D43" i="41"/>
  <c r="D41" i="41"/>
  <c r="D47" i="41"/>
  <c r="E46" i="41"/>
  <c r="E35" i="41"/>
  <c r="E22" i="41"/>
  <c r="D22" i="41"/>
  <c r="D21" i="41" s="1"/>
  <c r="D47" i="40"/>
  <c r="E24" i="40"/>
  <c r="E23" i="40" s="1"/>
  <c r="D24" i="40"/>
  <c r="D23" i="40" s="1"/>
  <c r="E36" i="40"/>
  <c r="D48" i="40"/>
  <c r="E48" i="40"/>
  <c r="E36" i="39"/>
  <c r="D24" i="39"/>
  <c r="D23" i="39" s="1"/>
  <c r="D36" i="39"/>
  <c r="E9" i="39"/>
  <c r="D46" i="41" l="1"/>
  <c r="D35" i="41"/>
  <c r="E21" i="41"/>
  <c r="E51" i="41" s="1"/>
  <c r="E52" i="41" s="1"/>
  <c r="D51" i="41"/>
  <c r="D52" i="41" s="1"/>
  <c r="D36" i="40"/>
  <c r="D52" i="40" s="1"/>
  <c r="D53" i="40" s="1"/>
  <c r="E52" i="40"/>
  <c r="E52" i="39"/>
  <c r="D48" i="39"/>
  <c r="D52" i="39" s="1"/>
  <c r="D53" i="39" s="1"/>
  <c r="E21" i="39"/>
  <c r="E19" i="39" s="1"/>
  <c r="D54" i="41" l="1"/>
  <c r="D57" i="41"/>
  <c r="E53" i="40"/>
  <c r="E53" i="39"/>
  <c r="D55" i="40" l="1"/>
  <c r="D58" i="40"/>
  <c r="D58" i="39"/>
  <c r="D55" i="39"/>
  <c r="D37" i="37" l="1"/>
  <c r="D20" i="37"/>
  <c r="D19" i="37" s="1"/>
  <c r="E9" i="38" l="1"/>
  <c r="E21" i="38" s="1"/>
  <c r="E36" i="38"/>
  <c r="D24" i="38"/>
  <c r="D23" i="38" s="1"/>
  <c r="E24" i="38"/>
  <c r="D48" i="38"/>
  <c r="E48" i="38"/>
  <c r="D12" i="37"/>
  <c r="D36" i="38" l="1"/>
  <c r="D52" i="38" s="1"/>
  <c r="E23" i="38"/>
  <c r="E52" i="38" s="1"/>
  <c r="E53" i="38" s="1"/>
  <c r="D51" i="37"/>
  <c r="D50" i="37"/>
  <c r="D47" i="37"/>
  <c r="D46" i="37"/>
  <c r="D45" i="37"/>
  <c r="D44" i="37"/>
  <c r="D43" i="37"/>
  <c r="D42" i="37"/>
  <c r="D41" i="37"/>
  <c r="D40" i="37"/>
  <c r="D39" i="37"/>
  <c r="D38" i="37"/>
  <c r="D34" i="37"/>
  <c r="D33" i="37"/>
  <c r="D32" i="37"/>
  <c r="D30" i="37"/>
  <c r="D29" i="37"/>
  <c r="D28" i="37"/>
  <c r="D27" i="37"/>
  <c r="D26" i="37"/>
  <c r="D25" i="37"/>
  <c r="D14" i="37"/>
  <c r="D13" i="37"/>
  <c r="D11" i="37" l="1"/>
  <c r="D10" i="37"/>
  <c r="D55" i="38"/>
  <c r="D58" i="38"/>
  <c r="D24" i="37" l="1"/>
  <c r="D23" i="37" s="1"/>
  <c r="E9" i="37"/>
  <c r="E21" i="37" s="1"/>
  <c r="E24" i="37"/>
  <c r="D48" i="37"/>
  <c r="D9" i="37"/>
  <c r="D21" i="37" s="1"/>
  <c r="E48" i="37"/>
  <c r="E36" i="37"/>
  <c r="E20" i="35"/>
  <c r="E42" i="35"/>
  <c r="D42" i="35" s="1"/>
  <c r="E37" i="35"/>
  <c r="D37" i="35" s="1"/>
  <c r="E39" i="34"/>
  <c r="D39" i="34" s="1"/>
  <c r="E37" i="36"/>
  <c r="D37" i="36" s="1"/>
  <c r="D13" i="36"/>
  <c r="E39" i="36"/>
  <c r="D35" i="36"/>
  <c r="D31" i="36"/>
  <c r="D34" i="36"/>
  <c r="D25" i="36"/>
  <c r="D57" i="36"/>
  <c r="D54" i="36"/>
  <c r="D12" i="36"/>
  <c r="D33" i="36"/>
  <c r="D32" i="36"/>
  <c r="D30" i="36"/>
  <c r="D28" i="36"/>
  <c r="D27" i="36"/>
  <c r="D26" i="36"/>
  <c r="E51" i="36"/>
  <c r="D51" i="36" s="1"/>
  <c r="E50" i="36"/>
  <c r="E49" i="36"/>
  <c r="E47" i="36"/>
  <c r="D47" i="36" s="1"/>
  <c r="E46" i="36"/>
  <c r="D46" i="36" s="1"/>
  <c r="E45" i="36"/>
  <c r="D45" i="36" s="1"/>
  <c r="E44" i="36"/>
  <c r="D44" i="36" s="1"/>
  <c r="E43" i="36"/>
  <c r="D43" i="36" s="1"/>
  <c r="E42" i="36"/>
  <c r="D42" i="36" s="1"/>
  <c r="E41" i="36"/>
  <c r="E40" i="36"/>
  <c r="E38" i="36"/>
  <c r="D39" i="35"/>
  <c r="D35" i="35"/>
  <c r="D31" i="35"/>
  <c r="D57" i="35"/>
  <c r="D54" i="35"/>
  <c r="D14" i="35"/>
  <c r="D13" i="35"/>
  <c r="D12" i="35"/>
  <c r="D25" i="35"/>
  <c r="D26" i="35"/>
  <c r="D27" i="35"/>
  <c r="D28" i="35"/>
  <c r="D29" i="35"/>
  <c r="D30" i="35"/>
  <c r="D32" i="35"/>
  <c r="D33" i="35"/>
  <c r="D34" i="35"/>
  <c r="E38" i="35"/>
  <c r="D38" i="35" s="1"/>
  <c r="E40" i="35"/>
  <c r="D40" i="35" s="1"/>
  <c r="E43" i="35"/>
  <c r="D43" i="35" s="1"/>
  <c r="E41" i="35"/>
  <c r="D41" i="35" s="1"/>
  <c r="E44" i="35"/>
  <c r="D44" i="35" s="1"/>
  <c r="E45" i="35"/>
  <c r="D45" i="35" s="1"/>
  <c r="E46" i="35"/>
  <c r="D46" i="35" s="1"/>
  <c r="E47" i="35"/>
  <c r="D47" i="35" s="1"/>
  <c r="E51" i="35"/>
  <c r="D51" i="35" s="1"/>
  <c r="E50" i="35"/>
  <c r="D50" i="35" s="1"/>
  <c r="E49" i="35"/>
  <c r="D49" i="35" s="1"/>
  <c r="D12" i="34"/>
  <c r="D57" i="34"/>
  <c r="D50" i="34"/>
  <c r="D31" i="34"/>
  <c r="D35" i="34"/>
  <c r="D54" i="34"/>
  <c r="E49" i="34"/>
  <c r="D49" i="34" s="1"/>
  <c r="E51" i="34"/>
  <c r="D51" i="34" s="1"/>
  <c r="E50" i="34"/>
  <c r="E47" i="34"/>
  <c r="D47" i="34" s="1"/>
  <c r="E46" i="34"/>
  <c r="D46" i="34" s="1"/>
  <c r="E45" i="34"/>
  <c r="D45" i="34" s="1"/>
  <c r="E44" i="34"/>
  <c r="D44" i="34" s="1"/>
  <c r="E43" i="34"/>
  <c r="D43" i="34" s="1"/>
  <c r="E42" i="34"/>
  <c r="D42" i="34" s="1"/>
  <c r="E41" i="34"/>
  <c r="D41" i="34" s="1"/>
  <c r="E40" i="34"/>
  <c r="D40" i="34" s="1"/>
  <c r="E38" i="34"/>
  <c r="D38" i="34" s="1"/>
  <c r="E37" i="34"/>
  <c r="D37" i="34" s="1"/>
  <c r="D34" i="34"/>
  <c r="D33" i="34"/>
  <c r="D32" i="34"/>
  <c r="D30" i="34"/>
  <c r="D29" i="34"/>
  <c r="D28" i="34"/>
  <c r="D27" i="34"/>
  <c r="D26" i="34"/>
  <c r="D25" i="34"/>
  <c r="E20" i="34"/>
  <c r="D20" i="34" s="1"/>
  <c r="D19" i="34" s="1"/>
  <c r="D14" i="34"/>
  <c r="D13" i="34"/>
  <c r="D12" i="33"/>
  <c r="D35" i="33"/>
  <c r="D54" i="33"/>
  <c r="D31" i="33"/>
  <c r="D14" i="33"/>
  <c r="D13" i="33"/>
  <c r="E20" i="33"/>
  <c r="D32" i="33"/>
  <c r="D30" i="33"/>
  <c r="D29" i="33"/>
  <c r="D28" i="33"/>
  <c r="D27" i="33"/>
  <c r="D26" i="33"/>
  <c r="D25" i="33"/>
  <c r="D33" i="33"/>
  <c r="D34" i="33"/>
  <c r="E41" i="33"/>
  <c r="D41" i="33" s="1"/>
  <c r="E40" i="33"/>
  <c r="D40" i="33" s="1"/>
  <c r="E39" i="33"/>
  <c r="D39" i="33" s="1"/>
  <c r="E38" i="33"/>
  <c r="D38" i="33" s="1"/>
  <c r="E37" i="33"/>
  <c r="D37" i="33" s="1"/>
  <c r="E42" i="33"/>
  <c r="D42" i="33" s="1"/>
  <c r="E43" i="33"/>
  <c r="D43" i="33" s="1"/>
  <c r="E44" i="33"/>
  <c r="D44" i="33" s="1"/>
  <c r="E45" i="33"/>
  <c r="D45" i="33" s="1"/>
  <c r="E46" i="33"/>
  <c r="D46" i="33" s="1"/>
  <c r="E47" i="33"/>
  <c r="D47" i="33" s="1"/>
  <c r="E49" i="33"/>
  <c r="D49" i="33" s="1"/>
  <c r="E50" i="33"/>
  <c r="D50" i="33" s="1"/>
  <c r="E51" i="33"/>
  <c r="D51" i="33" s="1"/>
  <c r="D11" i="34" l="1"/>
  <c r="D10" i="34"/>
  <c r="D20" i="36"/>
  <c r="D19" i="36" s="1"/>
  <c r="D19" i="35"/>
  <c r="D21" i="35" s="1"/>
  <c r="E19" i="35"/>
  <c r="D10" i="35"/>
  <c r="D9" i="35" s="1"/>
  <c r="D11" i="35"/>
  <c r="D20" i="33"/>
  <c r="D19" i="33" s="1"/>
  <c r="E19" i="33"/>
  <c r="D10" i="33"/>
  <c r="D11" i="33"/>
  <c r="D14" i="36"/>
  <c r="D10" i="36" s="1"/>
  <c r="D9" i="36" s="1"/>
  <c r="D49" i="36"/>
  <c r="D41" i="36"/>
  <c r="D40" i="36"/>
  <c r="D50" i="36"/>
  <c r="D48" i="36" s="1"/>
  <c r="D39" i="36"/>
  <c r="D38" i="36"/>
  <c r="D36" i="37"/>
  <c r="D52" i="37" s="1"/>
  <c r="D53" i="37" s="1"/>
  <c r="E23" i="37"/>
  <c r="E52" i="37" s="1"/>
  <c r="E36" i="36"/>
  <c r="E24" i="36"/>
  <c r="D24" i="36"/>
  <c r="D23" i="36" s="1"/>
  <c r="D52" i="36" s="1"/>
  <c r="E9" i="36"/>
  <c r="E21" i="36" s="1"/>
  <c r="E48" i="36"/>
  <c r="E9" i="35"/>
  <c r="E36" i="35"/>
  <c r="D24" i="35"/>
  <c r="D23" i="35" s="1"/>
  <c r="D48" i="35"/>
  <c r="E24" i="35"/>
  <c r="E48" i="35"/>
  <c r="E48" i="34"/>
  <c r="D48" i="34"/>
  <c r="D36" i="34"/>
  <c r="E24" i="34"/>
  <c r="D9" i="34"/>
  <c r="D21" i="34" s="1"/>
  <c r="D24" i="34"/>
  <c r="E36" i="34"/>
  <c r="E9" i="34"/>
  <c r="E9" i="33"/>
  <c r="E21" i="33" s="1"/>
  <c r="E48" i="33"/>
  <c r="D24" i="33"/>
  <c r="D23" i="33" s="1"/>
  <c r="D9" i="33"/>
  <c r="D21" i="33" s="1"/>
  <c r="E24" i="33"/>
  <c r="D48" i="33"/>
  <c r="E36" i="33"/>
  <c r="D21" i="36" l="1"/>
  <c r="D53" i="36"/>
  <c r="D11" i="36"/>
  <c r="E53" i="37"/>
  <c r="D36" i="36"/>
  <c r="E23" i="36"/>
  <c r="D36" i="35"/>
  <c r="D52" i="35" s="1"/>
  <c r="D53" i="35" s="1"/>
  <c r="E23" i="35"/>
  <c r="E52" i="35" s="1"/>
  <c r="D23" i="34"/>
  <c r="D52" i="34" s="1"/>
  <c r="D53" i="34" s="1"/>
  <c r="E23" i="34"/>
  <c r="E52" i="34" s="1"/>
  <c r="E21" i="34"/>
  <c r="D36" i="33"/>
  <c r="D52" i="33" s="1"/>
  <c r="D53" i="33" s="1"/>
  <c r="E23" i="33"/>
  <c r="E52" i="33" s="1"/>
  <c r="E53" i="33" s="1"/>
  <c r="D55" i="33" s="1"/>
  <c r="E52" i="36" l="1"/>
  <c r="D58" i="37"/>
  <c r="D55" i="37"/>
  <c r="E53" i="36"/>
  <c r="D55" i="36" s="1"/>
  <c r="E53" i="35"/>
  <c r="E53" i="34"/>
  <c r="D58" i="34" s="1"/>
  <c r="D58" i="33"/>
  <c r="D58" i="36" l="1"/>
  <c r="D55" i="35"/>
  <c r="D58" i="35"/>
  <c r="D55" i="34"/>
  <c r="D27" i="31" l="1"/>
  <c r="D35" i="31"/>
  <c r="E20" i="31"/>
  <c r="D28" i="31"/>
  <c r="D34" i="31"/>
  <c r="D33" i="31"/>
  <c r="D32" i="31"/>
  <c r="D30" i="31"/>
  <c r="D29" i="31"/>
  <c r="D26" i="31"/>
  <c r="D25" i="31"/>
  <c r="D44" i="31" l="1"/>
  <c r="D14" i="31" l="1"/>
  <c r="D13" i="31"/>
  <c r="D12" i="31"/>
  <c r="D51" i="31"/>
  <c r="D50" i="31"/>
  <c r="D49" i="31"/>
  <c r="D47" i="31"/>
  <c r="D46" i="31"/>
  <c r="D43" i="31"/>
  <c r="D42" i="31"/>
  <c r="D41" i="31"/>
  <c r="D40" i="31"/>
  <c r="D39" i="31"/>
  <c r="D38" i="31"/>
  <c r="D37" i="31"/>
  <c r="D11" i="31" l="1"/>
  <c r="D10" i="31"/>
  <c r="D45" i="31"/>
  <c r="E36" i="31"/>
  <c r="D48" i="27"/>
  <c r="E55" i="27"/>
  <c r="D55" i="27" s="1"/>
  <c r="E54" i="27"/>
  <c r="E53" i="27"/>
  <c r="D52" i="27"/>
  <c r="E50" i="27"/>
  <c r="D50" i="27" s="1"/>
  <c r="E49" i="27"/>
  <c r="E47" i="27"/>
  <c r="D47" i="27" s="1"/>
  <c r="E46" i="27"/>
  <c r="E45" i="27"/>
  <c r="E44" i="27"/>
  <c r="E43" i="27"/>
  <c r="E42" i="27"/>
  <c r="D42" i="27" s="1"/>
  <c r="E41" i="27"/>
  <c r="D41" i="27" s="1"/>
  <c r="E40" i="27"/>
  <c r="D40" i="27" s="1"/>
  <c r="E39" i="27"/>
  <c r="D39" i="27" s="1"/>
  <c r="E38" i="27"/>
  <c r="D38" i="27" s="1"/>
  <c r="E37" i="27"/>
  <c r="D37" i="27" s="1"/>
  <c r="D34" i="27"/>
  <c r="D33" i="27"/>
  <c r="D32" i="27"/>
  <c r="D31" i="27"/>
  <c r="D30" i="27"/>
  <c r="D29" i="27"/>
  <c r="D28" i="27"/>
  <c r="D27" i="27"/>
  <c r="D26" i="27"/>
  <c r="D25" i="27"/>
  <c r="D16" i="27"/>
  <c r="D15" i="27"/>
  <c r="D14" i="27"/>
  <c r="D13" i="27"/>
  <c r="D12" i="27"/>
  <c r="D12" i="26"/>
  <c r="D60" i="26"/>
  <c r="D48" i="26"/>
  <c r="D35" i="26"/>
  <c r="D34" i="26"/>
  <c r="E55" i="26"/>
  <c r="D55" i="26" s="1"/>
  <c r="E54" i="26"/>
  <c r="D54" i="26" s="1"/>
  <c r="E53" i="26"/>
  <c r="E50" i="26"/>
  <c r="E49" i="26"/>
  <c r="D49" i="26" s="1"/>
  <c r="E47" i="26"/>
  <c r="D47" i="26" s="1"/>
  <c r="E46" i="26"/>
  <c r="D46" i="26" s="1"/>
  <c r="E45" i="26"/>
  <c r="E44" i="26"/>
  <c r="D44" i="26" s="1"/>
  <c r="E43" i="26"/>
  <c r="D43" i="26" s="1"/>
  <c r="E42" i="26"/>
  <c r="D42" i="26" s="1"/>
  <c r="E41" i="26"/>
  <c r="E40" i="26"/>
  <c r="E39" i="26"/>
  <c r="E38" i="26"/>
  <c r="E37" i="26"/>
  <c r="D37" i="26" s="1"/>
  <c r="D32" i="26"/>
  <c r="D31" i="26"/>
  <c r="D30" i="26"/>
  <c r="D29" i="26"/>
  <c r="D28" i="26"/>
  <c r="D27" i="26"/>
  <c r="D26" i="26"/>
  <c r="D25" i="26"/>
  <c r="D16" i="26"/>
  <c r="D15" i="26"/>
  <c r="D14" i="26"/>
  <c r="D13" i="26"/>
  <c r="D11" i="27" l="1"/>
  <c r="D9" i="27"/>
  <c r="D21" i="27" s="1"/>
  <c r="D11" i="26"/>
  <c r="D53" i="27"/>
  <c r="D44" i="27"/>
  <c r="D54" i="27"/>
  <c r="D43" i="27"/>
  <c r="D49" i="27"/>
  <c r="D45" i="26"/>
  <c r="D38" i="26"/>
  <c r="D50" i="26"/>
  <c r="D41" i="26"/>
  <c r="E48" i="31"/>
  <c r="E24" i="31"/>
  <c r="D24" i="31"/>
  <c r="D23" i="31" s="1"/>
  <c r="E9" i="31"/>
  <c r="E21" i="31" s="1"/>
  <c r="D35" i="27"/>
  <c r="E51" i="27"/>
  <c r="E36" i="27"/>
  <c r="E9" i="27"/>
  <c r="E21" i="27" s="1"/>
  <c r="D24" i="27"/>
  <c r="E24" i="27"/>
  <c r="D51" i="27"/>
  <c r="E24" i="26"/>
  <c r="D24" i="26"/>
  <c r="D23" i="26" s="1"/>
  <c r="E9" i="26"/>
  <c r="E21" i="26" s="1"/>
  <c r="D9" i="26"/>
  <c r="D21" i="26" s="1"/>
  <c r="E51" i="26"/>
  <c r="E36" i="26"/>
  <c r="D48" i="24"/>
  <c r="D59" i="23"/>
  <c r="D59" i="24"/>
  <c r="D48" i="23"/>
  <c r="D48" i="25"/>
  <c r="D59" i="25"/>
  <c r="E54" i="25"/>
  <c r="D54" i="25" s="1"/>
  <c r="E53" i="25"/>
  <c r="E52" i="25"/>
  <c r="D52" i="25" s="1"/>
  <c r="E50" i="25"/>
  <c r="D50" i="25" s="1"/>
  <c r="E49" i="25"/>
  <c r="E47" i="25"/>
  <c r="D47" i="25" s="1"/>
  <c r="E46" i="25"/>
  <c r="D46" i="25" s="1"/>
  <c r="E45" i="25"/>
  <c r="D45" i="25" s="1"/>
  <c r="E44" i="25"/>
  <c r="D44" i="25" s="1"/>
  <c r="E43" i="25"/>
  <c r="D43" i="25" s="1"/>
  <c r="E42" i="25"/>
  <c r="E41" i="25"/>
  <c r="D41" i="25" s="1"/>
  <c r="E40" i="25"/>
  <c r="D40" i="25" s="1"/>
  <c r="E39" i="25"/>
  <c r="E38" i="25"/>
  <c r="D38" i="25" s="1"/>
  <c r="E37" i="25"/>
  <c r="D12" i="25"/>
  <c r="D35" i="25"/>
  <c r="D34" i="25"/>
  <c r="D33" i="25"/>
  <c r="D32" i="25"/>
  <c r="D31" i="25"/>
  <c r="D30" i="25"/>
  <c r="D29" i="25"/>
  <c r="D28" i="25"/>
  <c r="D27" i="25"/>
  <c r="D26" i="25"/>
  <c r="D25" i="25"/>
  <c r="D15" i="25"/>
  <c r="D14" i="25"/>
  <c r="D13" i="25"/>
  <c r="E54" i="24"/>
  <c r="E53" i="24"/>
  <c r="D53" i="24" s="1"/>
  <c r="E52" i="24"/>
  <c r="E50" i="24"/>
  <c r="D50" i="24" s="1"/>
  <c r="E49" i="24"/>
  <c r="E47" i="24"/>
  <c r="D47" i="24" s="1"/>
  <c r="E46" i="24"/>
  <c r="E45" i="24"/>
  <c r="D45" i="24" s="1"/>
  <c r="E44" i="24"/>
  <c r="E43" i="24"/>
  <c r="D43" i="24" s="1"/>
  <c r="E42" i="24"/>
  <c r="E41" i="24"/>
  <c r="E40" i="24"/>
  <c r="E39" i="24"/>
  <c r="D39" i="24" s="1"/>
  <c r="E38" i="24"/>
  <c r="D38" i="24" s="1"/>
  <c r="E37" i="24"/>
  <c r="D29" i="24"/>
  <c r="D16" i="24"/>
  <c r="D15" i="24"/>
  <c r="D14" i="24"/>
  <c r="D13" i="24"/>
  <c r="E23" i="31" l="1"/>
  <c r="E52" i="31" s="1"/>
  <c r="E53" i="31" s="1"/>
  <c r="D11" i="24"/>
  <c r="D10" i="24"/>
  <c r="D23" i="27"/>
  <c r="D37" i="25"/>
  <c r="D42" i="25"/>
  <c r="D36" i="25"/>
  <c r="D53" i="25"/>
  <c r="D30" i="24"/>
  <c r="D44" i="24"/>
  <c r="D52" i="24"/>
  <c r="D31" i="24"/>
  <c r="D32" i="24"/>
  <c r="D42" i="24"/>
  <c r="D33" i="24"/>
  <c r="D41" i="24"/>
  <c r="D26" i="24"/>
  <c r="D34" i="24"/>
  <c r="D40" i="24"/>
  <c r="D27" i="24"/>
  <c r="D35" i="24"/>
  <c r="D28" i="24"/>
  <c r="D37" i="24"/>
  <c r="D46" i="24"/>
  <c r="D36" i="31"/>
  <c r="D9" i="31"/>
  <c r="D21" i="31" s="1"/>
  <c r="D48" i="31"/>
  <c r="D36" i="27"/>
  <c r="E23" i="27"/>
  <c r="E56" i="27" s="1"/>
  <c r="E57" i="27" s="1"/>
  <c r="E23" i="26"/>
  <c r="D51" i="26"/>
  <c r="D36" i="26"/>
  <c r="E51" i="25"/>
  <c r="E36" i="25"/>
  <c r="D24" i="25"/>
  <c r="D23" i="25" s="1"/>
  <c r="E24" i="25"/>
  <c r="E9" i="25"/>
  <c r="E51" i="24"/>
  <c r="E24" i="24"/>
  <c r="E9" i="24"/>
  <c r="E36" i="24"/>
  <c r="D24" i="24" l="1"/>
  <c r="D23" i="24" s="1"/>
  <c r="E56" i="26"/>
  <c r="E57" i="26" s="1"/>
  <c r="D56" i="27"/>
  <c r="D57" i="27" s="1"/>
  <c r="D58" i="27" s="1"/>
  <c r="E59" i="26"/>
  <c r="E58" i="26"/>
  <c r="E59" i="27"/>
  <c r="D61" i="27" s="1"/>
  <c r="E58" i="27"/>
  <c r="D59" i="27"/>
  <c r="D51" i="24"/>
  <c r="E21" i="25"/>
  <c r="D52" i="31"/>
  <c r="D53" i="31" s="1"/>
  <c r="D56" i="26"/>
  <c r="D57" i="26" s="1"/>
  <c r="D61" i="26"/>
  <c r="D9" i="25"/>
  <c r="D21" i="25" s="1"/>
  <c r="E23" i="25"/>
  <c r="E55" i="25" s="1"/>
  <c r="D51" i="25"/>
  <c r="D55" i="25" s="1"/>
  <c r="D36" i="24"/>
  <c r="D9" i="24"/>
  <c r="D21" i="24" s="1"/>
  <c r="E23" i="24"/>
  <c r="E55" i="24" l="1"/>
  <c r="D58" i="26"/>
  <c r="D59" i="26"/>
  <c r="E56" i="25"/>
  <c r="D55" i="24"/>
  <c r="D56" i="24" s="1"/>
  <c r="D55" i="31"/>
  <c r="D58" i="31"/>
  <c r="D56" i="25"/>
  <c r="E56" i="24" l="1"/>
  <c r="D57" i="25"/>
  <c r="D58" i="25"/>
  <c r="E58" i="25"/>
  <c r="E57" i="25"/>
  <c r="D58" i="24"/>
  <c r="D57" i="24"/>
  <c r="E57" i="24" l="1"/>
  <c r="E58" i="24"/>
  <c r="E54" i="23"/>
  <c r="D54" i="23" s="1"/>
  <c r="E53" i="23"/>
  <c r="D53" i="23" s="1"/>
  <c r="E52" i="23"/>
  <c r="D52" i="23" s="1"/>
  <c r="E50" i="23"/>
  <c r="D50" i="23" s="1"/>
  <c r="E49" i="23"/>
  <c r="E47" i="23"/>
  <c r="D47" i="23" s="1"/>
  <c r="E46" i="23"/>
  <c r="D46" i="23" s="1"/>
  <c r="E45" i="23"/>
  <c r="D45" i="23" s="1"/>
  <c r="E44" i="23"/>
  <c r="D44" i="23" s="1"/>
  <c r="E43" i="23"/>
  <c r="D43" i="23" s="1"/>
  <c r="E42" i="23"/>
  <c r="D42" i="23" s="1"/>
  <c r="E41" i="23"/>
  <c r="D41" i="23" s="1"/>
  <c r="E40" i="23"/>
  <c r="D40" i="23" s="1"/>
  <c r="E39" i="23"/>
  <c r="D39" i="23" s="1"/>
  <c r="E38" i="23"/>
  <c r="D38" i="23" s="1"/>
  <c r="E37" i="23"/>
  <c r="D37" i="23" s="1"/>
  <c r="D35" i="23"/>
  <c r="D34" i="23"/>
  <c r="D33" i="23"/>
  <c r="D32" i="23"/>
  <c r="D31" i="23"/>
  <c r="D30" i="23"/>
  <c r="D29" i="23"/>
  <c r="D28" i="23"/>
  <c r="D27" i="23"/>
  <c r="D26" i="23"/>
  <c r="D25" i="23"/>
  <c r="D12" i="23"/>
  <c r="D16" i="23"/>
  <c r="D15" i="23"/>
  <c r="D14" i="23"/>
  <c r="D13" i="23"/>
  <c r="D60" i="24" l="1"/>
  <c r="D11" i="23"/>
  <c r="D10" i="23"/>
  <c r="D49" i="23"/>
  <c r="E51" i="23"/>
  <c r="E36" i="23"/>
  <c r="D24" i="23" l="1"/>
  <c r="D23" i="23" s="1"/>
  <c r="D9" i="23"/>
  <c r="D21" i="23" s="1"/>
  <c r="E24" i="23"/>
  <c r="E9" i="23"/>
  <c r="E21" i="23" s="1"/>
  <c r="D36" i="23" l="1"/>
  <c r="E23" i="23"/>
  <c r="E55" i="23" s="1"/>
  <c r="E56" i="23" s="1"/>
  <c r="D51" i="23"/>
  <c r="E58" i="23" l="1"/>
  <c r="D60" i="23" s="1"/>
  <c r="E57" i="23"/>
  <c r="D55" i="23"/>
  <c r="D56" i="23" s="1"/>
  <c r="D58" i="23" l="1"/>
  <c r="D57" i="23"/>
  <c r="D35" i="22"/>
  <c r="D28" i="22"/>
  <c r="D26" i="22"/>
  <c r="D12" i="22"/>
  <c r="E54" i="22"/>
  <c r="D54" i="22" s="1"/>
  <c r="E53" i="22"/>
  <c r="E52" i="22"/>
  <c r="D52" i="22" s="1"/>
  <c r="E50" i="22"/>
  <c r="E49" i="22"/>
  <c r="D49" i="22" s="1"/>
  <c r="D48" i="22"/>
  <c r="E47" i="22"/>
  <c r="E46" i="22"/>
  <c r="E45" i="22"/>
  <c r="D45" i="22" s="1"/>
  <c r="E44" i="22"/>
  <c r="D44" i="22" s="1"/>
  <c r="E43" i="22"/>
  <c r="D43" i="22" s="1"/>
  <c r="E42" i="22"/>
  <c r="D42" i="22" s="1"/>
  <c r="E41" i="22"/>
  <c r="E40" i="22"/>
  <c r="D40" i="22" s="1"/>
  <c r="E39" i="22"/>
  <c r="D39" i="22" s="1"/>
  <c r="E38" i="22"/>
  <c r="D38" i="22" s="1"/>
  <c r="D34" i="22"/>
  <c r="D33" i="22"/>
  <c r="D25" i="22"/>
  <c r="D15" i="22"/>
  <c r="D13" i="22"/>
  <c r="E48" i="21"/>
  <c r="E35" i="21"/>
  <c r="E29" i="21"/>
  <c r="F49" i="21"/>
  <c r="E49" i="21" s="1"/>
  <c r="F47" i="21"/>
  <c r="F46" i="21"/>
  <c r="E46" i="21" s="1"/>
  <c r="F45" i="21"/>
  <c r="E45" i="21" s="1"/>
  <c r="F44" i="21"/>
  <c r="F43" i="21"/>
  <c r="F42" i="21"/>
  <c r="E42" i="21" s="1"/>
  <c r="F41" i="21"/>
  <c r="E41" i="21" s="1"/>
  <c r="F40" i="21"/>
  <c r="E40" i="21" s="1"/>
  <c r="F39" i="21"/>
  <c r="E39" i="21" s="1"/>
  <c r="F38" i="21"/>
  <c r="F37" i="21"/>
  <c r="E37" i="21" s="1"/>
  <c r="E34" i="21"/>
  <c r="E33" i="21"/>
  <c r="E32" i="21"/>
  <c r="E31" i="21"/>
  <c r="E30" i="21"/>
  <c r="E16" i="21"/>
  <c r="E15" i="21"/>
  <c r="E14" i="21"/>
  <c r="E13" i="21"/>
  <c r="F50" i="21"/>
  <c r="F54" i="21"/>
  <c r="F53" i="21"/>
  <c r="E53" i="21" s="1"/>
  <c r="F52" i="21"/>
  <c r="E52" i="21" s="1"/>
  <c r="D48" i="20"/>
  <c r="D35" i="20"/>
  <c r="D26" i="20"/>
  <c r="E54" i="20"/>
  <c r="E53" i="20"/>
  <c r="E52" i="20"/>
  <c r="E50" i="20"/>
  <c r="E49" i="20"/>
  <c r="E47" i="20"/>
  <c r="E46" i="20"/>
  <c r="E45" i="20"/>
  <c r="E44" i="20"/>
  <c r="E43" i="20"/>
  <c r="E42" i="20"/>
  <c r="E41" i="20"/>
  <c r="E40" i="20"/>
  <c r="E39" i="20"/>
  <c r="E38" i="20"/>
  <c r="E37" i="20"/>
  <c r="D34" i="20"/>
  <c r="D33" i="20"/>
  <c r="D30" i="20"/>
  <c r="D29" i="20"/>
  <c r="D28" i="20"/>
  <c r="D27" i="20"/>
  <c r="D16" i="20"/>
  <c r="D15" i="20"/>
  <c r="D14" i="20"/>
  <c r="D13" i="20"/>
  <c r="E55" i="19"/>
  <c r="E54" i="19"/>
  <c r="E53" i="19"/>
  <c r="E50" i="19"/>
  <c r="E49" i="19"/>
  <c r="E47" i="19"/>
  <c r="E46" i="19"/>
  <c r="E45" i="19"/>
  <c r="E44" i="19"/>
  <c r="E43" i="19"/>
  <c r="E42" i="19"/>
  <c r="E41" i="19"/>
  <c r="E40" i="19"/>
  <c r="E39" i="19"/>
  <c r="E38" i="19"/>
  <c r="E37" i="19"/>
  <c r="D34" i="19"/>
  <c r="D31" i="19"/>
  <c r="D29" i="19"/>
  <c r="D28" i="19"/>
  <c r="D27" i="19"/>
  <c r="D12" i="19"/>
  <c r="D52" i="19"/>
  <c r="D50" i="19"/>
  <c r="D49" i="19"/>
  <c r="D48" i="19"/>
  <c r="D47" i="19"/>
  <c r="D40" i="19"/>
  <c r="D39" i="19"/>
  <c r="D33" i="19"/>
  <c r="D32" i="19"/>
  <c r="D26" i="19"/>
  <c r="D25" i="19"/>
  <c r="D15" i="19"/>
  <c r="D14" i="19"/>
  <c r="D13" i="19"/>
  <c r="D48" i="18"/>
  <c r="E50" i="18"/>
  <c r="D50" i="18" s="1"/>
  <c r="D12" i="18"/>
  <c r="D13" i="18"/>
  <c r="D14" i="18"/>
  <c r="D15" i="18"/>
  <c r="E37" i="18"/>
  <c r="D37" i="18" s="1"/>
  <c r="D35" i="18"/>
  <c r="D25" i="18"/>
  <c r="E55" i="18"/>
  <c r="D55" i="18" s="1"/>
  <c r="E54" i="18"/>
  <c r="D54" i="18" s="1"/>
  <c r="E53" i="18"/>
  <c r="D53" i="18" s="1"/>
  <c r="D52" i="18"/>
  <c r="E49" i="18"/>
  <c r="D49" i="18" s="1"/>
  <c r="E47" i="18"/>
  <c r="D47" i="18" s="1"/>
  <c r="E46" i="18"/>
  <c r="D46" i="18" s="1"/>
  <c r="E45" i="18"/>
  <c r="D45" i="18" s="1"/>
  <c r="E44" i="18"/>
  <c r="D44" i="18" s="1"/>
  <c r="E43" i="18"/>
  <c r="D43" i="18" s="1"/>
  <c r="E42" i="18"/>
  <c r="D42" i="18" s="1"/>
  <c r="E41" i="18"/>
  <c r="D41" i="18" s="1"/>
  <c r="E40" i="18"/>
  <c r="D40" i="18" s="1"/>
  <c r="E39" i="18"/>
  <c r="D39" i="18" s="1"/>
  <c r="E38" i="18"/>
  <c r="D38" i="18" s="1"/>
  <c r="D34" i="18"/>
  <c r="D33" i="18"/>
  <c r="D32" i="18"/>
  <c r="D31" i="18"/>
  <c r="D30" i="18"/>
  <c r="D29" i="18"/>
  <c r="D28" i="18"/>
  <c r="D27" i="18"/>
  <c r="D26" i="18"/>
  <c r="D16" i="18"/>
  <c r="D48" i="17"/>
  <c r="D35" i="17"/>
  <c r="D25" i="17"/>
  <c r="D12" i="17"/>
  <c r="E55" i="17"/>
  <c r="D55" i="17" s="1"/>
  <c r="E54" i="17"/>
  <c r="D54" i="17" s="1"/>
  <c r="E53" i="17"/>
  <c r="D53" i="17" s="1"/>
  <c r="D52" i="17"/>
  <c r="E50" i="17"/>
  <c r="D50" i="17" s="1"/>
  <c r="E49" i="17"/>
  <c r="D49" i="17" s="1"/>
  <c r="E47" i="17"/>
  <c r="D47" i="17" s="1"/>
  <c r="E46" i="17"/>
  <c r="D46" i="17" s="1"/>
  <c r="E45" i="17"/>
  <c r="D45" i="17" s="1"/>
  <c r="E44" i="17"/>
  <c r="D44" i="17" s="1"/>
  <c r="E43" i="17"/>
  <c r="D43" i="17" s="1"/>
  <c r="E42" i="17"/>
  <c r="D42" i="17" s="1"/>
  <c r="E41" i="17"/>
  <c r="D41" i="17" s="1"/>
  <c r="E40" i="17"/>
  <c r="D40" i="17" s="1"/>
  <c r="E39" i="17"/>
  <c r="D39" i="17" s="1"/>
  <c r="E38" i="17"/>
  <c r="D38" i="17" s="1"/>
  <c r="E37" i="17"/>
  <c r="D37" i="17" s="1"/>
  <c r="D34" i="17"/>
  <c r="D33" i="17"/>
  <c r="D32" i="17"/>
  <c r="D31" i="17"/>
  <c r="D30" i="17"/>
  <c r="D29" i="17"/>
  <c r="D28" i="17"/>
  <c r="D27" i="17"/>
  <c r="D26" i="17"/>
  <c r="D16" i="17"/>
  <c r="D15" i="17"/>
  <c r="D14" i="17"/>
  <c r="D13" i="17"/>
  <c r="E49" i="16"/>
  <c r="E47" i="16"/>
  <c r="E46" i="16"/>
  <c r="E45" i="16"/>
  <c r="E44" i="16"/>
  <c r="E43" i="16"/>
  <c r="E42" i="16"/>
  <c r="E41" i="16"/>
  <c r="E40" i="16"/>
  <c r="E39" i="16"/>
  <c r="E38" i="16"/>
  <c r="E37" i="16"/>
  <c r="E54" i="16"/>
  <c r="E53" i="16"/>
  <c r="E50" i="16"/>
  <c r="E50" i="15"/>
  <c r="E49" i="15"/>
  <c r="E47" i="15"/>
  <c r="E46" i="15"/>
  <c r="E45" i="15"/>
  <c r="E44" i="15"/>
  <c r="D44" i="15" s="1"/>
  <c r="E43" i="15"/>
  <c r="E42" i="15"/>
  <c r="E41" i="15"/>
  <c r="E40" i="15"/>
  <c r="E39" i="15"/>
  <c r="E38" i="15"/>
  <c r="E37" i="15"/>
  <c r="E54" i="15"/>
  <c r="E53" i="15"/>
  <c r="D53" i="15" s="1"/>
  <c r="E55" i="15"/>
  <c r="D10" i="17" l="1"/>
  <c r="D9" i="17" s="1"/>
  <c r="D10" i="18"/>
  <c r="D9" i="18" s="1"/>
  <c r="D55" i="19"/>
  <c r="D54" i="19"/>
  <c r="D37" i="19"/>
  <c r="D45" i="19"/>
  <c r="D38" i="19"/>
  <c r="D41" i="19"/>
  <c r="D49" i="20"/>
  <c r="D41" i="20"/>
  <c r="D50" i="20"/>
  <c r="D42" i="20"/>
  <c r="D52" i="20"/>
  <c r="D43" i="20"/>
  <c r="D44" i="20"/>
  <c r="D54" i="20"/>
  <c r="D45" i="20"/>
  <c r="D47" i="20"/>
  <c r="E10" i="21"/>
  <c r="E9" i="21" s="1"/>
  <c r="E21" i="21" s="1"/>
  <c r="E11" i="21"/>
  <c r="D10" i="20"/>
  <c r="D9" i="20" s="1"/>
  <c r="D21" i="20" s="1"/>
  <c r="D11" i="20"/>
  <c r="E51" i="20"/>
  <c r="D11" i="18"/>
  <c r="D21" i="18"/>
  <c r="D11" i="17"/>
  <c r="D27" i="22"/>
  <c r="D50" i="22"/>
  <c r="D37" i="22"/>
  <c r="D46" i="22"/>
  <c r="D14" i="22"/>
  <c r="D10" i="22" s="1"/>
  <c r="D29" i="22"/>
  <c r="D47" i="22"/>
  <c r="D30" i="22"/>
  <c r="D53" i="22"/>
  <c r="D51" i="22" s="1"/>
  <c r="D16" i="22"/>
  <c r="D31" i="22"/>
  <c r="D32" i="22"/>
  <c r="D41" i="22"/>
  <c r="E27" i="21"/>
  <c r="E44" i="21"/>
  <c r="E50" i="21"/>
  <c r="E28" i="21"/>
  <c r="E38" i="21"/>
  <c r="E47" i="21"/>
  <c r="E54" i="21"/>
  <c r="E51" i="21" s="1"/>
  <c r="E24" i="20"/>
  <c r="D37" i="20"/>
  <c r="D46" i="20"/>
  <c r="D53" i="20"/>
  <c r="D31" i="20"/>
  <c r="D40" i="20"/>
  <c r="D39" i="20"/>
  <c r="D38" i="20"/>
  <c r="D46" i="19"/>
  <c r="D42" i="19"/>
  <c r="D44" i="19"/>
  <c r="D53" i="19"/>
  <c r="D51" i="19" s="1"/>
  <c r="D43" i="19"/>
  <c r="D36" i="19" s="1"/>
  <c r="D55" i="15"/>
  <c r="E24" i="22"/>
  <c r="E9" i="22"/>
  <c r="E21" i="22" s="1"/>
  <c r="E51" i="22"/>
  <c r="E36" i="22"/>
  <c r="F21" i="21"/>
  <c r="F36" i="21"/>
  <c r="F51" i="21"/>
  <c r="E36" i="20"/>
  <c r="E21" i="20"/>
  <c r="D24" i="19"/>
  <c r="D23" i="19" s="1"/>
  <c r="E36" i="19"/>
  <c r="E24" i="19"/>
  <c r="D16" i="19"/>
  <c r="E51" i="19"/>
  <c r="E9" i="19"/>
  <c r="E21" i="19" s="1"/>
  <c r="E36" i="18"/>
  <c r="D36" i="18"/>
  <c r="D24" i="18"/>
  <c r="D23" i="18" s="1"/>
  <c r="D51" i="18"/>
  <c r="E24" i="18"/>
  <c r="E23" i="18" s="1"/>
  <c r="E51" i="18"/>
  <c r="E9" i="18"/>
  <c r="E21" i="18" s="1"/>
  <c r="E23" i="19" l="1"/>
  <c r="D51" i="20"/>
  <c r="E23" i="20"/>
  <c r="D9" i="22"/>
  <c r="D21" i="22" s="1"/>
  <c r="D11" i="22"/>
  <c r="D24" i="22"/>
  <c r="D23" i="22" s="1"/>
  <c r="E24" i="21"/>
  <c r="E23" i="21" s="1"/>
  <c r="D11" i="19"/>
  <c r="D10" i="19"/>
  <c r="D24" i="20"/>
  <c r="D23" i="20" s="1"/>
  <c r="D36" i="20"/>
  <c r="F23" i="21"/>
  <c r="F55" i="21" s="1"/>
  <c r="F56" i="21" s="1"/>
  <c r="D36" i="22"/>
  <c r="E23" i="22"/>
  <c r="E55" i="22" s="1"/>
  <c r="E56" i="22" s="1"/>
  <c r="E36" i="21"/>
  <c r="D56" i="19"/>
  <c r="E56" i="18"/>
  <c r="E57" i="18" s="1"/>
  <c r="D56" i="18"/>
  <c r="D57" i="18" s="1"/>
  <c r="E56" i="19" l="1"/>
  <c r="E57" i="19" s="1"/>
  <c r="D9" i="19"/>
  <c r="D21" i="19" s="1"/>
  <c r="D57" i="19" s="1"/>
  <c r="E55" i="20"/>
  <c r="E56" i="20" s="1"/>
  <c r="D55" i="22"/>
  <c r="E55" i="21"/>
  <c r="E56" i="21" s="1"/>
  <c r="E58" i="21" s="1"/>
  <c r="D55" i="20"/>
  <c r="D56" i="20" s="1"/>
  <c r="D56" i="22"/>
  <c r="E58" i="22"/>
  <c r="E57" i="22"/>
  <c r="F57" i="21"/>
  <c r="F58" i="21"/>
  <c r="E60" i="21" s="1"/>
  <c r="E58" i="20"/>
  <c r="E57" i="20"/>
  <c r="E59" i="19"/>
  <c r="E58" i="19"/>
  <c r="D59" i="18"/>
  <c r="D58" i="18"/>
  <c r="E59" i="18"/>
  <c r="E58" i="18"/>
  <c r="D61" i="18"/>
  <c r="D60" i="20" l="1"/>
  <c r="D59" i="19"/>
  <c r="D58" i="19"/>
  <c r="E57" i="21"/>
  <c r="D57" i="20"/>
  <c r="D58" i="20"/>
  <c r="D58" i="22"/>
  <c r="D57" i="22"/>
  <c r="D61" i="19"/>
  <c r="D60" i="22"/>
  <c r="E24" i="17"/>
  <c r="E23" i="17" s="1"/>
  <c r="E9" i="17"/>
  <c r="E21" i="17" s="1"/>
  <c r="D24" i="17" l="1"/>
  <c r="D23" i="17" s="1"/>
  <c r="D21" i="17"/>
  <c r="D36" i="17"/>
  <c r="D51" i="17"/>
  <c r="E51" i="17"/>
  <c r="E36" i="17"/>
  <c r="E56" i="17" l="1"/>
  <c r="E57" i="17" s="1"/>
  <c r="E59" i="17" s="1"/>
  <c r="D61" i="17" s="1"/>
  <c r="D56" i="17"/>
  <c r="D57" i="17" s="1"/>
  <c r="D54" i="15"/>
  <c r="E51" i="15"/>
  <c r="D52" i="15"/>
  <c r="D50" i="15"/>
  <c r="D49" i="15"/>
  <c r="D48" i="15"/>
  <c r="D47" i="15"/>
  <c r="D46" i="15"/>
  <c r="D45" i="15"/>
  <c r="D43" i="15"/>
  <c r="D42" i="15"/>
  <c r="D41" i="15"/>
  <c r="D40" i="15"/>
  <c r="D38" i="15"/>
  <c r="D37" i="15"/>
  <c r="D35" i="15"/>
  <c r="D34" i="15"/>
  <c r="D33" i="15"/>
  <c r="D32" i="15"/>
  <c r="D31" i="15"/>
  <c r="D30" i="15"/>
  <c r="D29" i="15"/>
  <c r="D28" i="15"/>
  <c r="D27" i="15"/>
  <c r="D26" i="15"/>
  <c r="E24" i="15"/>
  <c r="D25" i="15"/>
  <c r="D16" i="15"/>
  <c r="D15" i="15"/>
  <c r="D14" i="15"/>
  <c r="D13" i="15"/>
  <c r="D12" i="15"/>
  <c r="D55" i="16"/>
  <c r="D54" i="16"/>
  <c r="D53" i="16"/>
  <c r="D52" i="16"/>
  <c r="D50" i="16"/>
  <c r="D49" i="16"/>
  <c r="D48" i="16"/>
  <c r="D47" i="16"/>
  <c r="D46" i="16"/>
  <c r="D45" i="16"/>
  <c r="D44" i="16"/>
  <c r="D43" i="16"/>
  <c r="D42" i="16"/>
  <c r="D41" i="16"/>
  <c r="D40" i="16"/>
  <c r="D39" i="16"/>
  <c r="D38" i="16"/>
  <c r="D37" i="16"/>
  <c r="D35" i="16"/>
  <c r="D34" i="16"/>
  <c r="D33" i="16"/>
  <c r="D32" i="16"/>
  <c r="D31" i="16"/>
  <c r="D30" i="16"/>
  <c r="D29" i="16"/>
  <c r="D28" i="16"/>
  <c r="D26" i="16"/>
  <c r="D15" i="16"/>
  <c r="D12" i="16"/>
  <c r="D10" i="15" l="1"/>
  <c r="D9" i="15" s="1"/>
  <c r="D21" i="15" s="1"/>
  <c r="E58" i="17"/>
  <c r="D11" i="15"/>
  <c r="D58" i="17"/>
  <c r="D59" i="17"/>
  <c r="E23" i="15"/>
  <c r="D16" i="16"/>
  <c r="D13" i="16"/>
  <c r="D10" i="16" s="1"/>
  <c r="D9" i="16" s="1"/>
  <c r="D21" i="16" s="1"/>
  <c r="E24" i="16"/>
  <c r="E23" i="16" s="1"/>
  <c r="D25" i="16"/>
  <c r="D27" i="16"/>
  <c r="D51" i="15"/>
  <c r="D24" i="15"/>
  <c r="D23" i="15" s="1"/>
  <c r="D36" i="15"/>
  <c r="E36" i="15"/>
  <c r="E21" i="15"/>
  <c r="D51" i="16"/>
  <c r="D36" i="16"/>
  <c r="E36" i="16"/>
  <c r="E9" i="16"/>
  <c r="E21" i="16" s="1"/>
  <c r="E51" i="16"/>
  <c r="D11" i="16" l="1"/>
  <c r="E56" i="15"/>
  <c r="D56" i="15"/>
  <c r="D57" i="15" s="1"/>
  <c r="D24" i="16"/>
  <c r="D23" i="16" s="1"/>
  <c r="D56" i="16" s="1"/>
  <c r="E56" i="16"/>
  <c r="E57" i="16" s="1"/>
  <c r="E57" i="15"/>
  <c r="E45" i="13"/>
  <c r="E58" i="16" l="1"/>
  <c r="E59" i="16"/>
  <c r="E58" i="15"/>
  <c r="E59" i="15"/>
  <c r="D59" i="15"/>
  <c r="D58" i="15"/>
  <c r="D57" i="16"/>
  <c r="D34" i="13"/>
  <c r="D24" i="13"/>
  <c r="D26" i="13"/>
  <c r="D27" i="13"/>
  <c r="D28" i="13"/>
  <c r="D29" i="13"/>
  <c r="D30" i="13"/>
  <c r="D31" i="13"/>
  <c r="D32" i="13"/>
  <c r="D33" i="13"/>
  <c r="D59" i="16" l="1"/>
  <c r="D58" i="16"/>
  <c r="D61" i="16"/>
  <c r="D61" i="15"/>
  <c r="E41" i="13"/>
  <c r="D41" i="13" s="1"/>
  <c r="E40" i="13"/>
  <c r="D40" i="13" s="1"/>
  <c r="E39" i="13"/>
  <c r="D39" i="13" s="1"/>
  <c r="E38" i="13"/>
  <c r="D38" i="13" s="1"/>
  <c r="E37" i="13"/>
  <c r="D37" i="13" s="1"/>
  <c r="E36" i="13"/>
  <c r="E42" i="13"/>
  <c r="D42" i="13" s="1"/>
  <c r="E43" i="13"/>
  <c r="D43" i="13" s="1"/>
  <c r="E44" i="13"/>
  <c r="D44" i="13" s="1"/>
  <c r="D46" i="13"/>
  <c r="E48" i="13"/>
  <c r="D48" i="13" s="1"/>
  <c r="E49" i="13"/>
  <c r="D49" i="13" s="1"/>
  <c r="D36" i="13" l="1"/>
  <c r="D35" i="13" s="1"/>
  <c r="E35" i="13"/>
  <c r="D51" i="13"/>
  <c r="E52" i="13"/>
  <c r="D52" i="13" s="1"/>
  <c r="E53" i="13"/>
  <c r="D53" i="13" s="1"/>
  <c r="E54" i="13"/>
  <c r="D54" i="13" s="1"/>
  <c r="D14" i="13"/>
  <c r="D15" i="13"/>
  <c r="D13" i="13"/>
  <c r="D12" i="13"/>
  <c r="D11" i="13" l="1"/>
  <c r="E8" i="13"/>
  <c r="E20" i="13" s="1"/>
  <c r="E50" i="13"/>
  <c r="D50" i="13"/>
  <c r="E50" i="12"/>
  <c r="D50" i="12" s="1"/>
  <c r="E49" i="12"/>
  <c r="D49" i="12" s="1"/>
  <c r="E48" i="12"/>
  <c r="D48" i="12" s="1"/>
  <c r="E47" i="12"/>
  <c r="D47" i="12" s="1"/>
  <c r="E45" i="12"/>
  <c r="D45" i="12" s="1"/>
  <c r="E44" i="12"/>
  <c r="D44" i="12" s="1"/>
  <c r="E43" i="12"/>
  <c r="D43" i="12" s="1"/>
  <c r="E42" i="12"/>
  <c r="E41" i="12"/>
  <c r="D41" i="12" s="1"/>
  <c r="E40" i="12"/>
  <c r="D40" i="12" s="1"/>
  <c r="E37" i="12"/>
  <c r="D37" i="12" s="1"/>
  <c r="E38" i="12"/>
  <c r="D38" i="12" s="1"/>
  <c r="E39" i="12"/>
  <c r="D39" i="12" s="1"/>
  <c r="E36" i="12"/>
  <c r="D36" i="12" s="1"/>
  <c r="D34" i="12"/>
  <c r="D30" i="12"/>
  <c r="D29" i="12"/>
  <c r="D28" i="12"/>
  <c r="D27" i="12"/>
  <c r="D26" i="12"/>
  <c r="D25" i="12"/>
  <c r="E24" i="12"/>
  <c r="D24" i="12" s="1"/>
  <c r="D31" i="12"/>
  <c r="D33" i="12"/>
  <c r="D32" i="12"/>
  <c r="E22" i="12"/>
  <c r="D14" i="12"/>
  <c r="D13" i="12"/>
  <c r="D12" i="12"/>
  <c r="E36" i="11"/>
  <c r="D36" i="11" s="1"/>
  <c r="E37" i="11"/>
  <c r="D37" i="11" s="1"/>
  <c r="E38" i="11"/>
  <c r="D38" i="11" s="1"/>
  <c r="E39" i="11"/>
  <c r="D39" i="11" s="1"/>
  <c r="E40" i="11"/>
  <c r="D40" i="11" s="1"/>
  <c r="E41" i="11"/>
  <c r="D41" i="11" s="1"/>
  <c r="E42" i="11"/>
  <c r="D42" i="11" s="1"/>
  <c r="E43" i="11"/>
  <c r="D43" i="11" s="1"/>
  <c r="E44" i="11"/>
  <c r="D44" i="11" s="1"/>
  <c r="E45" i="11"/>
  <c r="D45" i="11" s="1"/>
  <c r="E47" i="11"/>
  <c r="D47" i="11" s="1"/>
  <c r="E48" i="11"/>
  <c r="D48" i="11" s="1"/>
  <c r="E49" i="11"/>
  <c r="D49" i="11" s="1"/>
  <c r="E50" i="11"/>
  <c r="D34" i="11"/>
  <c r="D28" i="11"/>
  <c r="D31" i="11"/>
  <c r="D30" i="11"/>
  <c r="D26" i="11"/>
  <c r="D32" i="11"/>
  <c r="D33" i="11"/>
  <c r="D27" i="11"/>
  <c r="E24" i="11"/>
  <c r="D24" i="11" s="1"/>
  <c r="D25" i="11"/>
  <c r="D10" i="12" l="1"/>
  <c r="D11" i="12"/>
  <c r="D10" i="13"/>
  <c r="D9" i="13" s="1"/>
  <c r="D8" i="13" s="1"/>
  <c r="D20" i="13" s="1"/>
  <c r="D23" i="12"/>
  <c r="D22" i="12" s="1"/>
  <c r="D21" i="12" s="1"/>
  <c r="D23" i="13"/>
  <c r="D22" i="13" s="1"/>
  <c r="E23" i="13"/>
  <c r="E21" i="12"/>
  <c r="E35" i="12"/>
  <c r="D9" i="12"/>
  <c r="D19" i="12" s="1"/>
  <c r="D46" i="12"/>
  <c r="E9" i="12"/>
  <c r="E19" i="12" s="1"/>
  <c r="E46" i="12"/>
  <c r="D35" i="12"/>
  <c r="D29" i="11"/>
  <c r="E22" i="13" l="1"/>
  <c r="D55" i="13"/>
  <c r="D56" i="13" s="1"/>
  <c r="D57" i="13" s="1"/>
  <c r="E55" i="13"/>
  <c r="E56" i="13" s="1"/>
  <c r="E51" i="12"/>
  <c r="D51" i="12"/>
  <c r="D52" i="12" s="1"/>
  <c r="E52" i="12" l="1"/>
  <c r="E58" i="13"/>
  <c r="E57" i="13"/>
  <c r="D58" i="13"/>
  <c r="E53" i="12"/>
  <c r="E54" i="12"/>
  <c r="D54" i="12"/>
  <c r="D53" i="12"/>
  <c r="D56" i="12" l="1"/>
  <c r="D60" i="13"/>
  <c r="E22" i="11"/>
  <c r="D14" i="11"/>
  <c r="D13" i="11"/>
  <c r="E21" i="11" l="1"/>
  <c r="D12" i="11"/>
  <c r="D10" i="11" s="1"/>
  <c r="E9" i="11"/>
  <c r="D23" i="11"/>
  <c r="D22" i="11" s="1"/>
  <c r="D21" i="11" s="1"/>
  <c r="D51" i="11" s="1"/>
  <c r="D52" i="11" s="1"/>
  <c r="D53" i="11" s="1"/>
  <c r="E46" i="11"/>
  <c r="D18" i="7"/>
  <c r="D34" i="8"/>
  <c r="D30" i="8"/>
  <c r="D32" i="8"/>
  <c r="D31" i="8"/>
  <c r="D29" i="8"/>
  <c r="D28" i="8"/>
  <c r="D27" i="8"/>
  <c r="D26" i="8"/>
  <c r="D25" i="8"/>
  <c r="D24" i="8"/>
  <c r="D33" i="7"/>
  <c r="D31" i="7"/>
  <c r="D30" i="7"/>
  <c r="D28" i="7"/>
  <c r="D27" i="7"/>
  <c r="D26" i="7"/>
  <c r="D24" i="7"/>
  <c r="E24" i="4"/>
  <c r="E23" i="4" s="1"/>
  <c r="D34" i="4"/>
  <c r="D33" i="4"/>
  <c r="D32" i="4"/>
  <c r="D31" i="4"/>
  <c r="D30" i="4"/>
  <c r="D29" i="4"/>
  <c r="D28" i="4"/>
  <c r="D27" i="4"/>
  <c r="D26" i="4"/>
  <c r="D25" i="4"/>
  <c r="D11" i="11" l="1"/>
  <c r="D9" i="11"/>
  <c r="D19" i="11" s="1"/>
  <c r="D37" i="7"/>
  <c r="D38" i="7"/>
  <c r="E23" i="7"/>
  <c r="D39" i="8"/>
  <c r="D36" i="8"/>
  <c r="D19" i="8"/>
  <c r="D18" i="8" s="1"/>
  <c r="D25" i="7"/>
  <c r="D23" i="7" s="1"/>
  <c r="D24" i="4"/>
  <c r="D35" i="11"/>
  <c r="E35" i="11"/>
  <c r="E51" i="11" s="1"/>
  <c r="D46" i="11"/>
  <c r="E19" i="11"/>
  <c r="E18" i="7"/>
  <c r="D23" i="8"/>
  <c r="D22" i="8" s="1"/>
  <c r="E18" i="8"/>
  <c r="E23" i="8"/>
  <c r="E22" i="8" s="1"/>
  <c r="E35" i="8"/>
  <c r="E27" i="5"/>
  <c r="E22" i="7" l="1"/>
  <c r="D35" i="8"/>
  <c r="D40" i="8" s="1"/>
  <c r="D41" i="8" s="1"/>
  <c r="D43" i="8" s="1"/>
  <c r="E40" i="8"/>
  <c r="E41" i="8" s="1"/>
  <c r="E52" i="11"/>
  <c r="E53" i="11" l="1"/>
  <c r="D54" i="11"/>
  <c r="E54" i="11"/>
  <c r="E43" i="8"/>
  <c r="D45" i="8" s="1"/>
  <c r="D42" i="8"/>
  <c r="D56" i="11" l="1"/>
  <c r="E42" i="8"/>
  <c r="D47" i="10" l="1"/>
  <c r="D46" i="10"/>
  <c r="D42" i="10"/>
  <c r="D41" i="10"/>
  <c r="D39" i="10"/>
  <c r="D36" i="10"/>
  <c r="D35" i="10"/>
  <c r="D48" i="10"/>
  <c r="D45" i="10"/>
  <c r="D43" i="10"/>
  <c r="D38" i="10"/>
  <c r="D34" i="10"/>
  <c r="D32" i="10"/>
  <c r="D31" i="10"/>
  <c r="D30" i="10"/>
  <c r="D29" i="10"/>
  <c r="D28" i="10"/>
  <c r="D27" i="10"/>
  <c r="D26" i="10"/>
  <c r="D25" i="10"/>
  <c r="D24" i="10"/>
  <c r="D23" i="10"/>
  <c r="D22" i="10"/>
  <c r="E44" i="10" l="1"/>
  <c r="E33" i="10"/>
  <c r="D31" i="9"/>
  <c r="D30" i="9"/>
  <c r="D29" i="9"/>
  <c r="D28" i="9"/>
  <c r="D27" i="9"/>
  <c r="D26" i="9"/>
  <c r="D25" i="9"/>
  <c r="D24" i="9"/>
  <c r="D22" i="9"/>
  <c r="E21" i="9" l="1"/>
  <c r="D21" i="9"/>
  <c r="D18" i="10"/>
  <c r="D33" i="10"/>
  <c r="D49" i="10" s="1"/>
  <c r="D21" i="10"/>
  <c r="D20" i="10" s="1"/>
  <c r="E21" i="10"/>
  <c r="E20" i="10" s="1"/>
  <c r="E49" i="10" s="1"/>
  <c r="D44" i="10"/>
  <c r="E18" i="10"/>
  <c r="E20" i="9" l="1"/>
  <c r="E50" i="10"/>
  <c r="D50" i="10"/>
  <c r="E52" i="10"/>
  <c r="E51" i="10"/>
  <c r="D52" i="10" l="1"/>
  <c r="D51" i="10"/>
  <c r="E33" i="9" l="1"/>
  <c r="D32" i="9"/>
  <c r="D20" i="9" s="1"/>
  <c r="D13" i="9"/>
  <c r="E20" i="4"/>
  <c r="D20" i="4" s="1"/>
  <c r="D19" i="4" s="1"/>
  <c r="E23" i="5"/>
  <c r="E25" i="5" s="1"/>
  <c r="D36" i="7"/>
  <c r="D34" i="7"/>
  <c r="D22" i="7" s="1"/>
  <c r="D11" i="7"/>
  <c r="D10" i="7" s="1"/>
  <c r="D9" i="7" s="1"/>
  <c r="D20" i="7" l="1"/>
  <c r="D12" i="9"/>
  <c r="D39" i="7"/>
  <c r="D48" i="5"/>
  <c r="D40" i="6"/>
  <c r="D23" i="5"/>
  <c r="D25" i="5" s="1"/>
  <c r="E18" i="9"/>
  <c r="D33" i="9"/>
  <c r="D49" i="9" s="1"/>
  <c r="E19" i="4"/>
  <c r="E21" i="4" s="1"/>
  <c r="D32" i="6"/>
  <c r="E40" i="6"/>
  <c r="E32" i="6"/>
  <c r="E45" i="6" s="1"/>
  <c r="D51" i="4"/>
  <c r="D50" i="4"/>
  <c r="D49" i="4"/>
  <c r="D48" i="4"/>
  <c r="D47" i="4"/>
  <c r="D46" i="4"/>
  <c r="D44" i="4"/>
  <c r="D43" i="4"/>
  <c r="D42" i="4"/>
  <c r="D40" i="4"/>
  <c r="D39" i="4"/>
  <c r="D38" i="4"/>
  <c r="D37" i="4"/>
  <c r="D35" i="4"/>
  <c r="D23" i="4" s="1"/>
  <c r="D12" i="4"/>
  <c r="D11" i="9" l="1"/>
  <c r="D10" i="9" s="1"/>
  <c r="D9" i="9" s="1"/>
  <c r="D18" i="9" s="1"/>
  <c r="E46" i="6"/>
  <c r="D11" i="4"/>
  <c r="D21" i="4" s="1"/>
  <c r="D46" i="5"/>
  <c r="D45" i="5"/>
  <c r="D55" i="5"/>
  <c r="D42" i="5"/>
  <c r="D47" i="5"/>
  <c r="D43" i="5"/>
  <c r="D41" i="5"/>
  <c r="D44" i="5"/>
  <c r="D50" i="5"/>
  <c r="D54" i="5"/>
  <c r="D53" i="5"/>
  <c r="D52" i="5"/>
  <c r="D51" i="5"/>
  <c r="D45" i="6"/>
  <c r="D46" i="6" s="1"/>
  <c r="E49" i="5"/>
  <c r="E40" i="5"/>
  <c r="E49" i="9"/>
  <c r="D35" i="7"/>
  <c r="D40" i="7" s="1"/>
  <c r="E35" i="7"/>
  <c r="D45" i="4"/>
  <c r="D36" i="4"/>
  <c r="D52" i="4" s="1"/>
  <c r="E36" i="4"/>
  <c r="E45" i="4"/>
  <c r="D50" i="9" l="1"/>
  <c r="D51" i="9" s="1"/>
  <c r="E40" i="7"/>
  <c r="D41" i="7"/>
  <c r="D43" i="7" s="1"/>
  <c r="D49" i="5"/>
  <c r="D40" i="5"/>
  <c r="D56" i="5" s="1"/>
  <c r="D57" i="5" s="1"/>
  <c r="E52" i="4"/>
  <c r="E56" i="5"/>
  <c r="E57" i="5" s="1"/>
  <c r="E50" i="9"/>
  <c r="D52" i="9"/>
  <c r="E48" i="6"/>
  <c r="D50" i="6" s="1"/>
  <c r="E47" i="6"/>
  <c r="D48" i="6"/>
  <c r="D47" i="6"/>
  <c r="D53" i="4"/>
  <c r="E51" i="9" l="1"/>
  <c r="E53" i="4"/>
  <c r="E41" i="7"/>
  <c r="E42" i="7" s="1"/>
  <c r="E52" i="9"/>
  <c r="D42" i="7"/>
  <c r="E55" i="4"/>
  <c r="E54" i="4"/>
  <c r="D55" i="4"/>
  <c r="D54" i="4"/>
  <c r="D54" i="9" l="1"/>
  <c r="E43" i="7"/>
  <c r="D57" i="4"/>
  <c r="D45" i="7" l="1"/>
  <c r="E59" i="5"/>
  <c r="D61" i="5" l="1"/>
  <c r="D58" i="5"/>
  <c r="E58" i="5"/>
  <c r="D53" i="38"/>
</calcChain>
</file>

<file path=xl/sharedStrings.xml><?xml version="1.0" encoding="utf-8"?>
<sst xmlns="http://schemas.openxmlformats.org/spreadsheetml/2006/main" count="3414" uniqueCount="1585">
  <si>
    <t>Izdevumu klasifikācijas kods</t>
  </si>
  <si>
    <t>Rādītājs (materiāla/ izejvielas nosaukums, atlīdzība un citi izmaksu veidi)</t>
  </si>
  <si>
    <t>Izmaksu apjoms noteiktā laikposmā viena maksas pakalpojuma veida nodrošināšanai</t>
  </si>
  <si>
    <t>1.1.1. sporta zāles noma grupai līdz 15 cilvēkiem</t>
  </si>
  <si>
    <t>1.1. Sporta zāles noma Bāriņu ielā 3, Liepājā</t>
  </si>
  <si>
    <t>Iestāde: Nodrošinājuma valsts aģentūra</t>
  </si>
  <si>
    <t>Maksas pakalpojuma izcenojuma aprēķins</t>
  </si>
  <si>
    <t>Tiešās izmaksas</t>
  </si>
  <si>
    <t>X</t>
  </si>
  <si>
    <t>Atlīdzība</t>
  </si>
  <si>
    <t>Atalgojums</t>
  </si>
  <si>
    <t>Darba devēja valsts sociālās apdrošināšanas obligātās iemaksas, pabalsti un kompensācijas</t>
  </si>
  <si>
    <t>Preces un pakalpojumi</t>
  </si>
  <si>
    <t>Inventārs</t>
  </si>
  <si>
    <t>Tiešās izmaksas kopā:</t>
  </si>
  <si>
    <t>Netiešās izmaksas</t>
  </si>
  <si>
    <t>euro</t>
  </si>
  <si>
    <t>Pamatkapitāla veidošana</t>
  </si>
  <si>
    <t>Pārējie iepriekš neklasificētie pamatlīdzekļi un ieguldījuma īpašumi</t>
  </si>
  <si>
    <t>Izdevumi par elektroenerģiju</t>
  </si>
  <si>
    <t>Pārējie neklasificētie pakalpojumi</t>
  </si>
  <si>
    <t>Iekārtas, inventāra un aparatūras remonts, tehniskā apkalpošana</t>
  </si>
  <si>
    <t>Nekustamā īpašuma uzturēšana</t>
  </si>
  <si>
    <t>Netiešās izmaksas kopā:</t>
  </si>
  <si>
    <t>Pakalpojuma izmaksas kopā:</t>
  </si>
  <si>
    <t>1.1.2. sporta zāles noma grupai no 16 cilvēkiem</t>
  </si>
  <si>
    <t>Viena pakalp. izmaksas</t>
  </si>
  <si>
    <t xml:space="preserve">Izmaksu apjoms noteiktā laikposmā viena maksas pakalpojuma veida nodrošināšanai </t>
  </si>
  <si>
    <t>Pakalpojuma izmaksas kopā (bez PVN):</t>
  </si>
  <si>
    <t>PVN 21%</t>
  </si>
  <si>
    <t>Pakalpojuma izmaksas kopā (ar PVN):</t>
  </si>
  <si>
    <t>Nedzīvojamās ēkas</t>
  </si>
  <si>
    <t>Transporta būves</t>
  </si>
  <si>
    <t>Inženierbūves</t>
  </si>
  <si>
    <t>Pārējais nekustamais īpašums</t>
  </si>
  <si>
    <t>Tehnoloģiskās iekārtas un mašīnas</t>
  </si>
  <si>
    <t>Maksas pakalpojuma vienību skaits noteiktā laikposmā (153 stundas gadā)</t>
  </si>
  <si>
    <t xml:space="preserve">1.3. Aktu zāles noma nekustamajā īpašumā “Bundulīši” Muceniekos, Ropažu novadā 
</t>
  </si>
  <si>
    <t>1.4. Nedzīvojamo telpu noma Klusajā ielā 12, Rīgā</t>
  </si>
  <si>
    <t xml:space="preserve">1.4.1. aktu zāles noma </t>
  </si>
  <si>
    <t>1.2. Sporta zāles noma A.Pumpura ielā 105B, Daugavpilī</t>
  </si>
  <si>
    <t>1.2.1. sporta zāles noma grupai līdz 15 cilvēkiem</t>
  </si>
  <si>
    <t>Maksas pakalpojuma vienību skaits noteiktā laikposmā (480 stundas gadā)</t>
  </si>
  <si>
    <t>Maksas pakalpojuma vienību skaits noteiktā laikposmā (894 stundas gadā)</t>
  </si>
  <si>
    <t>Izdevumi par pārējiem komunālajiem pakalpojumiem</t>
  </si>
  <si>
    <t>Izdevumi par profesionālās darbības pakalpojumiem</t>
  </si>
  <si>
    <t>Maksas pakalpojuma vienību skaits noteiktā laikposmā (100 stundas gadā)</t>
  </si>
  <si>
    <t>Maksas pakalpojuma vienību skaits noteiktā laikposmā (300 stundas gadā)</t>
  </si>
  <si>
    <t xml:space="preserve">Aktu zāles noma </t>
  </si>
  <si>
    <t>Budžeta iestāžu dabas resursu nodokļa maksājumi</t>
  </si>
  <si>
    <t>Pārējie remontdarbu un iestāžu uzturēšanas pakalpojumi</t>
  </si>
  <si>
    <t xml:space="preserve">2. Maksas pakalpojuma veids Dzīvojamo telpu izmantošanas pakalpojumi (izmitināšana un īre) </t>
  </si>
  <si>
    <t>2.1. Viesnīcas pakalpojumi (izmitināšana) Piestātnes ielā 14 k-1, Jūrmalā</t>
  </si>
  <si>
    <t>2.1.5. trīsistabu četrvietīgs numurs (telpa Nr. 5, 29)</t>
  </si>
  <si>
    <t>2.2. Viesnīcas pakalpojumi (izmitināšana) Piestātnes ielā 14 k-3, Jūrmalā</t>
  </si>
  <si>
    <t>2.3. Viesnīcas pakalpojumi (izmitināšana) Piestātnes ielā 14 k-4, Jūrmalā</t>
  </si>
  <si>
    <t>2.4. Viesnīcas pakalpojumi (izmitināšana) Piestātnes ielā 14 k-8, Jūrmalā</t>
  </si>
  <si>
    <t>2.5. Papildu vieta viesnīcā Piestātnes ielā 14, Jūrmalā</t>
  </si>
  <si>
    <t>Iekārtu, aparatūras un inventāra īre un noma</t>
  </si>
  <si>
    <t>mēneši gadā</t>
  </si>
  <si>
    <t>Izdevumi par siltumenerģiju</t>
  </si>
  <si>
    <t>Izdevumi par ūdensapgādi un kanalizāciju</t>
  </si>
  <si>
    <t>Izdevumi par atkritumu savākšanu, izvešanu no apdzīvotām vietām un teritorijām ārpus apdzīvotām vietām un atkritumu utilizāciju</t>
  </si>
  <si>
    <t>Budžeta iestāžu nekustamā īpašuma nodokļa maksājumi</t>
  </si>
  <si>
    <t>Ēku, būvju un telpu būvdarbi</t>
  </si>
  <si>
    <r>
      <t>Maksas pakalpojuma izcenojums stundā (</t>
    </r>
    <r>
      <rPr>
        <b/>
        <i/>
        <sz val="12"/>
        <color rgb="FF000000"/>
        <rFont val="Times New Roman"/>
        <family val="1"/>
        <charset val="186"/>
      </rPr>
      <t>euro</t>
    </r>
    <r>
      <rPr>
        <b/>
        <sz val="12"/>
        <color rgb="FF000000"/>
        <rFont val="Times New Roman"/>
        <family val="1"/>
        <charset val="186"/>
      </rPr>
      <t>) (pakalpojuma izmaksas kopā, dalītas ar maksas pakalpojuma vienību skaitu noteiktā laikposmā)</t>
    </r>
  </si>
  <si>
    <t>Maksas pakalpojuma vienību skaits noteiktā laikposmā (250 stundas gadā)</t>
  </si>
  <si>
    <t>Maksas pakalpojuma vienību skaits noteiktā laikposmā (55 stundas gadā)</t>
  </si>
  <si>
    <t>Izdevumi par iestādes pasūtīto pētījumu profesionālās darbības pakalpojumiem</t>
  </si>
  <si>
    <t>2.1.4. divistabu divvietīgs numurs (telpa Nr. 1, 2, 3, 4, 6, 11, 12, 13, 14, 16, 17, 18, 19, 20, 21, 22, 23, 24, 25, 26)</t>
  </si>
  <si>
    <t>Dzīvojamās ēkas</t>
  </si>
  <si>
    <t>Maksas pakalpojuma vienību skaits noteiktā laikposmā (160 stundas gadā)</t>
  </si>
  <si>
    <t>Maksas pakalpojuma vienību skaits noteiktā laikposmā (892 stundas gadā)</t>
  </si>
  <si>
    <t>Maksas pakalpojuma vienību skaits noteiktā laikposmā (24 stundas gadā)</t>
  </si>
  <si>
    <t>Laikposms - 1 gads</t>
  </si>
  <si>
    <t>diennaktis / gadā</t>
  </si>
  <si>
    <t>mēneši /gadā</t>
  </si>
  <si>
    <t>mēneši / gadā</t>
  </si>
  <si>
    <t xml:space="preserve">2. Maksas pakalpojuma veids - Dzīvojamo telpu izmantošanas pakalpojumi (izmitināšana un īre) </t>
  </si>
  <si>
    <r>
      <t xml:space="preserve">2. Maksas pakalpojuma veids </t>
    </r>
    <r>
      <rPr>
        <b/>
        <sz val="12"/>
        <color theme="1"/>
        <rFont val="Times New Roman"/>
        <family val="1"/>
        <charset val="186"/>
      </rPr>
      <t>-</t>
    </r>
    <r>
      <rPr>
        <b/>
        <sz val="14"/>
        <color theme="1"/>
        <rFont val="Times New Roman"/>
        <family val="1"/>
        <charset val="186"/>
      </rPr>
      <t xml:space="preserve"> Dzīvojamo telpu izmantošanas pakalpojumi (izmitināšana un īre) </t>
    </r>
  </si>
  <si>
    <t>Satura rādītājs</t>
  </si>
  <si>
    <t>1.1.</t>
  </si>
  <si>
    <t>Sporta zāles noma Bāriņu ielā 3, Liepājā</t>
  </si>
  <si>
    <t xml:space="preserve"> Nedzīvojamo telpu noma</t>
  </si>
  <si>
    <t>sporta zāles noma grupai līdz 15 cilvēkiem</t>
  </si>
  <si>
    <t>sporta zāles noma grupai, kurā ir 16 cilvēki un vairāk</t>
  </si>
  <si>
    <t>1.1.1.</t>
  </si>
  <si>
    <t>1.1.2.</t>
  </si>
  <si>
    <t>1.2.</t>
  </si>
  <si>
    <t>1.2.1.</t>
  </si>
  <si>
    <t>1.2.2.</t>
  </si>
  <si>
    <t>Sporta zāles noma A. Pumpura ielā 105B, Daugavpilī</t>
  </si>
  <si>
    <t>1.3.</t>
  </si>
  <si>
    <t>Aktu zāles noma nekustamajā īpašumā "Bundulīši" Muceniekos, Ropažu novadā</t>
  </si>
  <si>
    <t>1.4.</t>
  </si>
  <si>
    <t>1.4.1.</t>
  </si>
  <si>
    <t>1.4.2.</t>
  </si>
  <si>
    <t>aktu zāles noma</t>
  </si>
  <si>
    <t>garderobes noma</t>
  </si>
  <si>
    <t>1.5.</t>
  </si>
  <si>
    <t>1.6.</t>
  </si>
  <si>
    <t>Nedzīvojamo telpu noma Ugunsdrošības un civilās aizsardzības koledžā Ķengaraga ielā 3, k-1, Rīgā</t>
  </si>
  <si>
    <t>auditorijas noma</t>
  </si>
  <si>
    <t>1.7.</t>
  </si>
  <si>
    <t>Semināru zāles noma Piestātnes ielā 14, k-1, Jūrmalā</t>
  </si>
  <si>
    <t>Pirts, saunas un dušu noma Piestātnes ielā 14, k-3, Jūrmalā</t>
  </si>
  <si>
    <t>2.1.</t>
  </si>
  <si>
    <t>2.1.1.</t>
  </si>
  <si>
    <t>2.1.2.</t>
  </si>
  <si>
    <t>2.1.3.</t>
  </si>
  <si>
    <t>2.1.4.</t>
  </si>
  <si>
    <t>2.1.5.</t>
  </si>
  <si>
    <t>Dzīvojamo telpu izmantošanas pakalpojumi (izmitināšana un īre)</t>
  </si>
  <si>
    <t>liels vienistabas divvietīgs numurs (telpa Nr. 7, 8, 10)</t>
  </si>
  <si>
    <t>vienistabas divvietīgs numurs (telpa Nr. 9, 33, 46)</t>
  </si>
  <si>
    <t>vienistabas divvietīgs numurs (telpa Nr. 15, 27, 28)</t>
  </si>
  <si>
    <t>divistabu divvietīgs numurs (telpa Nr. 1, 2, 3, 4, 6, 11, 12, 13, 14, 16, 17, 18, 19, 20, 21, 22, 23, 24, 25, 26)</t>
  </si>
  <si>
    <t>trīsistabu četrvietīgs numurs (telpa Nr. 5, 29)</t>
  </si>
  <si>
    <t>2.2.</t>
  </si>
  <si>
    <t>2.2.1.</t>
  </si>
  <si>
    <t>2.2.2.</t>
  </si>
  <si>
    <t>2.2.3.</t>
  </si>
  <si>
    <t>vienistabas divvietīgs numurs (telpa Nr. 2, 5)</t>
  </si>
  <si>
    <t>divistabu divvietīgs numurs (telpa Nr. 3)</t>
  </si>
  <si>
    <t>trīsistabu divvietīgs numurs (telpa Nr. 1, 4, 6)</t>
  </si>
  <si>
    <t>2.3.</t>
  </si>
  <si>
    <t>2.3.1.</t>
  </si>
  <si>
    <t>2.3.2.</t>
  </si>
  <si>
    <t>2.3.3.</t>
  </si>
  <si>
    <t>vienistabas numurs ar vienu gultasvietu (telpa Nr. 3, 8)</t>
  </si>
  <si>
    <t>vienistabas numurs ar divām gultasvietām (telpa Nr. 1, 2, 7)</t>
  </si>
  <si>
    <t>vienistabas numurs ar trim gultasvietām (telpa Nr. 4, 5, 6, 9, 10)</t>
  </si>
  <si>
    <t>2.4.</t>
  </si>
  <si>
    <t>2.4.1.</t>
  </si>
  <si>
    <t>2.4.2.</t>
  </si>
  <si>
    <t>standarta vienistabas divvietīgs numurs (telpa Nr. 1, 2, 3, 4, 5, 6, 7, 9, 10, 11, 12, 13, 14, 15)</t>
  </si>
  <si>
    <t>liels vienistabas divvietīgs numurs (telpa Nr. 8, 16)</t>
  </si>
  <si>
    <t>2.5.</t>
  </si>
  <si>
    <t>2.6.</t>
  </si>
  <si>
    <t>2.7.1.</t>
  </si>
  <si>
    <t>2.7.2.</t>
  </si>
  <si>
    <t>2.6.1.</t>
  </si>
  <si>
    <t>2.6.2.</t>
  </si>
  <si>
    <t>2.6.3.</t>
  </si>
  <si>
    <t>2.6.4.</t>
  </si>
  <si>
    <t>2.6.5.</t>
  </si>
  <si>
    <t>standarta vienvietīga istaba ar papildu ērtībām (Nr. 201, 235)</t>
  </si>
  <si>
    <t>liela vienvietīga istaba ar papildu ērtībām (Nr. 201a, 235a)</t>
  </si>
  <si>
    <t>standarta divvietīga istaba (Nr. 205, 216)</t>
  </si>
  <si>
    <t>trīsvietīga istaba (2. un 3. stāvs)</t>
  </si>
  <si>
    <t>piecvietīga istaba (Nr. 224, 228, 229, 230)</t>
  </si>
  <si>
    <t>2.7.</t>
  </si>
  <si>
    <t>2.6.6.</t>
  </si>
  <si>
    <t>2.6.7.</t>
  </si>
  <si>
    <t>2.6.8.</t>
  </si>
  <si>
    <t>2.6.9.</t>
  </si>
  <si>
    <t>divistabu divvietīgs numurs ar papildu ērtībām (5. stāvs)</t>
  </si>
  <si>
    <t>papildu vieta divistabu divvietīgā numurā (5. stāvs)</t>
  </si>
  <si>
    <t>divvietīga istaba (4. stāvs)</t>
  </si>
  <si>
    <t>trīsvietīga istaba (4. stāvs)</t>
  </si>
  <si>
    <t>Viesnīcas pakalpojumi (izmitināšana) Piestātnes ielā 14, k-8, Jūrmalā</t>
  </si>
  <si>
    <t>Viesnīcas pakalpojumi (izmitināšana) Piestātnes ielā 14, k-3, Jūrmalā</t>
  </si>
  <si>
    <t>Viesnīcas pakalpojumi (izmitināšana) Piestātnes ielā 14, k-1, Jūrmalā</t>
  </si>
  <si>
    <t>Dienesta viesnīcas pakalpojumi Ugunsdrošības un civilās aizsardzības koledžā Ķengaraga ielā 3, k-1, Rīgā</t>
  </si>
  <si>
    <t>četrvietīgs numurs</t>
  </si>
  <si>
    <t>sešvietīgs numurs</t>
  </si>
  <si>
    <t>2.8.</t>
  </si>
  <si>
    <t>Dienesta viesnīcas pakalpojumi Valsts ugunsdzēsības un glābšanas dienesta depo Krustpils ielā 10, Rīgā</t>
  </si>
  <si>
    <t>2.8.1.</t>
  </si>
  <si>
    <t>2.8.2.</t>
  </si>
  <si>
    <t xml:space="preserve">2.7. Dienesta viesnīcas pakalpojumi Ugunsdrošības un civilās aizsardzības koledžā Ķengaraga ielā 3 k-1, Rīgā </t>
  </si>
  <si>
    <t>2.7.1. Četrvietīgs numurs</t>
  </si>
  <si>
    <t>2.7.2. Sešvietīgs numurs</t>
  </si>
  <si>
    <t xml:space="preserve">2.8.Dienesta viesnīcas pakalpojumi Valsts ugunsdzēsības un glābšanas dienesta depo Krustpils ielā 10, Rīgā </t>
  </si>
  <si>
    <t>Viesnīcas pakalpojumi (izmitināšana) Piestātnes ielā 14, k-4, Jūrmalā</t>
  </si>
  <si>
    <t>Dienesta viesnīcas pakalpojumi Ezermalas ielā 8A, Rīgā</t>
  </si>
  <si>
    <t xml:space="preserve">1.7. Nedzīvojamo telpu noma Ugunsdrošības un civilās aizsardzības koledžā Ķengaraga ielā 3 k-1, Rīgā </t>
  </si>
  <si>
    <r>
      <t xml:space="preserve">1. Maksas pakalpojuma veids </t>
    </r>
    <r>
      <rPr>
        <b/>
        <sz val="12"/>
        <color theme="1"/>
        <rFont val="Times New Roman"/>
        <family val="1"/>
        <charset val="186"/>
      </rPr>
      <t>-</t>
    </r>
    <r>
      <rPr>
        <b/>
        <sz val="14"/>
        <color theme="1"/>
        <rFont val="Times New Roman"/>
        <family val="1"/>
        <charset val="186"/>
      </rPr>
      <t xml:space="preserve"> Nedzīvojamo telpu noma</t>
    </r>
  </si>
  <si>
    <t>1. Maksas pakalpojuma veids - Nedzīvojamo telpu noma</t>
  </si>
  <si>
    <t>1.7.1.</t>
  </si>
  <si>
    <t>1.7.2.</t>
  </si>
  <si>
    <t xml:space="preserve">1.4.2. garderobes noma </t>
  </si>
  <si>
    <t>1.7.1. auditorijas noma</t>
  </si>
  <si>
    <t xml:space="preserve">1.7.2. aktu zāles noma </t>
  </si>
  <si>
    <t>2.2.1. vienistabas divvietīgs numurs (telpa Nr. 2, 5)</t>
  </si>
  <si>
    <t>2.2.2. divistabu divvietīgs numurs (telpa Nr. 3)</t>
  </si>
  <si>
    <t>2.2.3. trīsistabu divvietīgs numurs (telpa Nr. 1, 4, 6)</t>
  </si>
  <si>
    <t>2.3.1. vienistabas numurs ar vienu gultasvietu (telpa Nr. 3, 8)</t>
  </si>
  <si>
    <t>2.3.3. vienistabas numurs ar trīs gultasvietām (telpa Nr. 4, 5, 6, 9, 10)</t>
  </si>
  <si>
    <t>2.4.1. standarta vienistabas divvietīgs numurs (telpa Nr. 1, 2, 3, 4, 5, 6, 7, 9, 10, 11, 12, 13, 14, 15)</t>
  </si>
  <si>
    <t>2.4.2. liels vienistabas divvietīgs numurs (telpa Nr. 8, 16)</t>
  </si>
  <si>
    <t>2.6.1. standarta vienvietīga istaba ar papildu ērtībām (Nr. 201, 235)</t>
  </si>
  <si>
    <t>2.6.2. liela vienvietīga istaba ar papildu ērtībām (Nr. 201a, 235a)</t>
  </si>
  <si>
    <t>2.6.3. standarta divvietīga istaba (Nr. 205, 216)</t>
  </si>
  <si>
    <t>2.6.5. piecvietīga istaba (Nr. 224, 228, 229, 230)</t>
  </si>
  <si>
    <t>2.6.7. papildu vieta divistabu divvietīgā numurā (5. stāvs)</t>
  </si>
  <si>
    <t>stundas / gadā</t>
  </si>
  <si>
    <t>euro / stundā</t>
  </si>
  <si>
    <t>2.3.2. vienistabas numurs ar divām gultasvietām (telpa Nr. 1, 2, 7)</t>
  </si>
  <si>
    <t>1.6. Pirts, saunas un dušu noma Piestātnes ielā 14 k-1, Jūrmalā</t>
  </si>
  <si>
    <t>1.5. Semināru zāles noma Piestātnes ielā 14 k-1, Jūrmalā</t>
  </si>
  <si>
    <t>Maksas pakalpojuma vienību skaits noteiktā laikposmā (2 numuri x 80 diennaktis gadā)</t>
  </si>
  <si>
    <t>Maksas pakalpojuma vienību skaits noteiktā laikposmā (1 numurs x 2 istabas x 40 diennaktis gadā)</t>
  </si>
  <si>
    <t>Maksas pakalpojuma vienību skaits noteiktā laikposmā (3 numuri ar 2 gultas vietām x 28 diennaktis gadā)</t>
  </si>
  <si>
    <t>Maksas pakalpojuma vienību skaits noteiktā laikposmā (5 numuri ar 3 gultas vietām x 35 diennaktis gadā)</t>
  </si>
  <si>
    <t>Maksas pakalpojuma vienību skaits noteiktā laikposmā ( 1 numurs x 140 diennaktis gadā)</t>
  </si>
  <si>
    <t>Maksas pakalpojuma vienību skaits noteiktā laikposmā (20 diennaktis gadā)</t>
  </si>
  <si>
    <t>Maksas pakalpojuma vienību skaits noteiktā laikposmā (2 numuri x 110 diennaktis gadā)</t>
  </si>
  <si>
    <t>Maksas pakalpojuma vienību skaits noteiktā laikposmā (2 numuri x 10 mēneši gadā)</t>
  </si>
  <si>
    <t>Maksas pakalpojuma vienību skaits noteiktā laikposmā (2 istabas x 130 diennaktis gadā)</t>
  </si>
  <si>
    <t>Maksas pakalpojuma vienību skaits noteiktā laikposmā (2 istabas x 10 mēneši gadā)</t>
  </si>
  <si>
    <t>Maksas pakalpojuma vienību skaits noteiktā laikposmā (2 istabas x 2 gultasvietas x 100 diennaktis gadā)</t>
  </si>
  <si>
    <t>Maksas pakalpojuma vienību skaits noteiktā laikposmā (2 istabas x 2 gultasvietas x 10 mēneši gadā)</t>
  </si>
  <si>
    <t>Maksas pakalpojuma vienību skaits noteiktā laikposmā (66 istabas x 3 gultasvietas x 100 diennaktis gadā)</t>
  </si>
  <si>
    <t>Maksas pakalpojuma vienību skaits noteiktā laikposmā (66 istabas x 3 gultasvietas x 10 mēneši gadā)</t>
  </si>
  <si>
    <t>Maksas pakalpojuma vienību skaits noteiktā laikposmā (22 numuri x 2 gultas vietas x 90 diennaktis gadā)</t>
  </si>
  <si>
    <t>Maksas pakalpojuma vienību skaits noteiktā laikposmā (22 numuri x 2 gultas vietas x 8 mēneši gadā)</t>
  </si>
  <si>
    <t>Maksas pakalpojuma vienību skaits noteiktā laikposmā (80 diennaktis gadā)</t>
  </si>
  <si>
    <t>Maksas pakalpojuma vienību skaits noteiktā laikposmā (6 mēneši gadā)</t>
  </si>
  <si>
    <t>Maksas pakalpojuma vienību skaits noteiktā laikposmā (2 istabas x 2 gultas vieta x 90 diennaktis gadā)</t>
  </si>
  <si>
    <t>Maksas pakalpojuma vienību skaits noteiktā laikposmā (2 istabas x 2 gultasvietas x 8 mēneši gadā)</t>
  </si>
  <si>
    <t>Maksas pakalpojuma vienību skaits noteiktā laikposmā (35 istabas x 3 gultas vietas x 90 diennaktis  gadā)</t>
  </si>
  <si>
    <t>Maksas pakalpojuma vienību skaits noteiktā laikposmā (35 istabas x 3 gultasvieta x 8 mēneši gadā)</t>
  </si>
  <si>
    <t>Maksas pakalpojuma vienību skaits noteiktā laikposmā (2 numuri x 6 gultas vietas x 168 diennaktis gadā)</t>
  </si>
  <si>
    <t>Maksas pakalpojuma vienību skaits noteiktā laikposmā (2 numuri x 6 gultasvietas x 12 mēneši gadā)</t>
  </si>
  <si>
    <t>Maksas pakalpojuma vienību skaits noteiktā laikposmā (3 numuri x 50 diennaktis gadā)</t>
  </si>
  <si>
    <t>Maksas pakalpojuma vienību skaits noteiktā laikposmā (20 numuri x 52 diennaktis gadā)</t>
  </si>
  <si>
    <t>Maksas pakalpojuma vienību skaits noteiktā laikposmā (2 numuri x 75 diennaktis gadā)</t>
  </si>
  <si>
    <t>Maksas pakalpojuma vienību skaits noteiktā laikposmā (3 numuri x 90 diennaktis gadā)</t>
  </si>
  <si>
    <t>Maksas pakalpojuma vienību skaits noteiktā laikposmā (2 numuri x 32 diennaktis gadā)</t>
  </si>
  <si>
    <t>Maksas pakalpojuma vienību skaits noteiktā laikposmā (14 numuri x 57 diennaktis gadā)</t>
  </si>
  <si>
    <t>Maksas pakalpojuma vienību skaits noteiktā laikposmā (4 istabas x 5 gultasvietas x 130 diennaktis gadā)</t>
  </si>
  <si>
    <t>Maksas pakalpojuma vienību skaits noteiktā laikposmā (4 istabas x 5 gultasvietas x 10 mēneši gadā)</t>
  </si>
  <si>
    <t>Maksas pakalpojuma vienību skaits noteiktā laikposmā (4 numuri x 4 gultasvietas x 168 diennaktis gadā)</t>
  </si>
  <si>
    <t>Maksas pakalpojuma vienību skaits noteiktā laikposmā (4 numuri x 4 gultasvietas x 11 mēneši gadā)</t>
  </si>
  <si>
    <t>PVN 12%</t>
  </si>
  <si>
    <t>Iestāžu uzturēšanas materiāli un preces</t>
  </si>
  <si>
    <t>Piemaksas, prēmijas un naudas balvas</t>
  </si>
  <si>
    <t>Darba devēja izdevumi veselības, dzīvības un nelaimes gadījumu apdrošināšanai</t>
  </si>
  <si>
    <t>Darba devēja valsts sociālās apdrošināšanas obligātās iemaksas</t>
  </si>
  <si>
    <t>Mēnešalga</t>
  </si>
  <si>
    <t>Apkalpojošais personāls.</t>
  </si>
  <si>
    <t>Vadības, administrācijas, pārējo darbinieku atalgojums</t>
  </si>
  <si>
    <t xml:space="preserve">Vadības, administrācijas, pārējo darbinieku atalgojums. </t>
  </si>
  <si>
    <r>
      <t xml:space="preserve">Administrators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 5,37 </t>
    </r>
    <r>
      <rPr>
        <i/>
        <sz val="12"/>
        <color theme="1"/>
        <rFont val="Times New Roman"/>
        <family val="1"/>
        <charset val="186"/>
      </rPr>
      <t>euro</t>
    </r>
    <r>
      <rPr>
        <sz val="12"/>
        <color theme="1"/>
        <rFont val="Times New Roman"/>
        <family val="1"/>
        <charset val="186"/>
      </rPr>
      <t xml:space="preserve">/stundā. Vid. mēn. noslogojums 114.76 stundas, (5,37 </t>
    </r>
    <r>
      <rPr>
        <i/>
        <sz val="12"/>
        <color theme="1"/>
        <rFont val="Times New Roman"/>
        <family val="1"/>
        <charset val="186"/>
      </rPr>
      <t>euro</t>
    </r>
    <r>
      <rPr>
        <sz val="12"/>
        <color theme="1"/>
        <rFont val="Times New Roman"/>
        <family val="1"/>
        <charset val="186"/>
      </rPr>
      <t xml:space="preserve"> * 114.76 h) = 616,26 </t>
    </r>
    <r>
      <rPr>
        <i/>
        <sz val="12"/>
        <color theme="1"/>
        <rFont val="Times New Roman"/>
        <family val="1"/>
        <charset val="186"/>
      </rPr>
      <t>euro</t>
    </r>
    <r>
      <rPr>
        <sz val="12"/>
        <color theme="1"/>
        <rFont val="Times New Roman"/>
        <family val="1"/>
        <charset val="186"/>
      </rPr>
      <t xml:space="preserve">/mēn. * 12. mēn. = 7 395,12 </t>
    </r>
    <r>
      <rPr>
        <i/>
        <sz val="12"/>
        <color theme="1"/>
        <rFont val="Times New Roman"/>
        <family val="1"/>
        <charset val="186"/>
      </rPr>
      <t xml:space="preserve">euro * </t>
    </r>
    <r>
      <rPr>
        <sz val="12"/>
        <color theme="1"/>
        <rFont val="Times New Roman"/>
        <family val="1"/>
        <charset val="186"/>
      </rPr>
      <t>0.45 (pakalpojuma īpatsvars kopējos ēkā sniegtajos maksas pakalpojumos) = 3 327,80</t>
    </r>
    <r>
      <rPr>
        <i/>
        <sz val="12"/>
        <color theme="1"/>
        <rFont val="Times New Roman"/>
        <family val="1"/>
        <charset val="186"/>
      </rPr>
      <t xml:space="preserve"> 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</si>
  <si>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 =</t>
    </r>
    <r>
      <rPr>
        <sz val="12"/>
        <color theme="1"/>
        <rFont val="Times New Roman"/>
        <family val="1"/>
        <charset val="186"/>
      </rPr>
      <t xml:space="preserve"> 1 372</t>
    </r>
    <r>
      <rPr>
        <i/>
        <sz val="12"/>
        <color theme="1"/>
        <rFont val="Times New Roman"/>
        <family val="1"/>
        <charset val="186"/>
      </rPr>
      <t xml:space="preserve"> euro</t>
    </r>
    <r>
      <rPr>
        <sz val="12"/>
        <color theme="1"/>
        <rFont val="Times New Roman"/>
        <family val="1"/>
        <charset val="186"/>
      </rPr>
      <t xml:space="preserve"> / 166.92 (vid. d. stundu sk. mēnesī). Vid. mēn. noslogojums 25.85 stundas, (8,22 </t>
    </r>
    <r>
      <rPr>
        <i/>
        <sz val="12"/>
        <color theme="1"/>
        <rFont val="Times New Roman"/>
        <family val="1"/>
        <charset val="186"/>
      </rPr>
      <t>euro</t>
    </r>
    <r>
      <rPr>
        <sz val="12"/>
        <color theme="1"/>
        <rFont val="Times New Roman"/>
        <family val="1"/>
        <charset val="186"/>
      </rPr>
      <t xml:space="preserve"> * 25.85 h) = 212,49 </t>
    </r>
    <r>
      <rPr>
        <i/>
        <sz val="12"/>
        <color theme="1"/>
        <rFont val="Times New Roman"/>
        <family val="1"/>
        <charset val="186"/>
      </rPr>
      <t>euro</t>
    </r>
    <r>
      <rPr>
        <sz val="12"/>
        <color theme="1"/>
        <rFont val="Times New Roman"/>
        <family val="1"/>
        <charset val="186"/>
      </rPr>
      <t xml:space="preserve">/mēn. * 12. mēn. = 2 549,88 </t>
    </r>
    <r>
      <rPr>
        <i/>
        <sz val="12"/>
        <color theme="1"/>
        <rFont val="Times New Roman"/>
        <family val="1"/>
        <charset val="186"/>
      </rPr>
      <t>euro</t>
    </r>
    <r>
      <rPr>
        <sz val="12"/>
        <color theme="1"/>
        <rFont val="Times New Roman"/>
        <family val="1"/>
        <charset val="186"/>
      </rPr>
      <t xml:space="preserve"> * 0.45 (pakalpojuma īpatsvars kopējos ēkā sniegtajos pakalpojumos) = 1 147,45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</si>
  <si>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15.10 stundas, (9,11 </t>
    </r>
    <r>
      <rPr>
        <i/>
        <sz val="12"/>
        <color theme="1"/>
        <rFont val="Times New Roman"/>
        <family val="1"/>
        <charset val="186"/>
      </rPr>
      <t>euro</t>
    </r>
    <r>
      <rPr>
        <sz val="12"/>
        <color theme="1"/>
        <rFont val="Times New Roman"/>
        <family val="1"/>
        <charset val="186"/>
      </rPr>
      <t xml:space="preserve"> * 15.10 h) = 137,56 </t>
    </r>
    <r>
      <rPr>
        <i/>
        <sz val="12"/>
        <color theme="1"/>
        <rFont val="Times New Roman"/>
        <family val="1"/>
        <charset val="186"/>
      </rPr>
      <t>euro</t>
    </r>
    <r>
      <rPr>
        <sz val="12"/>
        <color theme="1"/>
        <rFont val="Times New Roman"/>
        <family val="1"/>
        <charset val="186"/>
      </rPr>
      <t xml:space="preserve">/mēn. * 12. mēn. = 1 650,72 </t>
    </r>
    <r>
      <rPr>
        <i/>
        <sz val="12"/>
        <color theme="1"/>
        <rFont val="Times New Roman"/>
        <family val="1"/>
        <charset val="186"/>
      </rPr>
      <t>euro</t>
    </r>
    <r>
      <rPr>
        <sz val="12"/>
        <color theme="1"/>
        <rFont val="Times New Roman"/>
        <family val="1"/>
        <charset val="186"/>
      </rPr>
      <t xml:space="preserve"> * 0.45 (pakalpojuma īpatsvars kopējos ēkā sniegtajos pakalpojumos) = 742,82 </t>
    </r>
    <r>
      <rPr>
        <i/>
        <sz val="12"/>
        <color theme="1"/>
        <rFont val="Times New Roman"/>
        <family val="1"/>
        <charset val="186"/>
      </rPr>
      <t>euro</t>
    </r>
    <r>
      <rPr>
        <sz val="12"/>
        <color theme="1"/>
        <rFont val="Times New Roman"/>
        <family val="1"/>
        <charset val="186"/>
      </rPr>
      <t>.</t>
    </r>
  </si>
  <si>
    <r>
      <t>Finansists (15.1. saime, IA līmenis, 8. algu grupa, mēnešalga 1 372</t>
    </r>
    <r>
      <rPr>
        <i/>
        <sz val="12"/>
        <color theme="1"/>
        <rFont val="Times New Roman"/>
        <family val="1"/>
        <charset val="186"/>
      </rPr>
      <t xml:space="preserve"> euro). </t>
    </r>
    <r>
      <rPr>
        <sz val="12"/>
        <color theme="1"/>
        <rFont val="Times New Roman"/>
        <family val="1"/>
        <charset val="186"/>
      </rPr>
      <t>Stundas tarifa likme 8,22</t>
    </r>
    <r>
      <rPr>
        <i/>
        <sz val="12"/>
        <color theme="1"/>
        <rFont val="Times New Roman"/>
        <family val="1"/>
        <charset val="186"/>
      </rPr>
      <t xml:space="preserve"> euro = </t>
    </r>
    <r>
      <rPr>
        <sz val="12"/>
        <color theme="1"/>
        <rFont val="Times New Roman"/>
        <family val="1"/>
        <charset val="186"/>
      </rPr>
      <t xml:space="preserve">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0.45 (pakalpojuma īpatsvars kopējos ēkā sniegtajos pakalpojumos) = 409,27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</si>
  <si>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 xml:space="preserve">euro). </t>
    </r>
    <r>
      <rPr>
        <sz val="12"/>
        <color theme="1"/>
        <rFont val="Times New Roman"/>
        <family val="1"/>
        <charset val="186"/>
      </rPr>
      <t xml:space="preserve">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13 min, (12,07 </t>
    </r>
    <r>
      <rPr>
        <i/>
        <sz val="12"/>
        <color theme="1"/>
        <rFont val="Times New Roman"/>
        <family val="1"/>
        <charset val="186"/>
      </rPr>
      <t>euro</t>
    </r>
    <r>
      <rPr>
        <sz val="12"/>
        <color theme="1"/>
        <rFont val="Times New Roman"/>
        <family val="1"/>
        <charset val="186"/>
      </rPr>
      <t xml:space="preserve"> * 0.22 h) = 2,66 </t>
    </r>
    <r>
      <rPr>
        <i/>
        <sz val="12"/>
        <color theme="1"/>
        <rFont val="Times New Roman"/>
        <family val="1"/>
        <charset val="186"/>
      </rPr>
      <t>euro</t>
    </r>
    <r>
      <rPr>
        <sz val="12"/>
        <color theme="1"/>
        <rFont val="Times New Roman"/>
        <family val="1"/>
        <charset val="186"/>
      </rPr>
      <t xml:space="preserve">/mēn. * 12. mēn. = 31,92 </t>
    </r>
    <r>
      <rPr>
        <i/>
        <sz val="12"/>
        <color theme="1"/>
        <rFont val="Times New Roman"/>
        <family val="1"/>
        <charset val="186"/>
      </rPr>
      <t>euro</t>
    </r>
    <r>
      <rPr>
        <sz val="12"/>
        <color theme="1"/>
        <rFont val="Times New Roman"/>
        <family val="1"/>
        <charset val="186"/>
      </rPr>
      <t xml:space="preserve"> * 0.45 (pakalpojuma īpatsvars kopējos ēkā sniegtajos pakalpojumos) = 14,36 </t>
    </r>
    <r>
      <rPr>
        <i/>
        <sz val="12"/>
        <color theme="1"/>
        <rFont val="Times New Roman"/>
        <family val="1"/>
        <charset val="186"/>
      </rPr>
      <t>euro.</t>
    </r>
    <r>
      <rPr>
        <sz val="12"/>
        <color theme="1"/>
        <rFont val="Times New Roman"/>
        <family val="1"/>
        <charset val="186"/>
      </rPr>
      <t xml:space="preserve">         </t>
    </r>
  </si>
  <si>
    <r>
      <t xml:space="preserve">Veselības apdrošināšana, Galv. nekust. īpaš. pārvaldnieks (175,82 </t>
    </r>
    <r>
      <rPr>
        <i/>
        <sz val="12"/>
        <color theme="1"/>
        <rFont val="Times New Roman"/>
        <family val="1"/>
        <charset val="186"/>
      </rPr>
      <t>euro</t>
    </r>
    <r>
      <rPr>
        <sz val="12"/>
        <color theme="1"/>
        <rFont val="Times New Roman"/>
        <family val="1"/>
        <charset val="186"/>
      </rPr>
      <t xml:space="preserve"> * 5%) = 8,79 </t>
    </r>
    <r>
      <rPr>
        <i/>
        <sz val="12"/>
        <color theme="1"/>
        <rFont val="Times New Roman"/>
        <family val="1"/>
        <charset val="186"/>
      </rPr>
      <t>euro</t>
    </r>
    <r>
      <rPr>
        <sz val="12"/>
        <color theme="1"/>
        <rFont val="Times New Roman"/>
        <family val="1"/>
        <charset val="186"/>
      </rPr>
      <t xml:space="preserve">, Saimniecības pārzinis (231,98 </t>
    </r>
    <r>
      <rPr>
        <i/>
        <sz val="12"/>
        <color theme="1"/>
        <rFont val="Times New Roman"/>
        <family val="1"/>
        <charset val="186"/>
      </rPr>
      <t xml:space="preserve">euro </t>
    </r>
    <r>
      <rPr>
        <sz val="12"/>
        <color theme="1"/>
        <rFont val="Times New Roman"/>
        <family val="1"/>
        <charset val="186"/>
      </rPr>
      <t xml:space="preserve">* 5%) = 11,60 </t>
    </r>
    <r>
      <rPr>
        <i/>
        <sz val="12"/>
        <color theme="1"/>
        <rFont val="Times New Roman"/>
        <family val="1"/>
        <charset val="186"/>
      </rPr>
      <t>euro</t>
    </r>
    <r>
      <rPr>
        <sz val="12"/>
        <color theme="1"/>
        <rFont val="Times New Roman"/>
        <family val="1"/>
        <charset val="186"/>
      </rPr>
      <t xml:space="preserve">, Administrators (3 327,80 </t>
    </r>
    <r>
      <rPr>
        <i/>
        <sz val="12"/>
        <color theme="1"/>
        <rFont val="Times New Roman"/>
        <family val="1"/>
        <charset val="186"/>
      </rPr>
      <t>euro</t>
    </r>
    <r>
      <rPr>
        <sz val="12"/>
        <color theme="1"/>
        <rFont val="Times New Roman"/>
        <family val="1"/>
        <charset val="186"/>
      </rPr>
      <t xml:space="preserve"> * 5%) = 166,39 </t>
    </r>
    <r>
      <rPr>
        <i/>
        <sz val="12"/>
        <color theme="1"/>
        <rFont val="Times New Roman"/>
        <family val="1"/>
        <charset val="186"/>
      </rPr>
      <t>euro</t>
    </r>
    <r>
      <rPr>
        <sz val="12"/>
        <color theme="1"/>
        <rFont val="Times New Roman"/>
        <family val="1"/>
        <charset val="186"/>
      </rPr>
      <t xml:space="preserve">. Kopā (8,79 </t>
    </r>
    <r>
      <rPr>
        <i/>
        <sz val="12"/>
        <color theme="1"/>
        <rFont val="Times New Roman"/>
        <family val="1"/>
        <charset val="186"/>
      </rPr>
      <t>euro</t>
    </r>
    <r>
      <rPr>
        <sz val="12"/>
        <color theme="1"/>
        <rFont val="Times New Roman"/>
        <family val="1"/>
        <charset val="186"/>
      </rPr>
      <t xml:space="preserve"> + 11,60 </t>
    </r>
    <r>
      <rPr>
        <i/>
        <sz val="12"/>
        <color theme="1"/>
        <rFont val="Times New Roman"/>
        <family val="1"/>
        <charset val="186"/>
      </rPr>
      <t>euro</t>
    </r>
    <r>
      <rPr>
        <sz val="12"/>
        <color theme="1"/>
        <rFont val="Times New Roman"/>
        <family val="1"/>
        <charset val="186"/>
      </rPr>
      <t xml:space="preserve"> + 166,39 </t>
    </r>
    <r>
      <rPr>
        <i/>
        <sz val="12"/>
        <color theme="1"/>
        <rFont val="Times New Roman"/>
        <family val="1"/>
        <charset val="186"/>
      </rPr>
      <t>euro</t>
    </r>
    <r>
      <rPr>
        <sz val="12"/>
        <color theme="1"/>
        <rFont val="Times New Roman"/>
        <family val="1"/>
        <charset val="186"/>
      </rPr>
      <t xml:space="preserve">) = 186,78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</si>
  <si>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(4 109,16 </t>
    </r>
    <r>
      <rPr>
        <i/>
        <sz val="12"/>
        <color theme="1"/>
        <rFont val="Times New Roman"/>
        <family val="1"/>
        <charset val="186"/>
      </rPr>
      <t>euro</t>
    </r>
    <r>
      <rPr>
        <sz val="12"/>
        <color theme="1"/>
        <rFont val="Times New Roman"/>
        <family val="1"/>
        <charset val="186"/>
      </rPr>
      <t xml:space="preserve"> * 23,59 %) = 969,35 </t>
    </r>
    <r>
      <rPr>
        <i/>
        <sz val="12"/>
        <color theme="1"/>
        <rFont val="Times New Roman"/>
        <family val="1"/>
        <charset val="186"/>
      </rPr>
      <t xml:space="preserve">euro. </t>
    </r>
  </si>
  <si>
    <r>
      <t xml:space="preserve">Galv. nekust. īpaš. pārvaldnieks (175,82 </t>
    </r>
    <r>
      <rPr>
        <i/>
        <sz val="12"/>
        <color theme="1"/>
        <rFont val="Times New Roman"/>
        <family val="1"/>
        <charset val="186"/>
      </rPr>
      <t>euro</t>
    </r>
    <r>
      <rPr>
        <sz val="12"/>
        <color theme="1"/>
        <rFont val="Times New Roman"/>
        <family val="1"/>
        <charset val="186"/>
      </rPr>
      <t xml:space="preserve"> * 10%) = 17,58 </t>
    </r>
    <r>
      <rPr>
        <i/>
        <sz val="12"/>
        <color theme="1"/>
        <rFont val="Times New Roman"/>
        <family val="1"/>
        <charset val="186"/>
      </rPr>
      <t>euro</t>
    </r>
    <r>
      <rPr>
        <sz val="12"/>
        <color theme="1"/>
        <rFont val="Times New Roman"/>
        <family val="1"/>
        <charset val="186"/>
      </rPr>
      <t xml:space="preserve">, Saimniecības pārzinis (231,98 </t>
    </r>
    <r>
      <rPr>
        <i/>
        <sz val="12"/>
        <color theme="1"/>
        <rFont val="Times New Roman"/>
        <family val="1"/>
        <charset val="186"/>
      </rPr>
      <t>euro</t>
    </r>
    <r>
      <rPr>
        <sz val="12"/>
        <color theme="1"/>
        <rFont val="Times New Roman"/>
        <family val="1"/>
        <charset val="186"/>
      </rPr>
      <t xml:space="preserve"> * 10%) = 23,20 </t>
    </r>
    <r>
      <rPr>
        <i/>
        <sz val="12"/>
        <color theme="1"/>
        <rFont val="Times New Roman"/>
        <family val="1"/>
        <charset val="186"/>
      </rPr>
      <t>euro</t>
    </r>
    <r>
      <rPr>
        <sz val="12"/>
        <color theme="1"/>
        <rFont val="Times New Roman"/>
        <family val="1"/>
        <charset val="186"/>
      </rPr>
      <t xml:space="preserve">, Administrators (3 327,80 </t>
    </r>
    <r>
      <rPr>
        <i/>
        <sz val="12"/>
        <color theme="1"/>
        <rFont val="Times New Roman"/>
        <family val="1"/>
        <charset val="186"/>
      </rPr>
      <t>euro</t>
    </r>
    <r>
      <rPr>
        <sz val="12"/>
        <color theme="1"/>
        <rFont val="Times New Roman"/>
        <family val="1"/>
        <charset val="186"/>
      </rPr>
      <t xml:space="preserve"> * 10%) = 332,78 </t>
    </r>
    <r>
      <rPr>
        <i/>
        <sz val="12"/>
        <color theme="1"/>
        <rFont val="Times New Roman"/>
        <family val="1"/>
        <charset val="186"/>
      </rPr>
      <t>euro.</t>
    </r>
    <r>
      <rPr>
        <sz val="12"/>
        <color theme="1"/>
        <rFont val="Times New Roman"/>
        <family val="1"/>
        <charset val="186"/>
      </rPr>
      <t xml:space="preserve"> Kopā (17,58 euro + 23,20 euro + 332,78 euro) = 373,56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</si>
  <si>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23,59 %, 969,35 </t>
    </r>
    <r>
      <rPr>
        <i/>
        <sz val="12"/>
        <color theme="1"/>
        <rFont val="Times New Roman"/>
        <family val="1"/>
        <charset val="186"/>
      </rPr>
      <t>euro</t>
    </r>
    <r>
      <rPr>
        <sz val="12"/>
        <color theme="1"/>
        <rFont val="Times New Roman"/>
        <family val="1"/>
        <charset val="186"/>
      </rPr>
      <t xml:space="preserve">. Veselības apdrošināšana 186,78 </t>
    </r>
    <r>
      <rPr>
        <i/>
        <sz val="12"/>
        <color theme="1"/>
        <rFont val="Times New Roman"/>
        <family val="1"/>
        <charset val="186"/>
      </rPr>
      <t>euro</t>
    </r>
    <r>
      <rPr>
        <sz val="12"/>
        <color theme="1"/>
        <rFont val="Times New Roman"/>
        <family val="1"/>
        <charset val="186"/>
      </rPr>
      <t xml:space="preserve">, Kopā 1 156,13 </t>
    </r>
    <r>
      <rPr>
        <i/>
        <sz val="12"/>
        <color theme="1"/>
        <rFont val="Times New Roman"/>
        <family val="1"/>
        <charset val="186"/>
      </rPr>
      <t>euro</t>
    </r>
    <r>
      <rPr>
        <sz val="12"/>
        <color theme="1"/>
        <rFont val="Times New Roman"/>
        <family val="1"/>
        <charset val="186"/>
      </rPr>
      <t>.</t>
    </r>
  </si>
  <si>
    <r>
      <t xml:space="preserve">Administrators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 5,37 </t>
    </r>
    <r>
      <rPr>
        <i/>
        <sz val="12"/>
        <color theme="1"/>
        <rFont val="Times New Roman"/>
        <family val="1"/>
        <charset val="186"/>
      </rPr>
      <t>euro</t>
    </r>
    <r>
      <rPr>
        <sz val="12"/>
        <color theme="1"/>
        <rFont val="Times New Roman"/>
        <family val="1"/>
        <charset val="186"/>
      </rPr>
      <t xml:space="preserve">/stundā. Vid. mēn. noslogojums 114.76 stundas, (5,37 </t>
    </r>
    <r>
      <rPr>
        <i/>
        <sz val="12"/>
        <color theme="1"/>
        <rFont val="Times New Roman"/>
        <family val="1"/>
        <charset val="186"/>
      </rPr>
      <t>euro</t>
    </r>
    <r>
      <rPr>
        <sz val="12"/>
        <color theme="1"/>
        <rFont val="Times New Roman"/>
        <family val="1"/>
        <charset val="186"/>
      </rPr>
      <t xml:space="preserve"> * 114.76 h) = 616,26 </t>
    </r>
    <r>
      <rPr>
        <i/>
        <sz val="12"/>
        <color theme="1"/>
        <rFont val="Times New Roman"/>
        <family val="1"/>
        <charset val="186"/>
      </rPr>
      <t>euro</t>
    </r>
    <r>
      <rPr>
        <sz val="12"/>
        <color theme="1"/>
        <rFont val="Times New Roman"/>
        <family val="1"/>
        <charset val="186"/>
      </rPr>
      <t xml:space="preserve">/mēn. * 12. mēn. = 7 395,12 </t>
    </r>
    <r>
      <rPr>
        <i/>
        <sz val="12"/>
        <color theme="1"/>
        <rFont val="Times New Roman"/>
        <family val="1"/>
        <charset val="186"/>
      </rPr>
      <t xml:space="preserve">euro * </t>
    </r>
    <r>
      <rPr>
        <sz val="12"/>
        <color theme="1"/>
        <rFont val="Times New Roman"/>
        <family val="1"/>
        <charset val="186"/>
      </rPr>
      <t>0.077 (pakalpojuma īpatsvars kopējos ēkā sniegtajos maksas pakalpojumos) = 569,42</t>
    </r>
    <r>
      <rPr>
        <i/>
        <sz val="12"/>
        <color theme="1"/>
        <rFont val="Times New Roman"/>
        <family val="1"/>
        <charset val="186"/>
      </rPr>
      <t xml:space="preserve"> euro.</t>
    </r>
  </si>
  <si>
    <r>
      <t xml:space="preserve">Galv. nekust. īpaš. pārvaldnieks (30,09 </t>
    </r>
    <r>
      <rPr>
        <i/>
        <sz val="12"/>
        <color theme="1"/>
        <rFont val="Times New Roman"/>
        <family val="1"/>
        <charset val="186"/>
      </rPr>
      <t>euro</t>
    </r>
    <r>
      <rPr>
        <sz val="12"/>
        <color theme="1"/>
        <rFont val="Times New Roman"/>
        <family val="1"/>
        <charset val="186"/>
      </rPr>
      <t xml:space="preserve"> * 10%) = 3,01 </t>
    </r>
    <r>
      <rPr>
        <i/>
        <sz val="12"/>
        <color theme="1"/>
        <rFont val="Times New Roman"/>
        <family val="1"/>
        <charset val="186"/>
      </rPr>
      <t>euro</t>
    </r>
    <r>
      <rPr>
        <sz val="12"/>
        <color theme="1"/>
        <rFont val="Times New Roman"/>
        <family val="1"/>
        <charset val="186"/>
      </rPr>
      <t xml:space="preserve">, Saimniecības pārzinis (39,70 </t>
    </r>
    <r>
      <rPr>
        <i/>
        <sz val="12"/>
        <color theme="1"/>
        <rFont val="Times New Roman"/>
        <family val="1"/>
        <charset val="186"/>
      </rPr>
      <t>euro</t>
    </r>
    <r>
      <rPr>
        <sz val="12"/>
        <color theme="1"/>
        <rFont val="Times New Roman"/>
        <family val="1"/>
        <charset val="186"/>
      </rPr>
      <t xml:space="preserve"> * 10%) = 3,97 </t>
    </r>
    <r>
      <rPr>
        <i/>
        <sz val="12"/>
        <color theme="1"/>
        <rFont val="Times New Roman"/>
        <family val="1"/>
        <charset val="186"/>
      </rPr>
      <t>euro</t>
    </r>
    <r>
      <rPr>
        <sz val="12"/>
        <color theme="1"/>
        <rFont val="Times New Roman"/>
        <family val="1"/>
        <charset val="186"/>
      </rPr>
      <t xml:space="preserve">, Administrators (569,42 </t>
    </r>
    <r>
      <rPr>
        <i/>
        <sz val="12"/>
        <color theme="1"/>
        <rFont val="Times New Roman"/>
        <family val="1"/>
        <charset val="186"/>
      </rPr>
      <t>euro</t>
    </r>
    <r>
      <rPr>
        <sz val="12"/>
        <color theme="1"/>
        <rFont val="Times New Roman"/>
        <family val="1"/>
        <charset val="186"/>
      </rPr>
      <t xml:space="preserve"> * 10%) = 56,94 </t>
    </r>
    <r>
      <rPr>
        <i/>
        <sz val="12"/>
        <color theme="1"/>
        <rFont val="Times New Roman"/>
        <family val="1"/>
        <charset val="186"/>
      </rPr>
      <t>euro.</t>
    </r>
    <r>
      <rPr>
        <sz val="12"/>
        <color theme="1"/>
        <rFont val="Times New Roman"/>
        <family val="1"/>
        <charset val="186"/>
      </rPr>
      <t xml:space="preserve"> Kopā (3,01 </t>
    </r>
    <r>
      <rPr>
        <i/>
        <sz val="12"/>
        <color theme="1"/>
        <rFont val="Times New Roman"/>
        <family val="1"/>
        <charset val="186"/>
      </rPr>
      <t>euro</t>
    </r>
    <r>
      <rPr>
        <sz val="12"/>
        <color theme="1"/>
        <rFont val="Times New Roman"/>
        <family val="1"/>
        <charset val="186"/>
      </rPr>
      <t xml:space="preserve"> + 3,97 </t>
    </r>
    <r>
      <rPr>
        <i/>
        <sz val="12"/>
        <color theme="1"/>
        <rFont val="Times New Roman"/>
        <family val="1"/>
        <charset val="186"/>
      </rPr>
      <t>euro</t>
    </r>
    <r>
      <rPr>
        <sz val="12"/>
        <color theme="1"/>
        <rFont val="Times New Roman"/>
        <family val="1"/>
        <charset val="186"/>
      </rPr>
      <t xml:space="preserve"> + 56,94 </t>
    </r>
    <r>
      <rPr>
        <i/>
        <sz val="12"/>
        <color theme="1"/>
        <rFont val="Times New Roman"/>
        <family val="1"/>
        <charset val="186"/>
      </rPr>
      <t>euro</t>
    </r>
    <r>
      <rPr>
        <sz val="12"/>
        <color theme="1"/>
        <rFont val="Times New Roman"/>
        <family val="1"/>
        <charset val="186"/>
      </rPr>
      <t xml:space="preserve">) = 63,92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</si>
  <si>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(703,13 </t>
    </r>
    <r>
      <rPr>
        <i/>
        <sz val="12"/>
        <color theme="1"/>
        <rFont val="Times New Roman"/>
        <family val="1"/>
        <charset val="186"/>
      </rPr>
      <t>euro</t>
    </r>
    <r>
      <rPr>
        <sz val="12"/>
        <color theme="1"/>
        <rFont val="Times New Roman"/>
        <family val="1"/>
        <charset val="186"/>
      </rPr>
      <t xml:space="preserve"> * 23,59 %) = 165,87 </t>
    </r>
    <r>
      <rPr>
        <i/>
        <sz val="12"/>
        <color theme="1"/>
        <rFont val="Times New Roman"/>
        <family val="1"/>
        <charset val="186"/>
      </rPr>
      <t xml:space="preserve">euro. </t>
    </r>
  </si>
  <si>
    <r>
      <t xml:space="preserve">Darba devēja valsts sociālās apdrošināšanas obligātās iemaksas 23,59 %, 165,87 </t>
    </r>
    <r>
      <rPr>
        <i/>
        <sz val="12"/>
        <color theme="1"/>
        <rFont val="Times New Roman"/>
        <family val="1"/>
        <charset val="186"/>
      </rPr>
      <t>euro</t>
    </r>
    <r>
      <rPr>
        <sz val="12"/>
        <color theme="1"/>
        <rFont val="Times New Roman"/>
        <family val="1"/>
        <charset val="186"/>
      </rPr>
      <t xml:space="preserve">. Veselības apdrošināšana 31,96 </t>
    </r>
    <r>
      <rPr>
        <i/>
        <sz val="12"/>
        <color theme="1"/>
        <rFont val="Times New Roman"/>
        <family val="1"/>
        <charset val="186"/>
      </rPr>
      <t xml:space="preserve">euro. </t>
    </r>
    <r>
      <rPr>
        <sz val="12"/>
        <color theme="1"/>
        <rFont val="Times New Roman"/>
        <family val="1"/>
        <charset val="186"/>
      </rPr>
      <t xml:space="preserve">Kopā 197,83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</si>
  <si>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13 min, (12,07 </t>
    </r>
    <r>
      <rPr>
        <i/>
        <sz val="12"/>
        <color theme="1"/>
        <rFont val="Times New Roman"/>
        <family val="1"/>
        <charset val="186"/>
      </rPr>
      <t>euro</t>
    </r>
    <r>
      <rPr>
        <sz val="12"/>
        <color theme="1"/>
        <rFont val="Times New Roman"/>
        <family val="1"/>
        <charset val="186"/>
      </rPr>
      <t xml:space="preserve"> * 0.22 h) = 2,66 </t>
    </r>
    <r>
      <rPr>
        <i/>
        <sz val="12"/>
        <color theme="1"/>
        <rFont val="Times New Roman"/>
        <family val="1"/>
        <charset val="186"/>
      </rPr>
      <t>euro</t>
    </r>
    <r>
      <rPr>
        <sz val="12"/>
        <color theme="1"/>
        <rFont val="Times New Roman"/>
        <family val="1"/>
        <charset val="186"/>
      </rPr>
      <t xml:space="preserve">/mēn. * 12. mēn. = 31,92 </t>
    </r>
    <r>
      <rPr>
        <i/>
        <sz val="12"/>
        <color theme="1"/>
        <rFont val="Times New Roman"/>
        <family val="1"/>
        <charset val="186"/>
      </rPr>
      <t>euro</t>
    </r>
    <r>
      <rPr>
        <sz val="12"/>
        <color theme="1"/>
        <rFont val="Times New Roman"/>
        <family val="1"/>
        <charset val="186"/>
      </rPr>
      <t xml:space="preserve"> * 0.077 (pakalpojuma īpatsvars kopējos ēkā sniegtajos pakalpojumos) = 2,46 </t>
    </r>
    <r>
      <rPr>
        <i/>
        <sz val="12"/>
        <color theme="1"/>
        <rFont val="Times New Roman"/>
        <family val="1"/>
        <charset val="186"/>
      </rPr>
      <t>euro</t>
    </r>
    <r>
      <rPr>
        <sz val="12"/>
        <color theme="1"/>
        <rFont val="Times New Roman"/>
        <family val="1"/>
        <charset val="186"/>
      </rPr>
      <t xml:space="preserve">.         </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</si>
  <si>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0.077 (pakalpojuma īpatsvars kopējos ēkā sniegtajos pakalpojumos) = 70,03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</si>
  <si>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15.10 stundas, (9,11 </t>
    </r>
    <r>
      <rPr>
        <i/>
        <sz val="12"/>
        <color theme="1"/>
        <rFont val="Times New Roman"/>
        <family val="1"/>
        <charset val="186"/>
      </rPr>
      <t>euro</t>
    </r>
    <r>
      <rPr>
        <sz val="12"/>
        <color theme="1"/>
        <rFont val="Times New Roman"/>
        <family val="1"/>
        <charset val="186"/>
      </rPr>
      <t xml:space="preserve"> * 15.10 h) = 137,56 </t>
    </r>
    <r>
      <rPr>
        <i/>
        <sz val="12"/>
        <color theme="1"/>
        <rFont val="Times New Roman"/>
        <family val="1"/>
        <charset val="186"/>
      </rPr>
      <t>euro</t>
    </r>
    <r>
      <rPr>
        <sz val="12"/>
        <color theme="1"/>
        <rFont val="Times New Roman"/>
        <family val="1"/>
        <charset val="186"/>
      </rPr>
      <t xml:space="preserve">/mēn. * 12. mēn. = 1 650,72 </t>
    </r>
    <r>
      <rPr>
        <i/>
        <sz val="12"/>
        <color theme="1"/>
        <rFont val="Times New Roman"/>
        <family val="1"/>
        <charset val="186"/>
      </rPr>
      <t>euro</t>
    </r>
    <r>
      <rPr>
        <sz val="12"/>
        <color theme="1"/>
        <rFont val="Times New Roman"/>
        <family val="1"/>
        <charset val="186"/>
      </rPr>
      <t xml:space="preserve"> * 0.077 (pakalpojuma īpatsvars kopējos ēkā sniegtajos pakalpojumos) = 127,11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</si>
  <si>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 xml:space="preserve">euro). </t>
    </r>
    <r>
      <rPr>
        <sz val="12"/>
        <color theme="1"/>
        <rFont val="Times New Roman"/>
        <family val="1"/>
        <charset val="186"/>
      </rPr>
      <t>Stundas tarifa likme</t>
    </r>
    <r>
      <rPr>
        <i/>
        <sz val="12"/>
        <color theme="1"/>
        <rFont val="Times New Roman"/>
        <family val="1"/>
        <charset val="186"/>
      </rPr>
      <t xml:space="preserve"> </t>
    </r>
    <r>
      <rPr>
        <sz val="12"/>
        <color theme="1"/>
        <rFont val="Times New Roman"/>
        <family val="1"/>
        <charset val="186"/>
      </rPr>
      <t xml:space="preserve">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73 minūtes, (24,34 </t>
    </r>
    <r>
      <rPr>
        <i/>
        <sz val="12"/>
        <color theme="1"/>
        <rFont val="Times New Roman"/>
        <family val="1"/>
        <charset val="186"/>
      </rPr>
      <t>euro</t>
    </r>
    <r>
      <rPr>
        <sz val="12"/>
        <color theme="1"/>
        <rFont val="Times New Roman"/>
        <family val="1"/>
        <charset val="186"/>
      </rPr>
      <t xml:space="preserve"> * 1.22 h) = 29,69 </t>
    </r>
    <r>
      <rPr>
        <i/>
        <sz val="12"/>
        <color theme="1"/>
        <rFont val="Times New Roman"/>
        <family val="1"/>
        <charset val="186"/>
      </rPr>
      <t>euro</t>
    </r>
    <r>
      <rPr>
        <sz val="12"/>
        <color theme="1"/>
        <rFont val="Times New Roman"/>
        <family val="1"/>
        <charset val="186"/>
      </rPr>
      <t xml:space="preserve">/mēn. * 12. mēn. = 356,28 </t>
    </r>
    <r>
      <rPr>
        <i/>
        <sz val="12"/>
        <color theme="1"/>
        <rFont val="Times New Roman"/>
        <family val="1"/>
        <charset val="186"/>
      </rPr>
      <t>euro</t>
    </r>
    <r>
      <rPr>
        <sz val="12"/>
        <color theme="1"/>
        <rFont val="Times New Roman"/>
        <family val="1"/>
        <charset val="186"/>
      </rPr>
      <t xml:space="preserve"> * 0.45 (pakalpojuma īpatsvars kopējos ēkā sniegtajos pakalpojumos) = 160,33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</si>
  <si>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 xml:space="preserve">euro). </t>
    </r>
    <r>
      <rPr>
        <sz val="12"/>
        <color theme="1"/>
        <rFont val="Times New Roman"/>
        <family val="1"/>
        <charset val="186"/>
      </rPr>
      <t>Stundas tarifa likme 26,96</t>
    </r>
    <r>
      <rPr>
        <i/>
        <sz val="12"/>
        <color theme="1"/>
        <rFont val="Times New Roman"/>
        <family val="1"/>
        <charset val="186"/>
      </rPr>
      <t xml:space="preserve"> euro =</t>
    </r>
    <r>
      <rPr>
        <sz val="12"/>
        <color theme="1"/>
        <rFont val="Times New Roman"/>
        <family val="1"/>
        <charset val="186"/>
      </rPr>
      <t xml:space="preserve"> 4 500 </t>
    </r>
    <r>
      <rPr>
        <i/>
        <sz val="12"/>
        <color theme="1"/>
        <rFont val="Times New Roman"/>
        <family val="1"/>
        <charset val="186"/>
      </rPr>
      <t>euro</t>
    </r>
    <r>
      <rPr>
        <sz val="12"/>
        <color theme="1"/>
        <rFont val="Times New Roman"/>
        <family val="1"/>
        <charset val="186"/>
      </rPr>
      <t xml:space="preserve"> / 166.92 (vid. d. stundu sk. mēnesī)). Vid. mēn. noslogojums  17 min., (26,96 </t>
    </r>
    <r>
      <rPr>
        <i/>
        <sz val="12"/>
        <color theme="1"/>
        <rFont val="Times New Roman"/>
        <family val="1"/>
        <charset val="186"/>
      </rPr>
      <t>euro</t>
    </r>
    <r>
      <rPr>
        <sz val="12"/>
        <color theme="1"/>
        <rFont val="Times New Roman"/>
        <family val="1"/>
        <charset val="186"/>
      </rPr>
      <t xml:space="preserve"> * 0.28 h) = 7,55 </t>
    </r>
    <r>
      <rPr>
        <i/>
        <sz val="12"/>
        <color theme="1"/>
        <rFont val="Times New Roman"/>
        <family val="1"/>
        <charset val="186"/>
      </rPr>
      <t>euro</t>
    </r>
    <r>
      <rPr>
        <sz val="12"/>
        <color theme="1"/>
        <rFont val="Times New Roman"/>
        <family val="1"/>
        <charset val="186"/>
      </rPr>
      <t xml:space="preserve">/mēn. * 12. mēn. = 90,60 </t>
    </r>
    <r>
      <rPr>
        <i/>
        <sz val="12"/>
        <color theme="1"/>
        <rFont val="Times New Roman"/>
        <family val="1"/>
        <charset val="186"/>
      </rPr>
      <t>euro</t>
    </r>
    <r>
      <rPr>
        <sz val="12"/>
        <color theme="1"/>
        <rFont val="Times New Roman"/>
        <family val="1"/>
        <charset val="186"/>
      </rPr>
      <t xml:space="preserve"> * 0.077 (pakalpojuma īpatsvars kopējos ēkā sniegtajos maksas pakalpojumos) = 6,98 </t>
    </r>
    <r>
      <rPr>
        <i/>
        <sz val="12"/>
        <color theme="1"/>
        <rFont val="Times New Roman"/>
        <family val="1"/>
        <charset val="186"/>
      </rPr>
      <t>euro</t>
    </r>
    <r>
      <rPr>
        <sz val="12"/>
        <color theme="1"/>
        <rFont val="Times New Roman"/>
        <family val="1"/>
        <charset val="186"/>
      </rPr>
      <t>.</t>
    </r>
  </si>
  <si>
    <t>Apkalpojošais personāls</t>
  </si>
  <si>
    <t xml:space="preserve">Apkalpojošais personāls. </t>
  </si>
  <si>
    <r>
      <t xml:space="preserve">Galv. nekust. īpaš. pārvaldnieks (124,77 </t>
    </r>
    <r>
      <rPr>
        <i/>
        <sz val="12"/>
        <color theme="1"/>
        <rFont val="Times New Roman"/>
        <family val="1"/>
        <charset val="186"/>
      </rPr>
      <t>euro</t>
    </r>
    <r>
      <rPr>
        <sz val="12"/>
        <color theme="1"/>
        <rFont val="Times New Roman"/>
        <family val="1"/>
        <charset val="186"/>
      </rPr>
      <t xml:space="preserve"> * 10%) = 12,48 </t>
    </r>
    <r>
      <rPr>
        <i/>
        <sz val="12"/>
        <color theme="1"/>
        <rFont val="Times New Roman"/>
        <family val="1"/>
        <charset val="186"/>
      </rPr>
      <t>euro</t>
    </r>
    <r>
      <rPr>
        <sz val="12"/>
        <color theme="1"/>
        <rFont val="Times New Roman"/>
        <family val="1"/>
        <charset val="186"/>
      </rPr>
      <t xml:space="preserve">, Administrators (3 334,46 </t>
    </r>
    <r>
      <rPr>
        <i/>
        <sz val="12"/>
        <color theme="1"/>
        <rFont val="Times New Roman"/>
        <family val="1"/>
        <charset val="186"/>
      </rPr>
      <t>euro</t>
    </r>
    <r>
      <rPr>
        <sz val="12"/>
        <color theme="1"/>
        <rFont val="Times New Roman"/>
        <family val="1"/>
        <charset val="186"/>
      </rPr>
      <t xml:space="preserve"> * 10%) = 333,45 </t>
    </r>
    <r>
      <rPr>
        <i/>
        <sz val="12"/>
        <color theme="1"/>
        <rFont val="Times New Roman"/>
        <family val="1"/>
        <charset val="186"/>
      </rPr>
      <t>euro.</t>
    </r>
    <r>
      <rPr>
        <sz val="12"/>
        <color theme="1"/>
        <rFont val="Times New Roman"/>
        <family val="1"/>
        <charset val="186"/>
      </rPr>
      <t xml:space="preserve"> Kopā (12,48 </t>
    </r>
    <r>
      <rPr>
        <i/>
        <sz val="12"/>
        <color theme="1"/>
        <rFont val="Times New Roman"/>
        <family val="1"/>
        <charset val="186"/>
      </rPr>
      <t>euro</t>
    </r>
    <r>
      <rPr>
        <sz val="12"/>
        <color theme="1"/>
        <rFont val="Times New Roman"/>
        <family val="1"/>
        <charset val="186"/>
      </rPr>
      <t xml:space="preserve"> + 333,45 </t>
    </r>
    <r>
      <rPr>
        <i/>
        <sz val="12"/>
        <color theme="1"/>
        <rFont val="Times New Roman"/>
        <family val="1"/>
        <charset val="186"/>
      </rPr>
      <t>euro</t>
    </r>
    <r>
      <rPr>
        <sz val="12"/>
        <color theme="1"/>
        <rFont val="Times New Roman"/>
        <family val="1"/>
        <charset val="186"/>
      </rPr>
      <t xml:space="preserve">) = 345,93 </t>
    </r>
    <r>
      <rPr>
        <i/>
        <sz val="12"/>
        <color theme="1"/>
        <rFont val="Times New Roman"/>
        <family val="1"/>
        <charset val="186"/>
      </rPr>
      <t>euro</t>
    </r>
    <r>
      <rPr>
        <sz val="12"/>
        <color theme="1"/>
        <rFont val="Times New Roman"/>
        <family val="1"/>
        <charset val="186"/>
      </rPr>
      <t>.</t>
    </r>
  </si>
  <si>
    <r>
      <t xml:space="preserve">1 m3 ūdens maksā 2,52 </t>
    </r>
    <r>
      <rPr>
        <i/>
        <sz val="12"/>
        <color theme="1"/>
        <rFont val="Times New Roman"/>
        <family val="1"/>
        <charset val="186"/>
      </rPr>
      <t>euro</t>
    </r>
    <r>
      <rPr>
        <sz val="12"/>
        <color theme="1"/>
        <rFont val="Times New Roman"/>
        <family val="1"/>
        <charset val="186"/>
      </rPr>
      <t xml:space="preserve">. 15 cilvēki (stundā) izlieto vidēji 0,59 m3 ūdens, (2,52 </t>
    </r>
    <r>
      <rPr>
        <i/>
        <sz val="12"/>
        <color theme="1"/>
        <rFont val="Times New Roman"/>
        <family val="1"/>
        <charset val="186"/>
      </rPr>
      <t xml:space="preserve">euro </t>
    </r>
    <r>
      <rPr>
        <sz val="12"/>
        <color theme="1"/>
        <rFont val="Times New Roman"/>
        <family val="1"/>
        <charset val="186"/>
      </rPr>
      <t>x 0,59 m3) = 1,49</t>
    </r>
    <r>
      <rPr>
        <i/>
        <sz val="12"/>
        <color theme="1"/>
        <rFont val="Times New Roman"/>
        <family val="1"/>
        <charset val="186"/>
      </rPr>
      <t xml:space="preserve"> euro/h</t>
    </r>
    <r>
      <rPr>
        <sz val="12"/>
        <color theme="1"/>
        <rFont val="Times New Roman"/>
        <family val="1"/>
        <charset val="186"/>
      </rPr>
      <t xml:space="preserve"> x 892 h) = 1 329,08 </t>
    </r>
    <r>
      <rPr>
        <i/>
        <sz val="12"/>
        <color theme="1"/>
        <rFont val="Times New Roman"/>
        <family val="1"/>
        <charset val="186"/>
      </rPr>
      <t>euro</t>
    </r>
    <r>
      <rPr>
        <sz val="12"/>
        <color theme="1"/>
        <rFont val="Times New Roman"/>
        <family val="1"/>
        <charset val="186"/>
      </rPr>
      <t>.</t>
    </r>
  </si>
  <si>
    <r>
      <t xml:space="preserve">1 m3 ūdens maksā 2,68 </t>
    </r>
    <r>
      <rPr>
        <i/>
        <sz val="12"/>
        <color theme="1"/>
        <rFont val="Times New Roman"/>
        <family val="1"/>
        <charset val="186"/>
      </rPr>
      <t>euro</t>
    </r>
    <r>
      <rPr>
        <sz val="12"/>
        <color theme="1"/>
        <rFont val="Times New Roman"/>
        <family val="1"/>
        <charset val="186"/>
      </rPr>
      <t xml:space="preserve">. 15 cilvēki (stundā) izlieto vidēji 0,59 m3 ūdens, (2,68 </t>
    </r>
    <r>
      <rPr>
        <i/>
        <sz val="12"/>
        <color theme="1"/>
        <rFont val="Times New Roman"/>
        <family val="1"/>
        <charset val="186"/>
      </rPr>
      <t>euro</t>
    </r>
    <r>
      <rPr>
        <sz val="12"/>
        <color theme="1"/>
        <rFont val="Times New Roman"/>
        <family val="1"/>
        <charset val="186"/>
      </rPr>
      <t xml:space="preserve"> * 0,59 m3) = 1,58 </t>
    </r>
    <r>
      <rPr>
        <i/>
        <sz val="12"/>
        <color theme="1"/>
        <rFont val="Times New Roman"/>
        <family val="1"/>
        <charset val="186"/>
      </rPr>
      <t>euro</t>
    </r>
    <r>
      <rPr>
        <sz val="12"/>
        <color theme="1"/>
        <rFont val="Times New Roman"/>
        <family val="1"/>
        <charset val="186"/>
      </rPr>
      <t xml:space="preserve">/h * 894 h) = 1 412,52 </t>
    </r>
    <r>
      <rPr>
        <i/>
        <sz val="12"/>
        <color theme="1"/>
        <rFont val="Times New Roman"/>
        <family val="1"/>
        <charset val="186"/>
      </rPr>
      <t>euro</t>
    </r>
    <r>
      <rPr>
        <sz val="12"/>
        <color theme="1"/>
        <rFont val="Times New Roman"/>
        <family val="1"/>
        <charset val="186"/>
      </rPr>
      <t xml:space="preserve"> </t>
    </r>
  </si>
  <si>
    <t>Vadības, administrācijas, pārējo darbinieku atalgojums.</t>
  </si>
  <si>
    <r>
      <t xml:space="preserve">Vadošais personāla speciālists (34. saime, III līmenis, 11. algu grupa, mēnešalga 1 877 </t>
    </r>
    <r>
      <rPr>
        <i/>
        <sz val="12"/>
        <color theme="1"/>
        <rFont val="Times New Roman"/>
        <family val="1"/>
        <charset val="186"/>
      </rPr>
      <t xml:space="preserve">euro). </t>
    </r>
    <r>
      <rPr>
        <sz val="12"/>
        <color theme="1"/>
        <rFont val="Times New Roman"/>
        <family val="1"/>
        <charset val="186"/>
      </rPr>
      <t xml:space="preserve">Stundas tarifa likme 11,24 </t>
    </r>
    <r>
      <rPr>
        <i/>
        <sz val="12"/>
        <color theme="1"/>
        <rFont val="Times New Roman"/>
        <family val="1"/>
        <charset val="186"/>
      </rPr>
      <t xml:space="preserve">euro = </t>
    </r>
    <r>
      <rPr>
        <sz val="12"/>
        <color theme="1"/>
        <rFont val="Times New Roman"/>
        <family val="1"/>
        <charset val="186"/>
      </rPr>
      <t xml:space="preserve">1 877 </t>
    </r>
    <r>
      <rPr>
        <i/>
        <sz val="12"/>
        <color theme="1"/>
        <rFont val="Times New Roman"/>
        <family val="1"/>
        <charset val="186"/>
      </rPr>
      <t>euro</t>
    </r>
    <r>
      <rPr>
        <sz val="12"/>
        <color theme="1"/>
        <rFont val="Times New Roman"/>
        <family val="1"/>
        <charset val="186"/>
      </rPr>
      <t xml:space="preserve"> / 166.92 (vid. d. stundu sk. mēnesī). Vid. mēn. noslogojums 20 min, (11,24 </t>
    </r>
    <r>
      <rPr>
        <i/>
        <sz val="12"/>
        <color theme="1"/>
        <rFont val="Times New Roman"/>
        <family val="1"/>
        <charset val="186"/>
      </rPr>
      <t>euro</t>
    </r>
    <r>
      <rPr>
        <sz val="12"/>
        <color theme="1"/>
        <rFont val="Times New Roman"/>
        <family val="1"/>
        <charset val="186"/>
      </rPr>
      <t xml:space="preserve"> * 0.33 h) = 3,71 </t>
    </r>
    <r>
      <rPr>
        <i/>
        <sz val="12"/>
        <color theme="1"/>
        <rFont val="Times New Roman"/>
        <family val="1"/>
        <charset val="186"/>
      </rPr>
      <t>euro</t>
    </r>
    <r>
      <rPr>
        <sz val="12"/>
        <color theme="1"/>
        <rFont val="Times New Roman"/>
        <family val="1"/>
        <charset val="186"/>
      </rPr>
      <t xml:space="preserve">/mēn. * 12. mēn. = 44,52 </t>
    </r>
    <r>
      <rPr>
        <i/>
        <sz val="12"/>
        <color theme="1"/>
        <rFont val="Times New Roman"/>
        <family val="1"/>
        <charset val="186"/>
      </rPr>
      <t>euro</t>
    </r>
    <r>
      <rPr>
        <sz val="12"/>
        <color theme="1"/>
        <rFont val="Times New Roman"/>
        <family val="1"/>
        <charset val="186"/>
      </rPr>
      <t xml:space="preserve"> * 0.45 (pakalpojuma īpatsvars kopējos ēkā sniegtajos pakalpojumos) = 20,03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</si>
  <si>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t>
    </r>
    <r>
      <rPr>
        <i/>
        <sz val="12"/>
        <color theme="1"/>
        <rFont val="Times New Roman"/>
        <family val="1"/>
        <charset val="186"/>
      </rPr>
      <t xml:space="preserve"> euro = </t>
    </r>
    <r>
      <rPr>
        <sz val="12"/>
        <color theme="1"/>
        <rFont val="Times New Roman"/>
        <family val="1"/>
        <charset val="186"/>
      </rPr>
      <t>1 266</t>
    </r>
    <r>
      <rPr>
        <i/>
        <sz val="12"/>
        <color theme="1"/>
        <rFont val="Times New Roman"/>
        <family val="1"/>
        <charset val="186"/>
      </rPr>
      <t xml:space="preserve"> euro</t>
    </r>
    <r>
      <rPr>
        <sz val="12"/>
        <color theme="1"/>
        <rFont val="Times New Roman"/>
        <family val="1"/>
        <charset val="186"/>
      </rPr>
      <t xml:space="preserve"> / 166.92 (vid. d. stundu sk. mēnesī). Vid. mēn. noslogojums 20 min., (7,58 </t>
    </r>
    <r>
      <rPr>
        <i/>
        <sz val="12"/>
        <color theme="1"/>
        <rFont val="Times New Roman"/>
        <family val="1"/>
        <charset val="186"/>
      </rPr>
      <t>euro</t>
    </r>
    <r>
      <rPr>
        <sz val="12"/>
        <color theme="1"/>
        <rFont val="Times New Roman"/>
        <family val="1"/>
        <charset val="186"/>
      </rPr>
      <t xml:space="preserve"> * 0.33 h) = 2,50 </t>
    </r>
    <r>
      <rPr>
        <i/>
        <sz val="12"/>
        <color theme="1"/>
        <rFont val="Times New Roman"/>
        <family val="1"/>
        <charset val="186"/>
      </rPr>
      <t>euro</t>
    </r>
    <r>
      <rPr>
        <sz val="12"/>
        <color theme="1"/>
        <rFont val="Times New Roman"/>
        <family val="1"/>
        <charset val="186"/>
      </rPr>
      <t xml:space="preserve">/mēn. * 12. mēn. = 30,00 </t>
    </r>
    <r>
      <rPr>
        <i/>
        <sz val="12"/>
        <color theme="1"/>
        <rFont val="Times New Roman"/>
        <family val="1"/>
        <charset val="186"/>
      </rPr>
      <t>euro</t>
    </r>
    <r>
      <rPr>
        <sz val="12"/>
        <color theme="1"/>
        <rFont val="Times New Roman"/>
        <family val="1"/>
        <charset val="186"/>
      </rPr>
      <t xml:space="preserve"> * 0.45 (pakalpojuma īpatsvars kopējos ēkā sniegtajos pakalpojumos) = 13,50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</si>
  <si>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 xml:space="preserve">euro). </t>
    </r>
    <r>
      <rPr>
        <sz val="12"/>
        <color theme="1"/>
        <rFont val="Times New Roman"/>
        <family val="1"/>
        <charset val="186"/>
      </rPr>
      <t>Stundas tarifa likme 11,22</t>
    </r>
    <r>
      <rPr>
        <i/>
        <sz val="12"/>
        <color theme="1"/>
        <rFont val="Times New Roman"/>
        <family val="1"/>
        <charset val="186"/>
      </rPr>
      <t xml:space="preserve"> 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20 min., (11,22 </t>
    </r>
    <r>
      <rPr>
        <i/>
        <sz val="12"/>
        <color theme="1"/>
        <rFont val="Times New Roman"/>
        <family val="1"/>
        <charset val="186"/>
      </rPr>
      <t>euro</t>
    </r>
    <r>
      <rPr>
        <sz val="12"/>
        <color theme="1"/>
        <rFont val="Times New Roman"/>
        <family val="1"/>
        <charset val="186"/>
      </rPr>
      <t xml:space="preserve"> * 0.33 h) = 3,70 </t>
    </r>
    <r>
      <rPr>
        <i/>
        <sz val="12"/>
        <color theme="1"/>
        <rFont val="Times New Roman"/>
        <family val="1"/>
        <charset val="186"/>
      </rPr>
      <t>euro</t>
    </r>
    <r>
      <rPr>
        <sz val="12"/>
        <color theme="1"/>
        <rFont val="Times New Roman"/>
        <family val="1"/>
        <charset val="186"/>
      </rPr>
      <t xml:space="preserve">/mēn. * 12. mēn. = 44,40 </t>
    </r>
    <r>
      <rPr>
        <i/>
        <sz val="12"/>
        <color theme="1"/>
        <rFont val="Times New Roman"/>
        <family val="1"/>
        <charset val="186"/>
      </rPr>
      <t>euro</t>
    </r>
    <r>
      <rPr>
        <sz val="12"/>
        <color theme="1"/>
        <rFont val="Times New Roman"/>
        <family val="1"/>
        <charset val="186"/>
      </rPr>
      <t xml:space="preserve"> * 0.45 (pakalpojuma īpatsvars kopējos ēkā sniegtajos pakalpojumos) = 19,98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</si>
  <si>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 xml:space="preserve">euro). </t>
    </r>
    <r>
      <rPr>
        <sz val="12"/>
        <color theme="1"/>
        <rFont val="Times New Roman"/>
        <family val="1"/>
        <charset val="186"/>
      </rPr>
      <t xml:space="preserve">Stundas tarifa likme 15,03 euro = 2 508 </t>
    </r>
    <r>
      <rPr>
        <i/>
        <sz val="12"/>
        <color theme="1"/>
        <rFont val="Times New Roman"/>
        <family val="1"/>
        <charset val="186"/>
      </rPr>
      <t>euro</t>
    </r>
    <r>
      <rPr>
        <sz val="12"/>
        <color theme="1"/>
        <rFont val="Times New Roman"/>
        <family val="1"/>
        <charset val="186"/>
      </rPr>
      <t xml:space="preserve"> / 166.92 (vid. d. stundu sk. mēnesī). Vid. mēn. noslogojums 20 min., (15,03 </t>
    </r>
    <r>
      <rPr>
        <i/>
        <sz val="12"/>
        <color theme="1"/>
        <rFont val="Times New Roman"/>
        <family val="1"/>
        <charset val="186"/>
      </rPr>
      <t>euro</t>
    </r>
    <r>
      <rPr>
        <sz val="12"/>
        <color theme="1"/>
        <rFont val="Times New Roman"/>
        <family val="1"/>
        <charset val="186"/>
      </rPr>
      <t xml:space="preserve"> * 0.33 h) = 4,96 </t>
    </r>
    <r>
      <rPr>
        <i/>
        <sz val="12"/>
        <color theme="1"/>
        <rFont val="Times New Roman"/>
        <family val="1"/>
        <charset val="186"/>
      </rPr>
      <t>euro</t>
    </r>
    <r>
      <rPr>
        <sz val="12"/>
        <color theme="1"/>
        <rFont val="Times New Roman"/>
        <family val="1"/>
        <charset val="186"/>
      </rPr>
      <t xml:space="preserve">/mēn. * 12. mēn. = 59,52 </t>
    </r>
    <r>
      <rPr>
        <i/>
        <sz val="12"/>
        <color theme="1"/>
        <rFont val="Times New Roman"/>
        <family val="1"/>
        <charset val="186"/>
      </rPr>
      <t>euro</t>
    </r>
    <r>
      <rPr>
        <sz val="12"/>
        <color theme="1"/>
        <rFont val="Times New Roman"/>
        <family val="1"/>
        <charset val="186"/>
      </rPr>
      <t xml:space="preserve"> * 0.45 (pakalpojuma īpatsvars kopējos ēkā sniegtajos pakalpojumos) = 26,78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</si>
  <si>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 min., (15,03 </t>
    </r>
    <r>
      <rPr>
        <i/>
        <sz val="12"/>
        <color theme="1"/>
        <rFont val="Times New Roman"/>
        <family val="1"/>
        <charset val="186"/>
      </rPr>
      <t>euro</t>
    </r>
    <r>
      <rPr>
        <sz val="12"/>
        <color theme="1"/>
        <rFont val="Times New Roman"/>
        <family val="1"/>
        <charset val="186"/>
      </rPr>
      <t xml:space="preserve"> * 0.33 h) = 4,96 </t>
    </r>
    <r>
      <rPr>
        <i/>
        <sz val="12"/>
        <color theme="1"/>
        <rFont val="Times New Roman"/>
        <family val="1"/>
        <charset val="186"/>
      </rPr>
      <t>euro</t>
    </r>
    <r>
      <rPr>
        <sz val="12"/>
        <color theme="1"/>
        <rFont val="Times New Roman"/>
        <family val="1"/>
        <charset val="186"/>
      </rPr>
      <t xml:space="preserve">/mēn. * 12. mēn. = 59,52 </t>
    </r>
    <r>
      <rPr>
        <i/>
        <sz val="12"/>
        <color theme="1"/>
        <rFont val="Times New Roman"/>
        <family val="1"/>
        <charset val="186"/>
      </rPr>
      <t>euro</t>
    </r>
    <r>
      <rPr>
        <sz val="12"/>
        <color theme="1"/>
        <rFont val="Times New Roman"/>
        <family val="1"/>
        <charset val="186"/>
      </rPr>
      <t xml:space="preserve"> * 0.077 (pakalpojuma īpatsvars kopējos ēkā sniegtajos pakalpojumos) = 4,58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</si>
  <si>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 xml:space="preserve">euro). </t>
    </r>
    <r>
      <rPr>
        <sz val="12"/>
        <color theme="1"/>
        <rFont val="Times New Roman"/>
        <family val="1"/>
        <charset val="186"/>
      </rPr>
      <t>Stundas tarifa likme 26,96</t>
    </r>
    <r>
      <rPr>
        <i/>
        <sz val="12"/>
        <color theme="1"/>
        <rFont val="Times New Roman"/>
        <family val="1"/>
        <charset val="186"/>
      </rPr>
      <t xml:space="preserve"> euro =</t>
    </r>
    <r>
      <rPr>
        <sz val="12"/>
        <color theme="1"/>
        <rFont val="Times New Roman"/>
        <family val="1"/>
        <charset val="186"/>
      </rPr>
      <t xml:space="preserve"> 4 500 </t>
    </r>
    <r>
      <rPr>
        <i/>
        <sz val="12"/>
        <color theme="1"/>
        <rFont val="Times New Roman"/>
        <family val="1"/>
        <charset val="186"/>
      </rPr>
      <t>euro</t>
    </r>
    <r>
      <rPr>
        <sz val="12"/>
        <color theme="1"/>
        <rFont val="Times New Roman"/>
        <family val="1"/>
        <charset val="186"/>
      </rPr>
      <t xml:space="preserve"> / 166.92 (vid. d. stundu sk. mēnesī). Vid. mēn. noslogojums  17 min., (26,96 </t>
    </r>
    <r>
      <rPr>
        <i/>
        <sz val="12"/>
        <color theme="1"/>
        <rFont val="Times New Roman"/>
        <family val="1"/>
        <charset val="186"/>
      </rPr>
      <t>euro</t>
    </r>
    <r>
      <rPr>
        <sz val="12"/>
        <color theme="1"/>
        <rFont val="Times New Roman"/>
        <family val="1"/>
        <charset val="186"/>
      </rPr>
      <t xml:space="preserve"> * 0.28 h) = 7,55 </t>
    </r>
    <r>
      <rPr>
        <i/>
        <sz val="12"/>
        <color theme="1"/>
        <rFont val="Times New Roman"/>
        <family val="1"/>
        <charset val="186"/>
      </rPr>
      <t>euro</t>
    </r>
    <r>
      <rPr>
        <sz val="12"/>
        <color theme="1"/>
        <rFont val="Times New Roman"/>
        <family val="1"/>
        <charset val="186"/>
      </rPr>
      <t xml:space="preserve">/mēn. * 12. mēn. = 90,60 </t>
    </r>
    <r>
      <rPr>
        <i/>
        <sz val="12"/>
        <color theme="1"/>
        <rFont val="Times New Roman"/>
        <family val="1"/>
        <charset val="186"/>
      </rPr>
      <t>euro</t>
    </r>
    <r>
      <rPr>
        <sz val="12"/>
        <color theme="1"/>
        <rFont val="Times New Roman"/>
        <family val="1"/>
        <charset val="186"/>
      </rPr>
      <t xml:space="preserve"> * 0.45 (pakalpojuma īpatsvars kopējos ēkā sniegtajos maksas pakalpojumos) = 40,77 </t>
    </r>
    <r>
      <rPr>
        <i/>
        <sz val="12"/>
        <color theme="1"/>
        <rFont val="Times New Roman"/>
        <family val="1"/>
        <charset val="186"/>
      </rPr>
      <t>euro</t>
    </r>
    <r>
      <rPr>
        <sz val="12"/>
        <color theme="1"/>
        <rFont val="Times New Roman"/>
        <family val="1"/>
        <charset val="186"/>
      </rPr>
      <t>.</t>
    </r>
  </si>
  <si>
    <r>
      <t xml:space="preserve">Galv. nekust. īpaš. pārvaldnieks (3,42 </t>
    </r>
    <r>
      <rPr>
        <i/>
        <sz val="12"/>
        <color theme="1"/>
        <rFont val="Times New Roman"/>
        <family val="1"/>
        <charset val="186"/>
      </rPr>
      <t>euro</t>
    </r>
    <r>
      <rPr>
        <sz val="12"/>
        <color theme="1"/>
        <rFont val="Times New Roman"/>
        <family val="1"/>
        <charset val="186"/>
      </rPr>
      <t xml:space="preserve"> * 10%) = 0,34 </t>
    </r>
    <r>
      <rPr>
        <i/>
        <sz val="12"/>
        <color theme="1"/>
        <rFont val="Times New Roman"/>
        <family val="1"/>
        <charset val="186"/>
      </rPr>
      <t>euro</t>
    </r>
    <r>
      <rPr>
        <sz val="12"/>
        <color theme="1"/>
        <rFont val="Times New Roman"/>
        <family val="1"/>
        <charset val="186"/>
      </rPr>
      <t xml:space="preserve">, Administrators (91,43 </t>
    </r>
    <r>
      <rPr>
        <i/>
        <sz val="12"/>
        <color theme="1"/>
        <rFont val="Times New Roman"/>
        <family val="1"/>
        <charset val="186"/>
      </rPr>
      <t>euro</t>
    </r>
    <r>
      <rPr>
        <sz val="12"/>
        <color theme="1"/>
        <rFont val="Times New Roman"/>
        <family val="1"/>
        <charset val="186"/>
      </rPr>
      <t xml:space="preserve"> * 10%) = 9,14 </t>
    </r>
    <r>
      <rPr>
        <i/>
        <sz val="12"/>
        <color theme="1"/>
        <rFont val="Times New Roman"/>
        <family val="1"/>
        <charset val="186"/>
      </rPr>
      <t>euro.</t>
    </r>
    <r>
      <rPr>
        <sz val="12"/>
        <color theme="1"/>
        <rFont val="Times New Roman"/>
        <family val="1"/>
        <charset val="186"/>
      </rPr>
      <t xml:space="preserve"> Kopā (0,34 </t>
    </r>
    <r>
      <rPr>
        <i/>
        <sz val="12"/>
        <color theme="1"/>
        <rFont val="Times New Roman"/>
        <family val="1"/>
        <charset val="186"/>
      </rPr>
      <t>euro</t>
    </r>
    <r>
      <rPr>
        <sz val="12"/>
        <color theme="1"/>
        <rFont val="Times New Roman"/>
        <family val="1"/>
        <charset val="186"/>
      </rPr>
      <t xml:space="preserve"> + 9,14 </t>
    </r>
    <r>
      <rPr>
        <i/>
        <sz val="12"/>
        <color theme="1"/>
        <rFont val="Times New Roman"/>
        <family val="1"/>
        <charset val="186"/>
      </rPr>
      <t>euro</t>
    </r>
    <r>
      <rPr>
        <sz val="12"/>
        <color theme="1"/>
        <rFont val="Times New Roman"/>
        <family val="1"/>
        <charset val="186"/>
      </rPr>
      <t xml:space="preserve">) = 9,48 </t>
    </r>
    <r>
      <rPr>
        <i/>
        <sz val="12"/>
        <color theme="1"/>
        <rFont val="Times New Roman"/>
        <family val="1"/>
        <charset val="186"/>
      </rPr>
      <t>euro</t>
    </r>
    <r>
      <rPr>
        <sz val="12"/>
        <color theme="1"/>
        <rFont val="Times New Roman"/>
        <family val="1"/>
        <charset val="186"/>
      </rPr>
      <t>.</t>
    </r>
  </si>
  <si>
    <r>
      <t xml:space="preserve">Veselības apdrošināšana, Galv. nekust. īpaš. pārvaldnieks (3,42 </t>
    </r>
    <r>
      <rPr>
        <i/>
        <sz val="12"/>
        <color theme="1"/>
        <rFont val="Times New Roman"/>
        <family val="1"/>
        <charset val="186"/>
      </rPr>
      <t>euro</t>
    </r>
    <r>
      <rPr>
        <sz val="12"/>
        <color theme="1"/>
        <rFont val="Times New Roman"/>
        <family val="1"/>
        <charset val="186"/>
      </rPr>
      <t xml:space="preserve"> * 5%) = 0,17 </t>
    </r>
    <r>
      <rPr>
        <i/>
        <sz val="12"/>
        <color theme="1"/>
        <rFont val="Times New Roman"/>
        <family val="1"/>
        <charset val="186"/>
      </rPr>
      <t>euro</t>
    </r>
    <r>
      <rPr>
        <sz val="12"/>
        <color theme="1"/>
        <rFont val="Times New Roman"/>
        <family val="1"/>
        <charset val="186"/>
      </rPr>
      <t xml:space="preserve">, Administrators (91,43 </t>
    </r>
    <r>
      <rPr>
        <i/>
        <sz val="12"/>
        <color theme="1"/>
        <rFont val="Times New Roman"/>
        <family val="1"/>
        <charset val="186"/>
      </rPr>
      <t>euro</t>
    </r>
    <r>
      <rPr>
        <sz val="12"/>
        <color theme="1"/>
        <rFont val="Times New Roman"/>
        <family val="1"/>
        <charset val="186"/>
      </rPr>
      <t xml:space="preserve"> * 5%) = 4,57 </t>
    </r>
    <r>
      <rPr>
        <i/>
        <sz val="12"/>
        <color theme="1"/>
        <rFont val="Times New Roman"/>
        <family val="1"/>
        <charset val="186"/>
      </rPr>
      <t>euro</t>
    </r>
    <r>
      <rPr>
        <sz val="12"/>
        <color theme="1"/>
        <rFont val="Times New Roman"/>
        <family val="1"/>
        <charset val="186"/>
      </rPr>
      <t xml:space="preserve">. Kopā (0,17 </t>
    </r>
    <r>
      <rPr>
        <i/>
        <sz val="12"/>
        <color theme="1"/>
        <rFont val="Times New Roman"/>
        <family val="1"/>
        <charset val="186"/>
      </rPr>
      <t>euro</t>
    </r>
    <r>
      <rPr>
        <sz val="12"/>
        <color theme="1"/>
        <rFont val="Times New Roman"/>
        <family val="1"/>
        <charset val="186"/>
      </rPr>
      <t xml:space="preserve"> + 4,57 </t>
    </r>
    <r>
      <rPr>
        <i/>
        <sz val="12"/>
        <color theme="1"/>
        <rFont val="Times New Roman"/>
        <family val="1"/>
        <charset val="186"/>
      </rPr>
      <t>euro</t>
    </r>
    <r>
      <rPr>
        <sz val="12"/>
        <color theme="1"/>
        <rFont val="Times New Roman"/>
        <family val="1"/>
        <charset val="186"/>
      </rPr>
      <t xml:space="preserve">) = 4,74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</si>
  <si>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24,61 </t>
    </r>
    <r>
      <rPr>
        <i/>
        <sz val="12"/>
        <color theme="1"/>
        <rFont val="Times New Roman"/>
        <family val="1"/>
        <charset val="186"/>
      </rPr>
      <t>euro</t>
    </r>
    <r>
      <rPr>
        <sz val="12"/>
        <color theme="1"/>
        <rFont val="Times New Roman"/>
        <family val="1"/>
        <charset val="186"/>
      </rPr>
      <t xml:space="preserve">. Veselības apdrošināšana 4,74 </t>
    </r>
    <r>
      <rPr>
        <i/>
        <sz val="12"/>
        <color theme="1"/>
        <rFont val="Times New Roman"/>
        <family val="1"/>
        <charset val="186"/>
      </rPr>
      <t>euro</t>
    </r>
    <r>
      <rPr>
        <sz val="12"/>
        <color theme="1"/>
        <rFont val="Times New Roman"/>
        <family val="1"/>
        <charset val="186"/>
      </rPr>
      <t xml:space="preserve">. Kopā 29,35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</si>
  <si>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(3 805,16 </t>
    </r>
    <r>
      <rPr>
        <i/>
        <sz val="12"/>
        <color theme="1"/>
        <rFont val="Times New Roman"/>
        <family val="1"/>
        <charset val="186"/>
      </rPr>
      <t>euro</t>
    </r>
    <r>
      <rPr>
        <sz val="12"/>
        <color theme="1"/>
        <rFont val="Times New Roman"/>
        <family val="1"/>
        <charset val="186"/>
      </rPr>
      <t xml:space="preserve"> * 23.59 %) = 897,64 </t>
    </r>
    <r>
      <rPr>
        <i/>
        <sz val="12"/>
        <color theme="1"/>
        <rFont val="Times New Roman"/>
        <family val="1"/>
        <charset val="186"/>
      </rPr>
      <t>euro</t>
    </r>
    <r>
      <rPr>
        <sz val="12"/>
        <color theme="1"/>
        <rFont val="Times New Roman"/>
        <family val="1"/>
        <charset val="186"/>
      </rPr>
      <t>.</t>
    </r>
    <r>
      <rPr>
        <i/>
        <sz val="12"/>
        <color theme="1"/>
        <rFont val="Times New Roman"/>
        <family val="1"/>
        <charset val="186"/>
      </rPr>
      <t xml:space="preserve"> </t>
    </r>
  </si>
  <si>
    <r>
      <t xml:space="preserve">Darba devēja valsts sociālās apdrošināšanas obligātās iemaksas 897,64 </t>
    </r>
    <r>
      <rPr>
        <i/>
        <sz val="12"/>
        <color theme="1"/>
        <rFont val="Times New Roman"/>
        <family val="1"/>
        <charset val="186"/>
      </rPr>
      <t>euro</t>
    </r>
    <r>
      <rPr>
        <sz val="12"/>
        <color theme="1"/>
        <rFont val="Times New Roman"/>
        <family val="1"/>
        <charset val="186"/>
      </rPr>
      <t xml:space="preserve">. Veselības apdrošināšana 172,96 </t>
    </r>
    <r>
      <rPr>
        <i/>
        <sz val="12"/>
        <color theme="1"/>
        <rFont val="Times New Roman"/>
        <family val="1"/>
        <charset val="186"/>
      </rPr>
      <t>euro</t>
    </r>
    <r>
      <rPr>
        <sz val="12"/>
        <color theme="1"/>
        <rFont val="Times New Roman"/>
        <family val="1"/>
        <charset val="186"/>
      </rPr>
      <t xml:space="preserve">. Kopā 1 070,60 </t>
    </r>
    <r>
      <rPr>
        <i/>
        <sz val="12"/>
        <color theme="1"/>
        <rFont val="Times New Roman"/>
        <family val="1"/>
        <charset val="186"/>
      </rPr>
      <t>euro</t>
    </r>
    <r>
      <rPr>
        <sz val="12"/>
        <color theme="1"/>
        <rFont val="Times New Roman"/>
        <family val="1"/>
        <charset val="186"/>
      </rPr>
      <t>.</t>
    </r>
  </si>
  <si>
    <r>
      <t xml:space="preserve">Galv. nekust. īpaš. pārvaldnieks (97,68 </t>
    </r>
    <r>
      <rPr>
        <i/>
        <sz val="12"/>
        <color theme="1"/>
        <rFont val="Times New Roman"/>
        <family val="1"/>
        <charset val="186"/>
      </rPr>
      <t>euro</t>
    </r>
    <r>
      <rPr>
        <sz val="12"/>
        <color theme="1"/>
        <rFont val="Times New Roman"/>
        <family val="1"/>
        <charset val="186"/>
      </rPr>
      <t xml:space="preserve"> * 10%) = 9,77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</si>
  <si>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2.06 stundas, (8,14 </t>
    </r>
    <r>
      <rPr>
        <i/>
        <sz val="12"/>
        <color theme="1"/>
        <rFont val="Times New Roman"/>
        <family val="1"/>
        <charset val="186"/>
      </rPr>
      <t>euro</t>
    </r>
    <r>
      <rPr>
        <sz val="12"/>
        <color theme="1"/>
        <rFont val="Times New Roman"/>
        <family val="1"/>
        <charset val="186"/>
      </rPr>
      <t xml:space="preserve"> * 2.06 h) = 16,77 </t>
    </r>
    <r>
      <rPr>
        <i/>
        <sz val="12"/>
        <color theme="1"/>
        <rFont val="Times New Roman"/>
        <family val="1"/>
        <charset val="186"/>
      </rPr>
      <t>euro</t>
    </r>
    <r>
      <rPr>
        <sz val="12"/>
        <color theme="1"/>
        <rFont val="Times New Roman"/>
        <family val="1"/>
        <charset val="186"/>
      </rPr>
      <t xml:space="preserve">/mēn. * 12 mēn. = 201,24 </t>
    </r>
    <r>
      <rPr>
        <i/>
        <sz val="12"/>
        <color theme="1"/>
        <rFont val="Times New Roman"/>
        <family val="1"/>
        <charset val="186"/>
      </rPr>
      <t>euro</t>
    </r>
    <r>
      <rPr>
        <sz val="12"/>
        <color theme="1"/>
        <rFont val="Times New Roman"/>
        <family val="1"/>
        <charset val="186"/>
      </rPr>
      <t xml:space="preserve"> * 0.62 (pakalpojuma īpatsvars kopējos ēkā sniegtajos pakalpojumos) = 124,77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</si>
  <si>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2 min., (11,24 </t>
    </r>
    <r>
      <rPr>
        <i/>
        <sz val="12"/>
        <color theme="1"/>
        <rFont val="Times New Roman"/>
        <family val="1"/>
        <charset val="186"/>
      </rPr>
      <t>euro</t>
    </r>
    <r>
      <rPr>
        <sz val="12"/>
        <color theme="1"/>
        <rFont val="Times New Roman"/>
        <family val="1"/>
        <charset val="186"/>
      </rPr>
      <t xml:space="preserve"> * 0.025 h) = 0,28 </t>
    </r>
    <r>
      <rPr>
        <i/>
        <sz val="12"/>
        <color theme="1"/>
        <rFont val="Times New Roman"/>
        <family val="1"/>
        <charset val="186"/>
      </rPr>
      <t>euro</t>
    </r>
    <r>
      <rPr>
        <sz val="12"/>
        <color theme="1"/>
        <rFont val="Times New Roman"/>
        <family val="1"/>
        <charset val="186"/>
      </rPr>
      <t xml:space="preserve">/mēn. * 12. mēn. = 3,36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</si>
  <si>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2 min., (11,22 </t>
    </r>
    <r>
      <rPr>
        <i/>
        <sz val="12"/>
        <color theme="1"/>
        <rFont val="Times New Roman"/>
        <family val="1"/>
        <charset val="186"/>
      </rPr>
      <t>euro</t>
    </r>
    <r>
      <rPr>
        <sz val="12"/>
        <color theme="1"/>
        <rFont val="Times New Roman"/>
        <family val="1"/>
        <charset val="186"/>
      </rPr>
      <t xml:space="preserve"> * 0.025 h) = 0,28 </t>
    </r>
    <r>
      <rPr>
        <i/>
        <sz val="12"/>
        <color theme="1"/>
        <rFont val="Times New Roman"/>
        <family val="1"/>
        <charset val="186"/>
      </rPr>
      <t>euro</t>
    </r>
    <r>
      <rPr>
        <sz val="12"/>
        <color theme="1"/>
        <rFont val="Times New Roman"/>
        <family val="1"/>
        <charset val="186"/>
      </rPr>
      <t xml:space="preserve">/mēn. * 12. mēn. = 3,36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</si>
  <si>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 min., (12,07 </t>
    </r>
    <r>
      <rPr>
        <i/>
        <sz val="12"/>
        <color theme="1"/>
        <rFont val="Times New Roman"/>
        <family val="1"/>
        <charset val="186"/>
      </rPr>
      <t>euro</t>
    </r>
    <r>
      <rPr>
        <sz val="12"/>
        <color theme="1"/>
        <rFont val="Times New Roman"/>
        <family val="1"/>
        <charset val="186"/>
      </rPr>
      <t xml:space="preserve"> * 0.016 h) = 0,19 </t>
    </r>
    <r>
      <rPr>
        <i/>
        <sz val="12"/>
        <color theme="1"/>
        <rFont val="Times New Roman"/>
        <family val="1"/>
        <charset val="186"/>
      </rPr>
      <t>euro</t>
    </r>
    <r>
      <rPr>
        <sz val="12"/>
        <color theme="1"/>
        <rFont val="Times New Roman"/>
        <family val="1"/>
        <charset val="186"/>
      </rPr>
      <t xml:space="preserve">/mēn. * 12. mēn. = 2,28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</si>
  <si>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1.43 stundas, (8,22 </t>
    </r>
    <r>
      <rPr>
        <i/>
        <sz val="12"/>
        <color theme="1"/>
        <rFont val="Times New Roman"/>
        <family val="1"/>
        <charset val="186"/>
      </rPr>
      <t>euro</t>
    </r>
    <r>
      <rPr>
        <sz val="12"/>
        <color theme="1"/>
        <rFont val="Times New Roman"/>
        <family val="1"/>
        <charset val="186"/>
      </rPr>
      <t xml:space="preserve"> * 1.43 h) = 11,75 </t>
    </r>
    <r>
      <rPr>
        <i/>
        <sz val="12"/>
        <color theme="1"/>
        <rFont val="Times New Roman"/>
        <family val="1"/>
        <charset val="186"/>
      </rPr>
      <t>euro</t>
    </r>
    <r>
      <rPr>
        <sz val="12"/>
        <color theme="1"/>
        <rFont val="Times New Roman"/>
        <family val="1"/>
        <charset val="186"/>
      </rPr>
      <t xml:space="preserve">/mēn. * 12. mēn. = 141,00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</si>
  <si>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2.03 stundas, (9,11 </t>
    </r>
    <r>
      <rPr>
        <i/>
        <sz val="12"/>
        <color theme="1"/>
        <rFont val="Times New Roman"/>
        <family val="1"/>
        <charset val="186"/>
      </rPr>
      <t>euro</t>
    </r>
    <r>
      <rPr>
        <sz val="12"/>
        <color theme="1"/>
        <rFont val="Times New Roman"/>
        <family val="1"/>
        <charset val="186"/>
      </rPr>
      <t xml:space="preserve"> * 2.03 h) = 18,49 </t>
    </r>
    <r>
      <rPr>
        <i/>
        <sz val="12"/>
        <color theme="1"/>
        <rFont val="Times New Roman"/>
        <family val="1"/>
        <charset val="186"/>
      </rPr>
      <t>euro</t>
    </r>
    <r>
      <rPr>
        <sz val="12"/>
        <color theme="1"/>
        <rFont val="Times New Roman"/>
        <family val="1"/>
        <charset val="186"/>
      </rPr>
      <t xml:space="preserve">/mēn. * 12. mēn. = 221,88 </t>
    </r>
    <r>
      <rPr>
        <i/>
        <sz val="12"/>
        <color theme="1"/>
        <rFont val="Times New Roman"/>
        <family val="1"/>
        <charset val="186"/>
      </rPr>
      <t>euro.</t>
    </r>
    <r>
      <rPr>
        <sz val="12"/>
        <color theme="1"/>
        <rFont val="Times New Roman"/>
        <family val="1"/>
        <charset val="186"/>
      </rPr>
      <t xml:space="preserve"> </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</si>
  <si>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5 minūtes, (24,34 </t>
    </r>
    <r>
      <rPr>
        <i/>
        <sz val="12"/>
        <color theme="1"/>
        <rFont val="Times New Roman"/>
        <family val="1"/>
        <charset val="186"/>
      </rPr>
      <t>euro</t>
    </r>
    <r>
      <rPr>
        <sz val="12"/>
        <color theme="1"/>
        <rFont val="Times New Roman"/>
        <family val="1"/>
        <charset val="186"/>
      </rPr>
      <t xml:space="preserve"> * 0.08 h) = 1,95 </t>
    </r>
    <r>
      <rPr>
        <i/>
        <sz val="12"/>
        <color theme="1"/>
        <rFont val="Times New Roman"/>
        <family val="1"/>
        <charset val="186"/>
      </rPr>
      <t>euro</t>
    </r>
    <r>
      <rPr>
        <sz val="12"/>
        <color theme="1"/>
        <rFont val="Times New Roman"/>
        <family val="1"/>
        <charset val="186"/>
      </rPr>
      <t xml:space="preserve">/mēn * 12. mēn. = 23,40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</si>
  <si>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2.06 stundas, (8,14 </t>
    </r>
    <r>
      <rPr>
        <i/>
        <sz val="12"/>
        <color theme="1"/>
        <rFont val="Times New Roman"/>
        <family val="1"/>
        <charset val="186"/>
      </rPr>
      <t>euro</t>
    </r>
    <r>
      <rPr>
        <sz val="12"/>
        <color theme="1"/>
        <rFont val="Times New Roman"/>
        <family val="1"/>
        <charset val="186"/>
      </rPr>
      <t xml:space="preserve"> * 2.06 h) = 16,77 </t>
    </r>
    <r>
      <rPr>
        <i/>
        <sz val="12"/>
        <color theme="1"/>
        <rFont val="Times New Roman"/>
        <family val="1"/>
        <charset val="186"/>
      </rPr>
      <t>euro</t>
    </r>
    <r>
      <rPr>
        <sz val="12"/>
        <color theme="1"/>
        <rFont val="Times New Roman"/>
        <family val="1"/>
        <charset val="186"/>
      </rPr>
      <t xml:space="preserve">/mēn. * 12 mēn. = 201,24 </t>
    </r>
    <r>
      <rPr>
        <i/>
        <sz val="12"/>
        <color theme="1"/>
        <rFont val="Times New Roman"/>
        <family val="1"/>
        <charset val="186"/>
      </rPr>
      <t>euro</t>
    </r>
    <r>
      <rPr>
        <sz val="12"/>
        <color theme="1"/>
        <rFont val="Times New Roman"/>
        <family val="1"/>
        <charset val="186"/>
      </rPr>
      <t xml:space="preserve"> * 0.017 (pakalpojuma īpatsvars kopējos ēkā sniegtajos pakalpojumos) = 3,42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</si>
  <si>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 xml:space="preserve">euro). </t>
    </r>
    <r>
      <rPr>
        <sz val="12"/>
        <color theme="1"/>
        <rFont val="Times New Roman"/>
        <family val="1"/>
        <charset val="186"/>
      </rPr>
      <t>Stundas tarifa likme 8,14</t>
    </r>
    <r>
      <rPr>
        <i/>
        <sz val="12"/>
        <color theme="1"/>
        <rFont val="Times New Roman"/>
        <family val="1"/>
        <charset val="186"/>
      </rPr>
      <t xml:space="preserve"> euro = </t>
    </r>
    <r>
      <rPr>
        <sz val="12"/>
        <color theme="1"/>
        <rFont val="Times New Roman"/>
        <family val="1"/>
        <charset val="186"/>
      </rPr>
      <t>1 358</t>
    </r>
    <r>
      <rPr>
        <i/>
        <sz val="12"/>
        <color theme="1"/>
        <rFont val="Times New Roman"/>
        <family val="1"/>
        <charset val="186"/>
      </rPr>
      <t xml:space="preserve"> euro</t>
    </r>
    <r>
      <rPr>
        <sz val="12"/>
        <color theme="1"/>
        <rFont val="Times New Roman"/>
        <family val="1"/>
        <charset val="186"/>
      </rPr>
      <t xml:space="preserve">/ 166.92 (vid. d. stundu sk. mēnesī). Vid. mēn. noslogojums 4 stundas, (8,14 </t>
    </r>
    <r>
      <rPr>
        <i/>
        <sz val="12"/>
        <color theme="1"/>
        <rFont val="Times New Roman"/>
        <family val="1"/>
        <charset val="186"/>
      </rPr>
      <t>euro</t>
    </r>
    <r>
      <rPr>
        <sz val="12"/>
        <color theme="1"/>
        <rFont val="Times New Roman"/>
        <family val="1"/>
        <charset val="186"/>
      </rPr>
      <t xml:space="preserve"> * 4 h) = 32,56 </t>
    </r>
    <r>
      <rPr>
        <i/>
        <sz val="12"/>
        <color theme="1"/>
        <rFont val="Times New Roman"/>
        <family val="1"/>
        <charset val="186"/>
      </rPr>
      <t>euro</t>
    </r>
    <r>
      <rPr>
        <sz val="12"/>
        <color theme="1"/>
        <rFont val="Times New Roman"/>
        <family val="1"/>
        <charset val="186"/>
      </rPr>
      <t xml:space="preserve">/mēn. * 12. mēn. = 390,72 </t>
    </r>
    <r>
      <rPr>
        <i/>
        <sz val="12"/>
        <color theme="1"/>
        <rFont val="Times New Roman"/>
        <family val="1"/>
        <charset val="186"/>
      </rPr>
      <t>euro</t>
    </r>
    <r>
      <rPr>
        <sz val="12"/>
        <color theme="1"/>
        <rFont val="Times New Roman"/>
        <family val="1"/>
        <charset val="186"/>
      </rPr>
      <t xml:space="preserve"> * 0.45 (pakalpojuma īpatsvars kopējos ēkā sniegtajos maksas pakalpojumos) = 175,82 </t>
    </r>
    <r>
      <rPr>
        <i/>
        <sz val="12"/>
        <color theme="1"/>
        <rFont val="Times New Roman"/>
        <family val="1"/>
        <charset val="186"/>
      </rPr>
      <t>euro</t>
    </r>
    <r>
      <rPr>
        <sz val="12"/>
        <color theme="1"/>
        <rFont val="Times New Roman"/>
        <family val="1"/>
        <charset val="186"/>
      </rPr>
      <t>.</t>
    </r>
  </si>
  <si>
    <r>
      <t xml:space="preserve">Saimniecības pārzinis (3. saime I līmenis, 5. algu grupa, mēnešalga 897 </t>
    </r>
    <r>
      <rPr>
        <i/>
        <sz val="12"/>
        <color theme="1"/>
        <rFont val="Times New Roman"/>
        <family val="1"/>
        <charset val="186"/>
      </rPr>
      <t xml:space="preserve">euro). </t>
    </r>
    <r>
      <rPr>
        <sz val="12"/>
        <color theme="1"/>
        <rFont val="Times New Roman"/>
        <family val="1"/>
        <charset val="186"/>
      </rPr>
      <t>Stundas tarifa likme</t>
    </r>
    <r>
      <rPr>
        <i/>
        <sz val="12"/>
        <color theme="1"/>
        <rFont val="Times New Roman"/>
        <family val="1"/>
        <charset val="186"/>
      </rPr>
      <t xml:space="preserve"> </t>
    </r>
    <r>
      <rPr>
        <sz val="12"/>
        <color theme="1"/>
        <rFont val="Times New Roman"/>
        <family val="1"/>
        <charset val="186"/>
      </rPr>
      <t xml:space="preserve">5,37 </t>
    </r>
    <r>
      <rPr>
        <i/>
        <sz val="12"/>
        <color theme="1"/>
        <rFont val="Times New Roman"/>
        <family val="1"/>
        <charset val="186"/>
      </rPr>
      <t xml:space="preserve">euro = </t>
    </r>
    <r>
      <rPr>
        <sz val="12"/>
        <color theme="1"/>
        <rFont val="Times New Roman"/>
        <family val="1"/>
        <charset val="186"/>
      </rPr>
      <t>897</t>
    </r>
    <r>
      <rPr>
        <i/>
        <sz val="12"/>
        <color theme="1"/>
        <rFont val="Times New Roman"/>
        <family val="1"/>
        <charset val="186"/>
      </rPr>
      <t xml:space="preserve"> euro</t>
    </r>
    <r>
      <rPr>
        <sz val="12"/>
        <color theme="1"/>
        <rFont val="Times New Roman"/>
        <family val="1"/>
        <charset val="186"/>
      </rPr>
      <t xml:space="preserve"> / 166.92 (vid. d. stundu sk. mēnesī).  Vid. mēn. noslogojums 8 stundas, (5,37 </t>
    </r>
    <r>
      <rPr>
        <i/>
        <sz val="12"/>
        <color theme="1"/>
        <rFont val="Times New Roman"/>
        <family val="1"/>
        <charset val="186"/>
      </rPr>
      <t>euro</t>
    </r>
    <r>
      <rPr>
        <sz val="12"/>
        <color theme="1"/>
        <rFont val="Times New Roman"/>
        <family val="1"/>
        <charset val="186"/>
      </rPr>
      <t xml:space="preserve"> * 8 h) = 42,96 </t>
    </r>
    <r>
      <rPr>
        <i/>
        <sz val="12"/>
        <color theme="1"/>
        <rFont val="Times New Roman"/>
        <family val="1"/>
        <charset val="186"/>
      </rPr>
      <t>euro</t>
    </r>
    <r>
      <rPr>
        <sz val="12"/>
        <color theme="1"/>
        <rFont val="Times New Roman"/>
        <family val="1"/>
        <charset val="186"/>
      </rPr>
      <t xml:space="preserve">/mēn. * 12. mēn. = 515,52 </t>
    </r>
    <r>
      <rPr>
        <i/>
        <sz val="12"/>
        <color theme="1"/>
        <rFont val="Times New Roman"/>
        <family val="1"/>
        <charset val="186"/>
      </rPr>
      <t>euro</t>
    </r>
    <r>
      <rPr>
        <sz val="12"/>
        <color theme="1"/>
        <rFont val="Times New Roman"/>
        <family val="1"/>
        <charset val="186"/>
      </rPr>
      <t xml:space="preserve"> * 0.45 (pakalpojuma īpatsvars kopējos ēkā sniegtajos maksas pakalpojumos) = 231,98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</si>
  <si>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 min., (15,03 </t>
    </r>
    <r>
      <rPr>
        <i/>
        <sz val="12"/>
        <color theme="1"/>
        <rFont val="Times New Roman"/>
        <family val="1"/>
        <charset val="186"/>
      </rPr>
      <t>euro</t>
    </r>
    <r>
      <rPr>
        <sz val="12"/>
        <color theme="1"/>
        <rFont val="Times New Roman"/>
        <family val="1"/>
        <charset val="186"/>
      </rPr>
      <t xml:space="preserve"> * 0.025 h) = 0,38 </t>
    </r>
    <r>
      <rPr>
        <i/>
        <sz val="12"/>
        <color theme="1"/>
        <rFont val="Times New Roman"/>
        <family val="1"/>
        <charset val="186"/>
      </rPr>
      <t>euro</t>
    </r>
    <r>
      <rPr>
        <sz val="12"/>
        <color theme="1"/>
        <rFont val="Times New Roman"/>
        <family val="1"/>
        <charset val="186"/>
      </rPr>
      <t xml:space="preserve">/mēn. * 12. mēn. = 4,56 </t>
    </r>
    <r>
      <rPr>
        <i/>
        <sz val="12"/>
        <color theme="1"/>
        <rFont val="Times New Roman"/>
        <family val="1"/>
        <charset val="186"/>
      </rPr>
      <t>euro</t>
    </r>
    <r>
      <rPr>
        <sz val="12"/>
        <color theme="1"/>
        <rFont val="Times New Roman"/>
        <family val="1"/>
        <charset val="186"/>
      </rPr>
      <t xml:space="preserve">. </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</si>
  <si>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3.18 stundas, (8,22 </t>
    </r>
    <r>
      <rPr>
        <i/>
        <sz val="12"/>
        <color theme="1"/>
        <rFont val="Times New Roman"/>
        <family val="1"/>
        <charset val="186"/>
      </rPr>
      <t>euro</t>
    </r>
    <r>
      <rPr>
        <sz val="12"/>
        <color theme="1"/>
        <rFont val="Times New Roman"/>
        <family val="1"/>
        <charset val="186"/>
      </rPr>
      <t xml:space="preserve"> * 3.18 h) = 26,14 </t>
    </r>
    <r>
      <rPr>
        <i/>
        <sz val="12"/>
        <color theme="1"/>
        <rFont val="Times New Roman"/>
        <family val="1"/>
        <charset val="186"/>
      </rPr>
      <t>euro</t>
    </r>
    <r>
      <rPr>
        <sz val="12"/>
        <color theme="1"/>
        <rFont val="Times New Roman"/>
        <family val="1"/>
        <charset val="186"/>
      </rPr>
      <t xml:space="preserve">/mēn. * 12. mēn. = 313,68 </t>
    </r>
    <r>
      <rPr>
        <i/>
        <sz val="12"/>
        <color theme="1"/>
        <rFont val="Times New Roman"/>
        <family val="1"/>
        <charset val="186"/>
      </rPr>
      <t>euro.</t>
    </r>
    <r>
      <rPr>
        <sz val="12"/>
        <color theme="1"/>
        <rFont val="Times New Roman"/>
        <family val="1"/>
        <charset val="186"/>
      </rPr>
      <t xml:space="preserve"> </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</si>
  <si>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2 min., (26,96 </t>
    </r>
    <r>
      <rPr>
        <i/>
        <sz val="12"/>
        <color theme="1"/>
        <rFont val="Times New Roman"/>
        <family val="1"/>
        <charset val="186"/>
      </rPr>
      <t>euro</t>
    </r>
    <r>
      <rPr>
        <sz val="12"/>
        <color theme="1"/>
        <rFont val="Times New Roman"/>
        <family val="1"/>
        <charset val="186"/>
      </rPr>
      <t xml:space="preserve"> * 0.025 h) = 0,67 </t>
    </r>
    <r>
      <rPr>
        <i/>
        <sz val="12"/>
        <color theme="1"/>
        <rFont val="Times New Roman"/>
        <family val="1"/>
        <charset val="186"/>
      </rPr>
      <t>euro</t>
    </r>
    <r>
      <rPr>
        <sz val="12"/>
        <color theme="1"/>
        <rFont val="Times New Roman"/>
        <family val="1"/>
        <charset val="186"/>
      </rPr>
      <t xml:space="preserve">/mēn. * 12. mēn. = 8,04 </t>
    </r>
    <r>
      <rPr>
        <i/>
        <sz val="12"/>
        <color theme="1"/>
        <rFont val="Times New Roman"/>
        <family val="1"/>
        <charset val="186"/>
      </rPr>
      <t>euro</t>
    </r>
    <r>
      <rPr>
        <sz val="12"/>
        <color theme="1"/>
        <rFont val="Times New Roman"/>
        <family val="1"/>
        <charset val="186"/>
      </rPr>
      <t>.</t>
    </r>
  </si>
  <si>
    <r>
      <t xml:space="preserve">Saimniecības pārzinis (3. saime I līmenis, 5. algu grupa, mēnešalga 897 </t>
    </r>
    <r>
      <rPr>
        <i/>
        <sz val="12"/>
        <color theme="1"/>
        <rFont val="Times New Roman"/>
        <family val="1"/>
        <charset val="186"/>
      </rPr>
      <t xml:space="preserve">euro). </t>
    </r>
    <r>
      <rPr>
        <sz val="12"/>
        <color theme="1"/>
        <rFont val="Times New Roman"/>
        <family val="1"/>
        <charset val="186"/>
      </rPr>
      <t>Stundas tarifa likme</t>
    </r>
    <r>
      <rPr>
        <i/>
        <sz val="12"/>
        <color theme="1"/>
        <rFont val="Times New Roman"/>
        <family val="1"/>
        <charset val="186"/>
      </rPr>
      <t xml:space="preserve"> </t>
    </r>
    <r>
      <rPr>
        <sz val="12"/>
        <color theme="1"/>
        <rFont val="Times New Roman"/>
        <family val="1"/>
        <charset val="186"/>
      </rPr>
      <t xml:space="preserve">5,37 </t>
    </r>
    <r>
      <rPr>
        <i/>
        <sz val="12"/>
        <color theme="1"/>
        <rFont val="Times New Roman"/>
        <family val="1"/>
        <charset val="186"/>
      </rPr>
      <t xml:space="preserve">euro = </t>
    </r>
    <r>
      <rPr>
        <sz val="12"/>
        <color theme="1"/>
        <rFont val="Times New Roman"/>
        <family val="1"/>
        <charset val="186"/>
      </rPr>
      <t>897</t>
    </r>
    <r>
      <rPr>
        <i/>
        <sz val="12"/>
        <color theme="1"/>
        <rFont val="Times New Roman"/>
        <family val="1"/>
        <charset val="186"/>
      </rPr>
      <t xml:space="preserve"> euro</t>
    </r>
    <r>
      <rPr>
        <sz val="12"/>
        <color theme="1"/>
        <rFont val="Times New Roman"/>
        <family val="1"/>
        <charset val="186"/>
      </rPr>
      <t xml:space="preserve"> / 166.92 (vid. d. stundu sk. mēnesī). Vid. mēn. noslogojums 8 stundas, (5,37 </t>
    </r>
    <r>
      <rPr>
        <i/>
        <sz val="12"/>
        <color theme="1"/>
        <rFont val="Times New Roman"/>
        <family val="1"/>
        <charset val="186"/>
      </rPr>
      <t>euro</t>
    </r>
    <r>
      <rPr>
        <sz val="12"/>
        <color theme="1"/>
        <rFont val="Times New Roman"/>
        <family val="1"/>
        <charset val="186"/>
      </rPr>
      <t xml:space="preserve"> * 8 h) = 42,96 </t>
    </r>
    <r>
      <rPr>
        <i/>
        <sz val="12"/>
        <color theme="1"/>
        <rFont val="Times New Roman"/>
        <family val="1"/>
        <charset val="186"/>
      </rPr>
      <t>euro</t>
    </r>
    <r>
      <rPr>
        <sz val="12"/>
        <color theme="1"/>
        <rFont val="Times New Roman"/>
        <family val="1"/>
        <charset val="186"/>
      </rPr>
      <t xml:space="preserve">/mēn. * 12. mēn. = 515,52 </t>
    </r>
    <r>
      <rPr>
        <i/>
        <sz val="12"/>
        <color theme="1"/>
        <rFont val="Times New Roman"/>
        <family val="1"/>
        <charset val="186"/>
      </rPr>
      <t>euro</t>
    </r>
    <r>
      <rPr>
        <sz val="12"/>
        <color theme="1"/>
        <rFont val="Times New Roman"/>
        <family val="1"/>
        <charset val="186"/>
      </rPr>
      <t xml:space="preserve"> * 0.077 (pakalpojuma īpatsvars kopējos ēkā sniegtajos maksas pakalpojumos) = 39,70 </t>
    </r>
    <r>
      <rPr>
        <i/>
        <sz val="12"/>
        <color theme="1"/>
        <rFont val="Times New Roman"/>
        <family val="1"/>
        <charset val="186"/>
      </rPr>
      <t>euro</t>
    </r>
    <r>
      <rPr>
        <sz val="12"/>
        <color theme="1"/>
        <rFont val="Times New Roman"/>
        <family val="1"/>
        <charset val="186"/>
      </rPr>
      <t>.</t>
    </r>
  </si>
  <si>
    <r>
      <t xml:space="preserve">Veselības apdrošināšana, Galv. nekust. īpaš. pārvaldnieks (30,09 </t>
    </r>
    <r>
      <rPr>
        <i/>
        <sz val="12"/>
        <color theme="1"/>
        <rFont val="Times New Roman"/>
        <family val="1"/>
        <charset val="186"/>
      </rPr>
      <t>euro</t>
    </r>
    <r>
      <rPr>
        <sz val="12"/>
        <color theme="1"/>
        <rFont val="Times New Roman"/>
        <family val="1"/>
        <charset val="186"/>
      </rPr>
      <t xml:space="preserve"> * 5%) = 1,50 </t>
    </r>
    <r>
      <rPr>
        <i/>
        <sz val="12"/>
        <color theme="1"/>
        <rFont val="Times New Roman"/>
        <family val="1"/>
        <charset val="186"/>
      </rPr>
      <t>euro</t>
    </r>
    <r>
      <rPr>
        <sz val="12"/>
        <color theme="1"/>
        <rFont val="Times New Roman"/>
        <family val="1"/>
        <charset val="186"/>
      </rPr>
      <t xml:space="preserve">, Saimniecības pārzinis (39,70 </t>
    </r>
    <r>
      <rPr>
        <i/>
        <sz val="12"/>
        <color theme="1"/>
        <rFont val="Times New Roman"/>
        <family val="1"/>
        <charset val="186"/>
      </rPr>
      <t xml:space="preserve">euro </t>
    </r>
    <r>
      <rPr>
        <sz val="12"/>
        <color theme="1"/>
        <rFont val="Times New Roman"/>
        <family val="1"/>
        <charset val="186"/>
      </rPr>
      <t xml:space="preserve">* 5%) = 1,99 </t>
    </r>
    <r>
      <rPr>
        <i/>
        <sz val="12"/>
        <color theme="1"/>
        <rFont val="Times New Roman"/>
        <family val="1"/>
        <charset val="186"/>
      </rPr>
      <t>euro</t>
    </r>
    <r>
      <rPr>
        <sz val="12"/>
        <color theme="1"/>
        <rFont val="Times New Roman"/>
        <family val="1"/>
        <charset val="186"/>
      </rPr>
      <t xml:space="preserve">, Administrators (569,42 </t>
    </r>
    <r>
      <rPr>
        <i/>
        <sz val="12"/>
        <color theme="1"/>
        <rFont val="Times New Roman"/>
        <family val="1"/>
        <charset val="186"/>
      </rPr>
      <t>euro</t>
    </r>
    <r>
      <rPr>
        <sz val="12"/>
        <color theme="1"/>
        <rFont val="Times New Roman"/>
        <family val="1"/>
        <charset val="186"/>
      </rPr>
      <t xml:space="preserve"> * 5%) = 28,47 </t>
    </r>
    <r>
      <rPr>
        <i/>
        <sz val="12"/>
        <color theme="1"/>
        <rFont val="Times New Roman"/>
        <family val="1"/>
        <charset val="186"/>
      </rPr>
      <t>euro</t>
    </r>
    <r>
      <rPr>
        <sz val="12"/>
        <color theme="1"/>
        <rFont val="Times New Roman"/>
        <family val="1"/>
        <charset val="186"/>
      </rPr>
      <t xml:space="preserve">. Kopā (1,50 </t>
    </r>
    <r>
      <rPr>
        <i/>
        <sz val="12"/>
        <color theme="1"/>
        <rFont val="Times New Roman"/>
        <family val="1"/>
        <charset val="186"/>
      </rPr>
      <t>euro</t>
    </r>
    <r>
      <rPr>
        <sz val="12"/>
        <color theme="1"/>
        <rFont val="Times New Roman"/>
        <family val="1"/>
        <charset val="186"/>
      </rPr>
      <t xml:space="preserve"> + 1,99 </t>
    </r>
    <r>
      <rPr>
        <i/>
        <sz val="12"/>
        <color theme="1"/>
        <rFont val="Times New Roman"/>
        <family val="1"/>
        <charset val="186"/>
      </rPr>
      <t>euro</t>
    </r>
    <r>
      <rPr>
        <sz val="12"/>
        <color theme="1"/>
        <rFont val="Times New Roman"/>
        <family val="1"/>
        <charset val="186"/>
      </rPr>
      <t xml:space="preserve"> + 28,47 </t>
    </r>
    <r>
      <rPr>
        <i/>
        <sz val="12"/>
        <color theme="1"/>
        <rFont val="Times New Roman"/>
        <family val="1"/>
        <charset val="186"/>
      </rPr>
      <t>euro</t>
    </r>
    <r>
      <rPr>
        <sz val="12"/>
        <color theme="1"/>
        <rFont val="Times New Roman"/>
        <family val="1"/>
        <charset val="186"/>
      </rPr>
      <t xml:space="preserve">) = 31,96 </t>
    </r>
    <r>
      <rPr>
        <i/>
        <sz val="12"/>
        <color theme="1"/>
        <rFont val="Times New Roman"/>
        <family val="1"/>
        <charset val="186"/>
      </rPr>
      <t>euro</t>
    </r>
    <r>
      <rPr>
        <sz val="12"/>
        <color theme="1"/>
        <rFont val="Times New Roman"/>
        <family val="1"/>
        <charset val="186"/>
      </rPr>
      <t>.</t>
    </r>
  </si>
  <si>
    <r>
      <t xml:space="preserve">Veselības apdrošināšana, Galv. nekust. īpaš. pārvaldnieks (97,68 </t>
    </r>
    <r>
      <rPr>
        <i/>
        <sz val="12"/>
        <color theme="1"/>
        <rFont val="Times New Roman"/>
        <family val="1"/>
        <charset val="186"/>
      </rPr>
      <t>euro</t>
    </r>
    <r>
      <rPr>
        <sz val="12"/>
        <color theme="1"/>
        <rFont val="Times New Roman"/>
        <family val="1"/>
        <charset val="186"/>
      </rPr>
      <t xml:space="preserve"> * 5%) = 4,88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</si>
  <si>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4 stundas, (8,14 </t>
    </r>
    <r>
      <rPr>
        <i/>
        <sz val="12"/>
        <color theme="1"/>
        <rFont val="Times New Roman"/>
        <family val="1"/>
        <charset val="186"/>
      </rPr>
      <t>euro</t>
    </r>
    <r>
      <rPr>
        <sz val="12"/>
        <color theme="1"/>
        <rFont val="Times New Roman"/>
        <family val="1"/>
        <charset val="186"/>
      </rPr>
      <t xml:space="preserve"> * 4 h) = 32,56 </t>
    </r>
    <r>
      <rPr>
        <i/>
        <sz val="12"/>
        <color theme="1"/>
        <rFont val="Times New Roman"/>
        <family val="1"/>
        <charset val="186"/>
      </rPr>
      <t>euro</t>
    </r>
    <r>
      <rPr>
        <sz val="12"/>
        <color theme="1"/>
        <rFont val="Times New Roman"/>
        <family val="1"/>
        <charset val="186"/>
      </rPr>
      <t xml:space="preserve">/mēn. * 12. mēn. = 390,72 </t>
    </r>
    <r>
      <rPr>
        <i/>
        <sz val="12"/>
        <color theme="1"/>
        <rFont val="Times New Roman"/>
        <family val="1"/>
        <charset val="186"/>
      </rPr>
      <t>euro</t>
    </r>
    <r>
      <rPr>
        <sz val="12"/>
        <color theme="1"/>
        <rFont val="Times New Roman"/>
        <family val="1"/>
        <charset val="186"/>
      </rPr>
      <t xml:space="preserve"> * 0.077 (pakalpojuma īpatsvars kopējos ēkā sniegtajos maksas pakalpojumos) = 30,09 </t>
    </r>
    <r>
      <rPr>
        <i/>
        <sz val="12"/>
        <color theme="1"/>
        <rFont val="Times New Roman"/>
        <family val="1"/>
        <charset val="186"/>
      </rPr>
      <t>euro</t>
    </r>
    <r>
      <rPr>
        <sz val="12"/>
        <color theme="1"/>
        <rFont val="Times New Roman"/>
        <family val="1"/>
        <charset val="186"/>
      </rPr>
      <t xml:space="preserve">. </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</si>
  <si>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t>
    </r>
    <r>
      <rPr>
        <i/>
        <sz val="12"/>
        <color theme="1"/>
        <rFont val="Times New Roman"/>
        <family val="1"/>
        <charset val="186"/>
      </rPr>
      <t>euro</t>
    </r>
    <r>
      <rPr>
        <sz val="12"/>
        <color theme="1"/>
        <rFont val="Times New Roman"/>
        <family val="1"/>
        <charset val="186"/>
      </rPr>
      <t xml:space="preserve">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0.0813 (iznomātās platības koeficients) = 28,41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</si>
  <si>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0.0813 (iznomātās platības koeficients) = 112,08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</si>
  <si>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0.0813 (iznomātās platības koeficients) = 96,56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</si>
  <si>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0.0813 (iznomātās platības koeficients) = 75,37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</si>
  <si>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0.0813 (iznomātās platības koeficients) = 13,71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</si>
  <si>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0.0813 (iznomātās platības koeficients) = 9,09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</si>
  <si>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1.24 stundas, (15,03 </t>
    </r>
    <r>
      <rPr>
        <i/>
        <sz val="12"/>
        <color theme="1"/>
        <rFont val="Times New Roman"/>
        <family val="1"/>
        <charset val="186"/>
      </rPr>
      <t>euro</t>
    </r>
    <r>
      <rPr>
        <sz val="12"/>
        <color theme="1"/>
        <rFont val="Times New Roman"/>
        <family val="1"/>
        <charset val="186"/>
      </rPr>
      <t xml:space="preserve"> * 1.24 h) = 18,64 </t>
    </r>
    <r>
      <rPr>
        <i/>
        <sz val="12"/>
        <color theme="1"/>
        <rFont val="Times New Roman"/>
        <family val="1"/>
        <charset val="186"/>
      </rPr>
      <t>euro</t>
    </r>
    <r>
      <rPr>
        <sz val="12"/>
        <color theme="1"/>
        <rFont val="Times New Roman"/>
        <family val="1"/>
        <charset val="186"/>
      </rPr>
      <t xml:space="preserve">/mēn. * 12. mēn. = 223,68 </t>
    </r>
    <r>
      <rPr>
        <i/>
        <sz val="12"/>
        <color theme="1"/>
        <rFont val="Times New Roman"/>
        <family val="1"/>
        <charset val="186"/>
      </rPr>
      <t>euro</t>
    </r>
    <r>
      <rPr>
        <sz val="12"/>
        <color theme="1"/>
        <rFont val="Times New Roman"/>
        <family val="1"/>
        <charset val="186"/>
      </rPr>
      <t xml:space="preserve"> * 0.0813 (iznomātās platības koeficients) = 18,19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</si>
  <si>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0.0813 (iznomātās platības koeficients) = 12,84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</si>
  <si>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0.0813 (iznomātās platības koeficients) = 73,94 </t>
    </r>
    <r>
      <rPr>
        <i/>
        <sz val="12"/>
        <color theme="1"/>
        <rFont val="Times New Roman"/>
        <family val="1"/>
        <charset val="186"/>
      </rPr>
      <t>euro</t>
    </r>
    <r>
      <rPr>
        <sz val="12"/>
        <color theme="1"/>
        <rFont val="Times New Roman"/>
        <family val="1"/>
        <charset val="186"/>
      </rPr>
      <t>.</t>
    </r>
  </si>
  <si>
    <t>Nedzīvojamo telpu noma Klusajā ielā 12, Rīgā</t>
  </si>
  <si>
    <r>
      <rPr>
        <b/>
        <i/>
        <sz val="12"/>
        <color theme="1"/>
        <rFont val="Times New Roman"/>
        <family val="1"/>
        <charset val="186"/>
      </rPr>
      <t>euro</t>
    </r>
    <r>
      <rPr>
        <b/>
        <sz val="12"/>
        <color theme="1"/>
        <rFont val="Times New Roman"/>
        <family val="1"/>
        <charset val="186"/>
      </rPr>
      <t xml:space="preserve"> / stundā</t>
    </r>
  </si>
  <si>
    <r>
      <t xml:space="preserve">Galv. nekust. īpaš. pārvaldnieks (52,51 </t>
    </r>
    <r>
      <rPr>
        <i/>
        <sz val="12"/>
        <color theme="1"/>
        <rFont val="Times New Roman"/>
        <family val="1"/>
        <charset val="186"/>
      </rPr>
      <t>euro</t>
    </r>
    <r>
      <rPr>
        <sz val="12"/>
        <color theme="1"/>
        <rFont val="Times New Roman"/>
        <family val="1"/>
        <charset val="186"/>
      </rPr>
      <t xml:space="preserve"> * 10%) = 5,25 </t>
    </r>
    <r>
      <rPr>
        <i/>
        <sz val="12"/>
        <color theme="1"/>
        <rFont val="Times New Roman"/>
        <family val="1"/>
        <charset val="186"/>
      </rPr>
      <t>euro</t>
    </r>
    <r>
      <rPr>
        <sz val="12"/>
        <color theme="1"/>
        <rFont val="Times New Roman"/>
        <family val="1"/>
        <charset val="186"/>
      </rPr>
      <t xml:space="preserve">, Saimniecības pārzinis (66,25 </t>
    </r>
    <r>
      <rPr>
        <i/>
        <sz val="12"/>
        <color theme="1"/>
        <rFont val="Times New Roman"/>
        <family val="1"/>
        <charset val="186"/>
      </rPr>
      <t>euro</t>
    </r>
    <r>
      <rPr>
        <sz val="12"/>
        <color theme="1"/>
        <rFont val="Times New Roman"/>
        <family val="1"/>
        <charset val="186"/>
      </rPr>
      <t xml:space="preserve"> * 10%) = 6,63 </t>
    </r>
    <r>
      <rPr>
        <i/>
        <sz val="12"/>
        <color theme="1"/>
        <rFont val="Times New Roman"/>
        <family val="1"/>
        <charset val="186"/>
      </rPr>
      <t>euro</t>
    </r>
    <r>
      <rPr>
        <sz val="12"/>
        <color theme="1"/>
        <rFont val="Times New Roman"/>
        <family val="1"/>
        <charset val="186"/>
      </rPr>
      <t xml:space="preserve">, Istabene (62,04 </t>
    </r>
    <r>
      <rPr>
        <i/>
        <sz val="12"/>
        <color theme="1"/>
        <rFont val="Times New Roman"/>
        <family val="1"/>
        <charset val="186"/>
      </rPr>
      <t>euro</t>
    </r>
    <r>
      <rPr>
        <sz val="12"/>
        <color theme="1"/>
        <rFont val="Times New Roman"/>
        <family val="1"/>
        <charset val="186"/>
      </rPr>
      <t xml:space="preserve"> * 10%) = 6,20 </t>
    </r>
    <r>
      <rPr>
        <i/>
        <sz val="12"/>
        <color theme="1"/>
        <rFont val="Times New Roman"/>
        <family val="1"/>
        <charset val="186"/>
      </rPr>
      <t>euro</t>
    </r>
    <r>
      <rPr>
        <sz val="12"/>
        <color theme="1"/>
        <rFont val="Times New Roman"/>
        <family val="1"/>
        <charset val="186"/>
      </rPr>
      <t xml:space="preserve">, Apkopēja (55,82 </t>
    </r>
    <r>
      <rPr>
        <i/>
        <sz val="12"/>
        <color theme="1"/>
        <rFont val="Times New Roman"/>
        <family val="1"/>
        <charset val="186"/>
      </rPr>
      <t>euro</t>
    </r>
    <r>
      <rPr>
        <sz val="12"/>
        <color theme="1"/>
        <rFont val="Times New Roman"/>
        <family val="1"/>
        <charset val="186"/>
      </rPr>
      <t xml:space="preserve"> * 10%) = 5,58 </t>
    </r>
    <r>
      <rPr>
        <i/>
        <sz val="12"/>
        <color theme="1"/>
        <rFont val="Times New Roman"/>
        <family val="1"/>
        <charset val="186"/>
      </rPr>
      <t>euro</t>
    </r>
    <r>
      <rPr>
        <sz val="12"/>
        <color theme="1"/>
        <rFont val="Times New Roman"/>
        <family val="1"/>
        <charset val="186"/>
      </rPr>
      <t xml:space="preserve">, Sētnieks (29,88 </t>
    </r>
    <r>
      <rPr>
        <i/>
        <sz val="12"/>
        <color theme="1"/>
        <rFont val="Times New Roman"/>
        <family val="1"/>
        <charset val="186"/>
      </rPr>
      <t>euro</t>
    </r>
    <r>
      <rPr>
        <sz val="12"/>
        <color theme="1"/>
        <rFont val="Times New Roman"/>
        <family val="1"/>
        <charset val="186"/>
      </rPr>
      <t xml:space="preserve"> * 10%) = 2,99 </t>
    </r>
    <r>
      <rPr>
        <i/>
        <sz val="12"/>
        <color theme="1"/>
        <rFont val="Times New Roman"/>
        <family val="1"/>
        <charset val="186"/>
      </rPr>
      <t>euro</t>
    </r>
    <r>
      <rPr>
        <sz val="12"/>
        <color theme="1"/>
        <rFont val="Times New Roman"/>
        <family val="1"/>
        <charset val="186"/>
      </rPr>
      <t xml:space="preserve">. Kopā (5,25 </t>
    </r>
    <r>
      <rPr>
        <i/>
        <sz val="12"/>
        <color theme="1"/>
        <rFont val="Times New Roman"/>
        <family val="1"/>
        <charset val="186"/>
      </rPr>
      <t>euro</t>
    </r>
    <r>
      <rPr>
        <sz val="12"/>
        <color theme="1"/>
        <rFont val="Times New Roman"/>
        <family val="1"/>
        <charset val="186"/>
      </rPr>
      <t xml:space="preserve"> + 6,63 </t>
    </r>
    <r>
      <rPr>
        <i/>
        <sz val="12"/>
        <color theme="1"/>
        <rFont val="Times New Roman"/>
        <family val="1"/>
        <charset val="186"/>
      </rPr>
      <t>euro</t>
    </r>
    <r>
      <rPr>
        <sz val="12"/>
        <color theme="1"/>
        <rFont val="Times New Roman"/>
        <family val="1"/>
        <charset val="186"/>
      </rPr>
      <t xml:space="preserve"> + 6,20 </t>
    </r>
    <r>
      <rPr>
        <i/>
        <sz val="12"/>
        <color theme="1"/>
        <rFont val="Times New Roman"/>
        <family val="1"/>
        <charset val="186"/>
      </rPr>
      <t>euro</t>
    </r>
    <r>
      <rPr>
        <sz val="12"/>
        <color theme="1"/>
        <rFont val="Times New Roman"/>
        <family val="1"/>
        <charset val="186"/>
      </rPr>
      <t xml:space="preserve"> + 5,58 </t>
    </r>
    <r>
      <rPr>
        <i/>
        <sz val="12"/>
        <color theme="1"/>
        <rFont val="Times New Roman"/>
        <family val="1"/>
        <charset val="186"/>
      </rPr>
      <t>euro</t>
    </r>
    <r>
      <rPr>
        <sz val="12"/>
        <color theme="1"/>
        <rFont val="Times New Roman"/>
        <family val="1"/>
        <charset val="186"/>
      </rPr>
      <t xml:space="preserve"> + 2,99 </t>
    </r>
    <r>
      <rPr>
        <i/>
        <sz val="12"/>
        <color theme="1"/>
        <rFont val="Times New Roman"/>
        <family val="1"/>
        <charset val="186"/>
      </rPr>
      <t>euro</t>
    </r>
    <r>
      <rPr>
        <sz val="12"/>
        <color theme="1"/>
        <rFont val="Times New Roman"/>
        <family val="1"/>
        <charset val="186"/>
      </rPr>
      <t xml:space="preserve">) = 26,65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</si>
  <si>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(293,15 </t>
    </r>
    <r>
      <rPr>
        <i/>
        <sz val="12"/>
        <color theme="1"/>
        <rFont val="Times New Roman"/>
        <family val="1"/>
        <charset val="186"/>
      </rPr>
      <t>euro</t>
    </r>
    <r>
      <rPr>
        <sz val="12"/>
        <color theme="1"/>
        <rFont val="Times New Roman"/>
        <family val="1"/>
        <charset val="186"/>
      </rPr>
      <t xml:space="preserve"> * 23,59 %) = 69,15 </t>
    </r>
    <r>
      <rPr>
        <i/>
        <sz val="12"/>
        <color theme="1"/>
        <rFont val="Times New Roman"/>
        <family val="1"/>
        <charset val="186"/>
      </rPr>
      <t xml:space="preserve">euro. </t>
    </r>
  </si>
  <si>
    <r>
      <t xml:space="preserve">Veselības apdrošināšana, Galv. nekust. īpaš. pārvaldnieks (52,51 euro * 5%) = 2,63 euro, Saimniecības pārzinis (66,25 euro * 5%) = 3,31 euro, Istabene (62,04 euro * 5%) = 3,10 euro, Apkopēja (55,82 euro * 5%) = 2,79 euro, Sētnieks (29,88 euro * 5%) = 1,49 euro. Kopā (2,63 </t>
    </r>
    <r>
      <rPr>
        <i/>
        <sz val="12"/>
        <color theme="1"/>
        <rFont val="Times New Roman"/>
        <family val="1"/>
        <charset val="186"/>
      </rPr>
      <t>euro</t>
    </r>
    <r>
      <rPr>
        <sz val="12"/>
        <color theme="1"/>
        <rFont val="Times New Roman"/>
        <family val="1"/>
        <charset val="186"/>
      </rPr>
      <t xml:space="preserve"> + 3,31 </t>
    </r>
    <r>
      <rPr>
        <i/>
        <sz val="12"/>
        <color theme="1"/>
        <rFont val="Times New Roman"/>
        <family val="1"/>
        <charset val="186"/>
      </rPr>
      <t>euro</t>
    </r>
    <r>
      <rPr>
        <sz val="12"/>
        <color theme="1"/>
        <rFont val="Times New Roman"/>
        <family val="1"/>
        <charset val="186"/>
      </rPr>
      <t xml:space="preserve"> + 3,10 </t>
    </r>
    <r>
      <rPr>
        <i/>
        <sz val="12"/>
        <color theme="1"/>
        <rFont val="Times New Roman"/>
        <family val="1"/>
        <charset val="186"/>
      </rPr>
      <t>euro</t>
    </r>
    <r>
      <rPr>
        <sz val="12"/>
        <color theme="1"/>
        <rFont val="Times New Roman"/>
        <family val="1"/>
        <charset val="186"/>
      </rPr>
      <t xml:space="preserve"> + 2,79 </t>
    </r>
    <r>
      <rPr>
        <i/>
        <sz val="12"/>
        <color theme="1"/>
        <rFont val="Times New Roman"/>
        <family val="1"/>
        <charset val="186"/>
      </rPr>
      <t>euro</t>
    </r>
    <r>
      <rPr>
        <sz val="12"/>
        <color theme="1"/>
        <rFont val="Times New Roman"/>
        <family val="1"/>
        <charset val="186"/>
      </rPr>
      <t xml:space="preserve"> + 1,49 </t>
    </r>
    <r>
      <rPr>
        <i/>
        <sz val="12"/>
        <color theme="1"/>
        <rFont val="Times New Roman"/>
        <family val="1"/>
        <charset val="186"/>
      </rPr>
      <t>euro</t>
    </r>
    <r>
      <rPr>
        <sz val="12"/>
        <color theme="1"/>
        <rFont val="Times New Roman"/>
        <family val="1"/>
        <charset val="186"/>
      </rPr>
      <t xml:space="preserve">) = 13,32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</si>
  <si>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69,15 </t>
    </r>
    <r>
      <rPr>
        <i/>
        <sz val="12"/>
        <color theme="1"/>
        <rFont val="Times New Roman"/>
        <family val="1"/>
        <charset val="186"/>
      </rPr>
      <t>euro</t>
    </r>
    <r>
      <rPr>
        <sz val="12"/>
        <color theme="1"/>
        <rFont val="Times New Roman"/>
        <family val="1"/>
        <charset val="186"/>
      </rPr>
      <t xml:space="preserve">. Veselības apdrošināšana 13,32 </t>
    </r>
    <r>
      <rPr>
        <i/>
        <sz val="12"/>
        <color theme="1"/>
        <rFont val="Times New Roman"/>
        <family val="1"/>
        <charset val="186"/>
      </rPr>
      <t>euro</t>
    </r>
    <r>
      <rPr>
        <sz val="12"/>
        <color theme="1"/>
        <rFont val="Times New Roman"/>
        <family val="1"/>
        <charset val="186"/>
      </rPr>
      <t xml:space="preserve">. Kopā 82,47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</si>
  <si>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2.9 stundas, (8,14 </t>
    </r>
    <r>
      <rPr>
        <i/>
        <sz val="12"/>
        <color theme="1"/>
        <rFont val="Times New Roman"/>
        <family val="1"/>
        <charset val="186"/>
      </rPr>
      <t>euro</t>
    </r>
    <r>
      <rPr>
        <sz val="12"/>
        <color theme="1"/>
        <rFont val="Times New Roman"/>
        <family val="1"/>
        <charset val="186"/>
      </rPr>
      <t xml:space="preserve"> * 2.9 h) = 23.61 </t>
    </r>
    <r>
      <rPr>
        <i/>
        <sz val="12"/>
        <color theme="1"/>
        <rFont val="Times New Roman"/>
        <family val="1"/>
        <charset val="186"/>
      </rPr>
      <t>euro</t>
    </r>
    <r>
      <rPr>
        <sz val="12"/>
        <color theme="1"/>
        <rFont val="Times New Roman"/>
        <family val="1"/>
        <charset val="186"/>
      </rPr>
      <t xml:space="preserve">/mēn. * 12 mēn. = 283,32 </t>
    </r>
    <r>
      <rPr>
        <i/>
        <sz val="12"/>
        <color theme="1"/>
        <rFont val="Times New Roman"/>
        <family val="1"/>
        <charset val="186"/>
      </rPr>
      <t>euro</t>
    </r>
    <r>
      <rPr>
        <sz val="12"/>
        <color theme="1"/>
        <rFont val="Times New Roman"/>
        <family val="1"/>
        <charset val="186"/>
      </rPr>
      <t xml:space="preserve"> * 0.205 (iznomātās platības koeficients) = 58,08 </t>
    </r>
    <r>
      <rPr>
        <i/>
        <sz val="12"/>
        <color theme="1"/>
        <rFont val="Times New Roman"/>
        <family val="1"/>
        <charset val="186"/>
      </rPr>
      <t>euro</t>
    </r>
    <r>
      <rPr>
        <sz val="12"/>
        <color theme="1"/>
        <rFont val="Times New Roman"/>
        <family val="1"/>
        <charset val="186"/>
      </rPr>
      <t xml:space="preserve">. </t>
    </r>
  </si>
  <si>
    <r>
      <t xml:space="preserve">Galv. nekust. īpaš. pārvaldnieks (58,08 </t>
    </r>
    <r>
      <rPr>
        <i/>
        <sz val="12"/>
        <color theme="1"/>
        <rFont val="Times New Roman"/>
        <family val="1"/>
        <charset val="186"/>
      </rPr>
      <t>euro</t>
    </r>
    <r>
      <rPr>
        <sz val="12"/>
        <color theme="1"/>
        <rFont val="Times New Roman"/>
        <family val="1"/>
        <charset val="186"/>
      </rPr>
      <t xml:space="preserve"> * 10%) = 5,81 </t>
    </r>
    <r>
      <rPr>
        <i/>
        <sz val="12"/>
        <color theme="1"/>
        <rFont val="Times New Roman"/>
        <family val="1"/>
        <charset val="186"/>
      </rPr>
      <t>euro</t>
    </r>
    <r>
      <rPr>
        <sz val="12"/>
        <color theme="1"/>
        <rFont val="Times New Roman"/>
        <family val="1"/>
        <charset val="186"/>
      </rPr>
      <t xml:space="preserve">, Dienesta viesnīcas vadīotājs (116,14 euro * 10%) = 11,61 euro.  Saimniecības pārzinis (76,48 </t>
    </r>
    <r>
      <rPr>
        <i/>
        <sz val="12"/>
        <color theme="1"/>
        <rFont val="Times New Roman"/>
        <family val="1"/>
        <charset val="186"/>
      </rPr>
      <t>euro</t>
    </r>
    <r>
      <rPr>
        <sz val="12"/>
        <color theme="1"/>
        <rFont val="Times New Roman"/>
        <family val="1"/>
        <charset val="186"/>
      </rPr>
      <t xml:space="preserve"> * 10%) = 7,65 </t>
    </r>
    <r>
      <rPr>
        <i/>
        <sz val="12"/>
        <color theme="1"/>
        <rFont val="Times New Roman"/>
        <family val="1"/>
        <charset val="186"/>
      </rPr>
      <t>euro.</t>
    </r>
    <r>
      <rPr>
        <sz val="12"/>
        <color theme="1"/>
        <rFont val="Times New Roman"/>
        <family val="1"/>
        <charset val="186"/>
      </rPr>
      <t xml:space="preserve"> Kopā (5,81 </t>
    </r>
    <r>
      <rPr>
        <i/>
        <sz val="12"/>
        <color theme="1"/>
        <rFont val="Times New Roman"/>
        <family val="1"/>
        <charset val="186"/>
      </rPr>
      <t>euro</t>
    </r>
    <r>
      <rPr>
        <sz val="12"/>
        <color theme="1"/>
        <rFont val="Times New Roman"/>
        <family val="1"/>
        <charset val="186"/>
      </rPr>
      <t xml:space="preserve"> + 11,61 </t>
    </r>
    <r>
      <rPr>
        <i/>
        <sz val="12"/>
        <color theme="1"/>
        <rFont val="Times New Roman"/>
        <family val="1"/>
        <charset val="186"/>
      </rPr>
      <t>euro</t>
    </r>
    <r>
      <rPr>
        <sz val="12"/>
        <color theme="1"/>
        <rFont val="Times New Roman"/>
        <family val="1"/>
        <charset val="186"/>
      </rPr>
      <t xml:space="preserve"> + 7,65 </t>
    </r>
    <r>
      <rPr>
        <i/>
        <sz val="12"/>
        <color theme="1"/>
        <rFont val="Times New Roman"/>
        <family val="1"/>
        <charset val="186"/>
      </rPr>
      <t>euro</t>
    </r>
    <r>
      <rPr>
        <sz val="12"/>
        <color theme="1"/>
        <rFont val="Times New Roman"/>
        <family val="1"/>
        <charset val="186"/>
      </rPr>
      <t xml:space="preserve">) = 25,07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</si>
  <si>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(275,77 </t>
    </r>
    <r>
      <rPr>
        <i/>
        <sz val="12"/>
        <color theme="1"/>
        <rFont val="Times New Roman"/>
        <family val="1"/>
        <charset val="186"/>
      </rPr>
      <t>euro</t>
    </r>
    <r>
      <rPr>
        <sz val="12"/>
        <color theme="1"/>
        <rFont val="Times New Roman"/>
        <family val="1"/>
        <charset val="186"/>
      </rPr>
      <t xml:space="preserve"> * 23,59 %) = 65,05 </t>
    </r>
    <r>
      <rPr>
        <i/>
        <sz val="12"/>
        <color theme="1"/>
        <rFont val="Times New Roman"/>
        <family val="1"/>
        <charset val="186"/>
      </rPr>
      <t xml:space="preserve">euro. </t>
    </r>
  </si>
  <si>
    <r>
      <t xml:space="preserve">Darba devēja valsts sociālās apdrošināšanas obligātās iemaksas 65,05 </t>
    </r>
    <r>
      <rPr>
        <i/>
        <sz val="12"/>
        <color theme="1"/>
        <rFont val="Times New Roman"/>
        <family val="1"/>
        <charset val="186"/>
      </rPr>
      <t>euro</t>
    </r>
    <r>
      <rPr>
        <sz val="12"/>
        <color theme="1"/>
        <rFont val="Times New Roman"/>
        <family val="1"/>
        <charset val="186"/>
      </rPr>
      <t xml:space="preserve">. Veselības apdrošināšana 12,53 </t>
    </r>
    <r>
      <rPr>
        <i/>
        <sz val="12"/>
        <color theme="1"/>
        <rFont val="Times New Roman"/>
        <family val="1"/>
        <charset val="186"/>
      </rPr>
      <t>euro</t>
    </r>
    <r>
      <rPr>
        <sz val="12"/>
        <color theme="1"/>
        <rFont val="Times New Roman"/>
        <family val="1"/>
        <charset val="186"/>
      </rPr>
      <t xml:space="preserve">. Kopā 77,58 </t>
    </r>
    <r>
      <rPr>
        <i/>
        <sz val="12"/>
        <color theme="1"/>
        <rFont val="Times New Roman"/>
        <family val="1"/>
        <charset val="186"/>
      </rPr>
      <t>euro</t>
    </r>
    <r>
      <rPr>
        <sz val="12"/>
        <color theme="1"/>
        <rFont val="Times New Roman"/>
        <family val="1"/>
        <charset val="186"/>
      </rPr>
      <t>.</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</si>
  <si>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5.79 stundas, (5,37 </t>
    </r>
    <r>
      <rPr>
        <i/>
        <sz val="12"/>
        <color theme="1"/>
        <rFont val="Times New Roman"/>
        <family val="1"/>
        <charset val="186"/>
      </rPr>
      <t>euro</t>
    </r>
    <r>
      <rPr>
        <sz val="12"/>
        <color theme="1"/>
        <rFont val="Times New Roman"/>
        <family val="1"/>
        <charset val="186"/>
      </rPr>
      <t xml:space="preserve"> * 5.79 h) = 31,09 </t>
    </r>
    <r>
      <rPr>
        <i/>
        <sz val="12"/>
        <color theme="1"/>
        <rFont val="Times New Roman"/>
        <family val="1"/>
        <charset val="186"/>
      </rPr>
      <t>euro</t>
    </r>
    <r>
      <rPr>
        <sz val="12"/>
        <color theme="1"/>
        <rFont val="Times New Roman"/>
        <family val="1"/>
        <charset val="186"/>
      </rPr>
      <t xml:space="preserve">/mēn. * 12 mēn. = 373,08 </t>
    </r>
    <r>
      <rPr>
        <i/>
        <sz val="12"/>
        <color theme="1"/>
        <rFont val="Times New Roman"/>
        <family val="1"/>
        <charset val="186"/>
      </rPr>
      <t>euro</t>
    </r>
    <r>
      <rPr>
        <sz val="12"/>
        <color theme="1"/>
        <rFont val="Times New Roman"/>
        <family val="1"/>
        <charset val="186"/>
      </rPr>
      <t xml:space="preserve"> * 0.205 (iznomātās platības koeficients) = 76,48 </t>
    </r>
    <r>
      <rPr>
        <i/>
        <sz val="12"/>
        <color theme="1"/>
        <rFont val="Times New Roman"/>
        <family val="1"/>
        <charset val="186"/>
      </rPr>
      <t>euro</t>
    </r>
    <r>
      <rPr>
        <sz val="12"/>
        <color theme="1"/>
        <rFont val="Times New Roman"/>
        <family val="1"/>
        <charset val="186"/>
      </rPr>
      <t xml:space="preserve">. </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</si>
  <si>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6 min, (7,58 </t>
    </r>
    <r>
      <rPr>
        <i/>
        <sz val="12"/>
        <color theme="1"/>
        <rFont val="Times New Roman"/>
        <family val="1"/>
        <charset val="186"/>
      </rPr>
      <t>euro</t>
    </r>
    <r>
      <rPr>
        <sz val="12"/>
        <color theme="1"/>
        <rFont val="Times New Roman"/>
        <family val="1"/>
        <charset val="186"/>
      </rPr>
      <t xml:space="preserve"> * 0.1 h) = 0,76 </t>
    </r>
    <r>
      <rPr>
        <i/>
        <sz val="12"/>
        <color theme="1"/>
        <rFont val="Times New Roman"/>
        <family val="1"/>
        <charset val="186"/>
      </rPr>
      <t>euro</t>
    </r>
    <r>
      <rPr>
        <sz val="12"/>
        <color theme="1"/>
        <rFont val="Times New Roman"/>
        <family val="1"/>
        <charset val="186"/>
      </rPr>
      <t xml:space="preserve">/mēn. * 12. mēn. = 9,12 </t>
    </r>
    <r>
      <rPr>
        <i/>
        <sz val="12"/>
        <color theme="1"/>
        <rFont val="Times New Roman"/>
        <family val="1"/>
        <charset val="186"/>
      </rPr>
      <t>euro</t>
    </r>
    <r>
      <rPr>
        <sz val="12"/>
        <color theme="1"/>
        <rFont val="Times New Roman"/>
        <family val="1"/>
        <charset val="186"/>
      </rPr>
      <t xml:space="preserve"> * 0.205 (iznomātās platības koeficients) = 1,87 </t>
    </r>
    <r>
      <rPr>
        <i/>
        <sz val="12"/>
        <color theme="1"/>
        <rFont val="Times New Roman"/>
        <family val="1"/>
        <charset val="186"/>
      </rPr>
      <t>euro</t>
    </r>
  </si>
  <si>
    <r>
      <t xml:space="preserve">Darba devēja valsts sociālās apdrošināšanas obligātās iemaksas (1 068,11 </t>
    </r>
    <r>
      <rPr>
        <i/>
        <sz val="12"/>
        <color theme="1"/>
        <rFont val="Times New Roman"/>
        <family val="1"/>
        <charset val="186"/>
      </rPr>
      <t>euro</t>
    </r>
    <r>
      <rPr>
        <sz val="12"/>
        <color theme="1"/>
        <rFont val="Times New Roman"/>
        <family val="1"/>
        <charset val="186"/>
      </rPr>
      <t xml:space="preserve"> * 23,59 %) = 251,97 </t>
    </r>
    <r>
      <rPr>
        <i/>
        <sz val="12"/>
        <color theme="1"/>
        <rFont val="Times New Roman"/>
        <family val="1"/>
        <charset val="186"/>
      </rPr>
      <t xml:space="preserve">euro. </t>
    </r>
  </si>
  <si>
    <r>
      <t xml:space="preserve">Darba devēja valsts sociālās apdrošināšanas obligātās iemaksas 251,97 </t>
    </r>
    <r>
      <rPr>
        <i/>
        <sz val="12"/>
        <color theme="1"/>
        <rFont val="Times New Roman"/>
        <family val="1"/>
        <charset val="186"/>
      </rPr>
      <t>euro</t>
    </r>
    <r>
      <rPr>
        <sz val="12"/>
        <color theme="1"/>
        <rFont val="Times New Roman"/>
        <family val="1"/>
        <charset val="186"/>
      </rPr>
      <t xml:space="preserve">. Veselības apdrošināšana 48,55 </t>
    </r>
    <r>
      <rPr>
        <i/>
        <sz val="12"/>
        <color theme="1"/>
        <rFont val="Times New Roman"/>
        <family val="1"/>
        <charset val="186"/>
      </rPr>
      <t>euro</t>
    </r>
    <r>
      <rPr>
        <sz val="12"/>
        <color theme="1"/>
        <rFont val="Times New Roman"/>
        <family val="1"/>
        <charset val="186"/>
      </rPr>
      <t xml:space="preserve">. Kopā 300,52 </t>
    </r>
    <r>
      <rPr>
        <i/>
        <sz val="12"/>
        <color theme="1"/>
        <rFont val="Times New Roman"/>
        <family val="1"/>
        <charset val="186"/>
      </rPr>
      <t>euro</t>
    </r>
    <r>
      <rPr>
        <sz val="12"/>
        <color theme="1"/>
        <rFont val="Times New Roman"/>
        <family val="1"/>
        <charset val="186"/>
      </rPr>
      <t>.</t>
    </r>
  </si>
  <si>
    <r>
      <t xml:space="preserve">Veselības apdrošināšana. Galv. nekust. īpaš. pārvaldnieks (224,96 </t>
    </r>
    <r>
      <rPr>
        <i/>
        <sz val="12"/>
        <color theme="1"/>
        <rFont val="Times New Roman"/>
        <family val="1"/>
        <charset val="186"/>
      </rPr>
      <t>euro</t>
    </r>
    <r>
      <rPr>
        <sz val="12"/>
        <color theme="1"/>
        <rFont val="Times New Roman"/>
        <family val="1"/>
        <charset val="186"/>
      </rPr>
      <t xml:space="preserve"> * 5%) = 11,25 </t>
    </r>
    <r>
      <rPr>
        <i/>
        <sz val="12"/>
        <color theme="1"/>
        <rFont val="Times New Roman"/>
        <family val="1"/>
        <charset val="186"/>
      </rPr>
      <t>euro</t>
    </r>
    <r>
      <rPr>
        <sz val="12"/>
        <color theme="1"/>
        <rFont val="Times New Roman"/>
        <family val="1"/>
        <charset val="186"/>
      </rPr>
      <t xml:space="preserve">, Dienesta viesnīcas vadīotājs (449,82 </t>
    </r>
    <r>
      <rPr>
        <i/>
        <sz val="12"/>
        <color theme="1"/>
        <rFont val="Times New Roman"/>
        <family val="1"/>
        <charset val="186"/>
      </rPr>
      <t>euro</t>
    </r>
    <r>
      <rPr>
        <sz val="12"/>
        <color theme="1"/>
        <rFont val="Times New Roman"/>
        <family val="1"/>
        <charset val="186"/>
      </rPr>
      <t xml:space="preserve"> * 5%) = 22,49 </t>
    </r>
    <r>
      <rPr>
        <i/>
        <sz val="12"/>
        <color theme="1"/>
        <rFont val="Times New Roman"/>
        <family val="1"/>
        <charset val="186"/>
      </rPr>
      <t>euro</t>
    </r>
    <r>
      <rPr>
        <sz val="12"/>
        <color theme="1"/>
        <rFont val="Times New Roman"/>
        <family val="1"/>
        <charset val="186"/>
      </rPr>
      <t xml:space="preserve">. Saimniecības pārzinis (296,23 </t>
    </r>
    <r>
      <rPr>
        <i/>
        <sz val="12"/>
        <color theme="1"/>
        <rFont val="Times New Roman"/>
        <family val="1"/>
        <charset val="186"/>
      </rPr>
      <t>euro</t>
    </r>
    <r>
      <rPr>
        <sz val="12"/>
        <color theme="1"/>
        <rFont val="Times New Roman"/>
        <family val="1"/>
        <charset val="186"/>
      </rPr>
      <t xml:space="preserve"> * 5%) = 14,81 </t>
    </r>
    <r>
      <rPr>
        <i/>
        <sz val="12"/>
        <color theme="1"/>
        <rFont val="Times New Roman"/>
        <family val="1"/>
        <charset val="186"/>
      </rPr>
      <t>euro</t>
    </r>
    <r>
      <rPr>
        <sz val="12"/>
        <color theme="1"/>
        <rFont val="Times New Roman"/>
        <family val="1"/>
        <charset val="186"/>
      </rPr>
      <t xml:space="preserve">. Kopā (11,25 </t>
    </r>
    <r>
      <rPr>
        <i/>
        <sz val="12"/>
        <color theme="1"/>
        <rFont val="Times New Roman"/>
        <family val="1"/>
        <charset val="186"/>
      </rPr>
      <t>euro</t>
    </r>
    <r>
      <rPr>
        <sz val="12"/>
        <color theme="1"/>
        <rFont val="Times New Roman"/>
        <family val="1"/>
        <charset val="186"/>
      </rPr>
      <t xml:space="preserve"> + 22,49 </t>
    </r>
    <r>
      <rPr>
        <i/>
        <sz val="12"/>
        <color theme="1"/>
        <rFont val="Times New Roman"/>
        <family val="1"/>
        <charset val="186"/>
      </rPr>
      <t>euro</t>
    </r>
    <r>
      <rPr>
        <sz val="12"/>
        <color theme="1"/>
        <rFont val="Times New Roman"/>
        <family val="1"/>
        <charset val="186"/>
      </rPr>
      <t xml:space="preserve"> + 14,81  </t>
    </r>
    <r>
      <rPr>
        <i/>
        <sz val="12"/>
        <color theme="1"/>
        <rFont val="Times New Roman"/>
        <family val="1"/>
        <charset val="186"/>
      </rPr>
      <t>euro</t>
    </r>
    <r>
      <rPr>
        <sz val="12"/>
        <color theme="1"/>
        <rFont val="Times New Roman"/>
        <family val="1"/>
        <charset val="186"/>
      </rPr>
      <t xml:space="preserve">) = 48,55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</si>
  <si>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2.9 stundas, (8,14 </t>
    </r>
    <r>
      <rPr>
        <i/>
        <sz val="12"/>
        <color theme="1"/>
        <rFont val="Times New Roman"/>
        <family val="1"/>
        <charset val="186"/>
      </rPr>
      <t>euro</t>
    </r>
    <r>
      <rPr>
        <sz val="12"/>
        <color theme="1"/>
        <rFont val="Times New Roman"/>
        <family val="1"/>
        <charset val="186"/>
      </rPr>
      <t xml:space="preserve"> * 2.9 h) = 23.61 </t>
    </r>
    <r>
      <rPr>
        <i/>
        <sz val="12"/>
        <color theme="1"/>
        <rFont val="Times New Roman"/>
        <family val="1"/>
        <charset val="186"/>
      </rPr>
      <t>euro</t>
    </r>
    <r>
      <rPr>
        <sz val="12"/>
        <color theme="1"/>
        <rFont val="Times New Roman"/>
        <family val="1"/>
        <charset val="186"/>
      </rPr>
      <t xml:space="preserve">/mēn. * 12 mēn. = 283,32 </t>
    </r>
    <r>
      <rPr>
        <i/>
        <sz val="12"/>
        <color theme="1"/>
        <rFont val="Times New Roman"/>
        <family val="1"/>
        <charset val="186"/>
      </rPr>
      <t>euro</t>
    </r>
    <r>
      <rPr>
        <sz val="12"/>
        <color theme="1"/>
        <rFont val="Times New Roman"/>
        <family val="1"/>
        <charset val="186"/>
      </rPr>
      <t xml:space="preserve"> * 0.794 (iznomātās platības koeficients) = 224,96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</si>
  <si>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rFont val="Times New Roman"/>
        <family val="1"/>
        <charset val="186"/>
      </rPr>
      <t>euro</t>
    </r>
    <r>
      <rPr>
        <sz val="12"/>
        <rFont val="Times New Roman"/>
        <family val="1"/>
        <charset val="186"/>
      </rPr>
      <t xml:space="preserve">). Stundas tarifa likme 5,37 </t>
    </r>
    <r>
      <rPr>
        <i/>
        <sz val="12"/>
        <rFont val="Times New Roman"/>
        <family val="1"/>
        <charset val="186"/>
      </rPr>
      <t>euro</t>
    </r>
    <r>
      <rPr>
        <sz val="12"/>
        <rFont val="Times New Roman"/>
        <family val="1"/>
        <charset val="186"/>
      </rPr>
      <t xml:space="preserve"> = 897 </t>
    </r>
    <r>
      <rPr>
        <i/>
        <sz val="12"/>
        <rFont val="Times New Roman"/>
        <family val="1"/>
        <charset val="186"/>
      </rPr>
      <t>euro</t>
    </r>
    <r>
      <rPr>
        <sz val="12"/>
        <rFont val="Times New Roman"/>
        <family val="1"/>
        <charset val="186"/>
      </rPr>
      <t xml:space="preserve"> / 166.92 (vid. d. stundu sk. mēnesī). Vid. mēn. noslogojums 5.79 stundas, (5,37 </t>
    </r>
    <r>
      <rPr>
        <i/>
        <sz val="12"/>
        <rFont val="Times New Roman"/>
        <family val="1"/>
        <charset val="186"/>
      </rPr>
      <t>euro</t>
    </r>
    <r>
      <rPr>
        <sz val="12"/>
        <rFont val="Times New Roman"/>
        <family val="1"/>
        <charset val="186"/>
      </rPr>
      <t xml:space="preserve"> * 5.79 h) = 31,09 </t>
    </r>
    <r>
      <rPr>
        <i/>
        <sz val="12"/>
        <rFont val="Times New Roman"/>
        <family val="1"/>
        <charset val="186"/>
      </rPr>
      <t>euro</t>
    </r>
    <r>
      <rPr>
        <sz val="12"/>
        <rFont val="Times New Roman"/>
        <family val="1"/>
        <charset val="186"/>
      </rPr>
      <t xml:space="preserve">/mēn. * 12 mēn. = 373,08 </t>
    </r>
    <r>
      <rPr>
        <i/>
        <sz val="12"/>
        <rFont val="Times New Roman"/>
        <family val="1"/>
        <charset val="186"/>
      </rPr>
      <t>euro</t>
    </r>
    <r>
      <rPr>
        <sz val="12"/>
        <rFont val="Times New Roman"/>
        <family val="1"/>
        <charset val="186"/>
      </rPr>
      <t xml:space="preserve"> * 0.794 (iznomātās platības koeficients) = 296,23 </t>
    </r>
    <r>
      <rPr>
        <i/>
        <sz val="12"/>
        <rFont val="Times New Roman"/>
        <family val="1"/>
        <charset val="186"/>
      </rPr>
      <t>euro</t>
    </r>
    <r>
      <rPr>
        <sz val="12"/>
        <rFont val="Times New Roman"/>
        <family val="1"/>
        <charset val="186"/>
      </rPr>
      <t xml:space="preserve">. </t>
    </r>
  </si>
  <si>
    <r>
      <t xml:space="preserve">Galv. nekust. īpaš. pārvaldnieks (224,96 </t>
    </r>
    <r>
      <rPr>
        <i/>
        <sz val="12"/>
        <color theme="1"/>
        <rFont val="Times New Roman"/>
        <family val="1"/>
        <charset val="186"/>
      </rPr>
      <t>euro</t>
    </r>
    <r>
      <rPr>
        <sz val="12"/>
        <color theme="1"/>
        <rFont val="Times New Roman"/>
        <family val="1"/>
        <charset val="186"/>
      </rPr>
      <t xml:space="preserve"> * 10%) = 22,50 </t>
    </r>
    <r>
      <rPr>
        <i/>
        <sz val="12"/>
        <color theme="1"/>
        <rFont val="Times New Roman"/>
        <family val="1"/>
        <charset val="186"/>
      </rPr>
      <t>euro</t>
    </r>
    <r>
      <rPr>
        <sz val="12"/>
        <color theme="1"/>
        <rFont val="Times New Roman"/>
        <family val="1"/>
        <charset val="186"/>
      </rPr>
      <t xml:space="preserve">, Dienesta viesnīcas vadīotājs (449,82 </t>
    </r>
    <r>
      <rPr>
        <i/>
        <sz val="12"/>
        <color theme="1"/>
        <rFont val="Times New Roman"/>
        <family val="1"/>
        <charset val="186"/>
      </rPr>
      <t>euro</t>
    </r>
    <r>
      <rPr>
        <sz val="12"/>
        <color theme="1"/>
        <rFont val="Times New Roman"/>
        <family val="1"/>
        <charset val="186"/>
      </rPr>
      <t xml:space="preserve"> * 10%) = 44,98 euro.  Saimniecības pārzinis (296,23 </t>
    </r>
    <r>
      <rPr>
        <i/>
        <sz val="12"/>
        <color theme="1"/>
        <rFont val="Times New Roman"/>
        <family val="1"/>
        <charset val="186"/>
      </rPr>
      <t>euro</t>
    </r>
    <r>
      <rPr>
        <sz val="12"/>
        <color theme="1"/>
        <rFont val="Times New Roman"/>
        <family val="1"/>
        <charset val="186"/>
      </rPr>
      <t xml:space="preserve"> * 10%) = 29,62 </t>
    </r>
    <r>
      <rPr>
        <i/>
        <sz val="12"/>
        <color theme="1"/>
        <rFont val="Times New Roman"/>
        <family val="1"/>
        <charset val="186"/>
      </rPr>
      <t>euro.</t>
    </r>
    <r>
      <rPr>
        <sz val="12"/>
        <color theme="1"/>
        <rFont val="Times New Roman"/>
        <family val="1"/>
        <charset val="186"/>
      </rPr>
      <t xml:space="preserve"> Kopā (22,50 </t>
    </r>
    <r>
      <rPr>
        <i/>
        <sz val="12"/>
        <color theme="1"/>
        <rFont val="Times New Roman"/>
        <family val="1"/>
        <charset val="186"/>
      </rPr>
      <t>euro</t>
    </r>
    <r>
      <rPr>
        <sz val="12"/>
        <color theme="1"/>
        <rFont val="Times New Roman"/>
        <family val="1"/>
        <charset val="186"/>
      </rPr>
      <t xml:space="preserve"> + 44,98 </t>
    </r>
    <r>
      <rPr>
        <i/>
        <sz val="12"/>
        <color theme="1"/>
        <rFont val="Times New Roman"/>
        <family val="1"/>
        <charset val="186"/>
      </rPr>
      <t>euro</t>
    </r>
    <r>
      <rPr>
        <sz val="12"/>
        <color theme="1"/>
        <rFont val="Times New Roman"/>
        <family val="1"/>
        <charset val="186"/>
      </rPr>
      <t xml:space="preserve"> + 29,62 </t>
    </r>
    <r>
      <rPr>
        <i/>
        <sz val="12"/>
        <color theme="1"/>
        <rFont val="Times New Roman"/>
        <family val="1"/>
        <charset val="186"/>
      </rPr>
      <t>euro</t>
    </r>
    <r>
      <rPr>
        <sz val="12"/>
        <color theme="1"/>
        <rFont val="Times New Roman"/>
        <family val="1"/>
        <charset val="186"/>
      </rPr>
      <t xml:space="preserve">) = 97,10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</si>
  <si>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3.08 stundas, (9,11 </t>
    </r>
    <r>
      <rPr>
        <i/>
        <sz val="12"/>
        <color theme="1"/>
        <rFont val="Times New Roman"/>
        <family val="1"/>
        <charset val="186"/>
      </rPr>
      <t>euro</t>
    </r>
    <r>
      <rPr>
        <sz val="12"/>
        <color theme="1"/>
        <rFont val="Times New Roman"/>
        <family val="1"/>
        <charset val="186"/>
      </rPr>
      <t xml:space="preserve"> * 3.08 h) = 28,06 </t>
    </r>
    <r>
      <rPr>
        <i/>
        <sz val="12"/>
        <color theme="1"/>
        <rFont val="Times New Roman"/>
        <family val="1"/>
        <charset val="186"/>
      </rPr>
      <t>euro</t>
    </r>
    <r>
      <rPr>
        <sz val="12"/>
        <color theme="1"/>
        <rFont val="Times New Roman"/>
        <family val="1"/>
        <charset val="186"/>
      </rPr>
      <t xml:space="preserve">/mēn. * 12. mēn. = 336,72 </t>
    </r>
    <r>
      <rPr>
        <i/>
        <sz val="12"/>
        <color theme="1"/>
        <rFont val="Times New Roman"/>
        <family val="1"/>
        <charset val="186"/>
      </rPr>
      <t>euro</t>
    </r>
    <r>
      <rPr>
        <sz val="12"/>
        <color theme="1"/>
        <rFont val="Times New Roman"/>
        <family val="1"/>
        <charset val="186"/>
      </rPr>
      <t xml:space="preserve"> * 0.794 (iznomātās platības koeficients) = 267,36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</si>
  <si>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6 min, (12,07 </t>
    </r>
    <r>
      <rPr>
        <i/>
        <sz val="12"/>
        <color theme="1"/>
        <rFont val="Times New Roman"/>
        <family val="1"/>
        <charset val="186"/>
      </rPr>
      <t>euro</t>
    </r>
    <r>
      <rPr>
        <sz val="12"/>
        <color theme="1"/>
        <rFont val="Times New Roman"/>
        <family val="1"/>
        <charset val="186"/>
      </rPr>
      <t xml:space="preserve"> * 0.1 h) = 1,21 </t>
    </r>
    <r>
      <rPr>
        <i/>
        <sz val="12"/>
        <color theme="1"/>
        <rFont val="Times New Roman"/>
        <family val="1"/>
        <charset val="186"/>
      </rPr>
      <t>euro</t>
    </r>
    <r>
      <rPr>
        <sz val="12"/>
        <color theme="1"/>
        <rFont val="Times New Roman"/>
        <family val="1"/>
        <charset val="186"/>
      </rPr>
      <t xml:space="preserve">/mēn. * 12. mēn. = 14,52 </t>
    </r>
    <r>
      <rPr>
        <i/>
        <sz val="12"/>
        <color theme="1"/>
        <rFont val="Times New Roman"/>
        <family val="1"/>
        <charset val="186"/>
      </rPr>
      <t>euro</t>
    </r>
    <r>
      <rPr>
        <sz val="12"/>
        <color theme="1"/>
        <rFont val="Times New Roman"/>
        <family val="1"/>
        <charset val="186"/>
      </rPr>
      <t xml:space="preserve"> * 0.794 (iznomātās platības koeficients) = 11,53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</si>
  <si>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6 min, (15,03 </t>
    </r>
    <r>
      <rPr>
        <i/>
        <sz val="12"/>
        <color theme="1"/>
        <rFont val="Times New Roman"/>
        <family val="1"/>
        <charset val="186"/>
      </rPr>
      <t>euro</t>
    </r>
    <r>
      <rPr>
        <sz val="12"/>
        <color theme="1"/>
        <rFont val="Times New Roman"/>
        <family val="1"/>
        <charset val="186"/>
      </rPr>
      <t xml:space="preserve"> * 0.1 h) = 1,50 </t>
    </r>
    <r>
      <rPr>
        <i/>
        <sz val="12"/>
        <color theme="1"/>
        <rFont val="Times New Roman"/>
        <family val="1"/>
        <charset val="186"/>
      </rPr>
      <t>euro</t>
    </r>
    <r>
      <rPr>
        <sz val="12"/>
        <color theme="1"/>
        <rFont val="Times New Roman"/>
        <family val="1"/>
        <charset val="186"/>
      </rPr>
      <t xml:space="preserve">/mēn. * 12. mēn. = 18,00 </t>
    </r>
    <r>
      <rPr>
        <i/>
        <sz val="12"/>
        <color theme="1"/>
        <rFont val="Times New Roman"/>
        <family val="1"/>
        <charset val="186"/>
      </rPr>
      <t>euro</t>
    </r>
    <r>
      <rPr>
        <sz val="12"/>
        <color theme="1"/>
        <rFont val="Times New Roman"/>
        <family val="1"/>
        <charset val="186"/>
      </rPr>
      <t xml:space="preserve"> * 0.794 (iznomātās platības koeficients) = 14,29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</si>
  <si>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6 min, (7,58 </t>
    </r>
    <r>
      <rPr>
        <i/>
        <sz val="12"/>
        <color theme="1"/>
        <rFont val="Times New Roman"/>
        <family val="1"/>
        <charset val="186"/>
      </rPr>
      <t>euro</t>
    </r>
    <r>
      <rPr>
        <sz val="12"/>
        <color theme="1"/>
        <rFont val="Times New Roman"/>
        <family val="1"/>
        <charset val="186"/>
      </rPr>
      <t xml:space="preserve"> * 0.1 h) = 0,76 </t>
    </r>
    <r>
      <rPr>
        <i/>
        <sz val="12"/>
        <color theme="1"/>
        <rFont val="Times New Roman"/>
        <family val="1"/>
        <charset val="186"/>
      </rPr>
      <t>euro</t>
    </r>
    <r>
      <rPr>
        <sz val="12"/>
        <color theme="1"/>
        <rFont val="Times New Roman"/>
        <family val="1"/>
        <charset val="186"/>
      </rPr>
      <t xml:space="preserve">/mēn. * 12. mēn. = 9,12 </t>
    </r>
    <r>
      <rPr>
        <i/>
        <sz val="12"/>
        <color theme="1"/>
        <rFont val="Times New Roman"/>
        <family val="1"/>
        <charset val="186"/>
      </rPr>
      <t>euro</t>
    </r>
    <r>
      <rPr>
        <sz val="12"/>
        <color theme="1"/>
        <rFont val="Times New Roman"/>
        <family val="1"/>
        <charset val="186"/>
      </rPr>
      <t xml:space="preserve"> * 0.794 (iznomātās platības koeficients) = 7,24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</si>
  <si>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6 min, (12,66 </t>
    </r>
    <r>
      <rPr>
        <i/>
        <sz val="12"/>
        <color theme="1"/>
        <rFont val="Times New Roman"/>
        <family val="1"/>
        <charset val="186"/>
      </rPr>
      <t>euro</t>
    </r>
    <r>
      <rPr>
        <sz val="12"/>
        <color theme="1"/>
        <rFont val="Times New Roman"/>
        <family val="1"/>
        <charset val="186"/>
      </rPr>
      <t xml:space="preserve"> * 0.1 h) = 1,27 </t>
    </r>
    <r>
      <rPr>
        <i/>
        <sz val="12"/>
        <color theme="1"/>
        <rFont val="Times New Roman"/>
        <family val="1"/>
        <charset val="186"/>
      </rPr>
      <t>euro</t>
    </r>
    <r>
      <rPr>
        <sz val="12"/>
        <color theme="1"/>
        <rFont val="Times New Roman"/>
        <family val="1"/>
        <charset val="186"/>
      </rPr>
      <t xml:space="preserve">/mēn. * 12. mēn. = 15,24 </t>
    </r>
    <r>
      <rPr>
        <i/>
        <sz val="12"/>
        <color theme="1"/>
        <rFont val="Times New Roman"/>
        <family val="1"/>
        <charset val="186"/>
      </rPr>
      <t>euro</t>
    </r>
    <r>
      <rPr>
        <sz val="12"/>
        <color theme="1"/>
        <rFont val="Times New Roman"/>
        <family val="1"/>
        <charset val="186"/>
      </rPr>
      <t xml:space="preserve"> * 0.794 (iznomātās platības koeficients) = 12,10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</si>
  <si>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166.92 (vid. d. stundu sk. mēnesī). Vid. mēn. noslogojums 44 minūtes, (11,47 </t>
    </r>
    <r>
      <rPr>
        <i/>
        <sz val="12"/>
        <color theme="1"/>
        <rFont val="Times New Roman"/>
        <family val="1"/>
        <charset val="186"/>
      </rPr>
      <t>euro</t>
    </r>
    <r>
      <rPr>
        <sz val="12"/>
        <color theme="1"/>
        <rFont val="Times New Roman"/>
        <family val="1"/>
        <charset val="186"/>
      </rPr>
      <t xml:space="preserve"> * 0.73 h) = 8,37 </t>
    </r>
    <r>
      <rPr>
        <i/>
        <sz val="12"/>
        <color theme="1"/>
        <rFont val="Times New Roman"/>
        <family val="1"/>
        <charset val="186"/>
      </rPr>
      <t>euro</t>
    </r>
    <r>
      <rPr>
        <sz val="12"/>
        <color theme="1"/>
        <rFont val="Times New Roman"/>
        <family val="1"/>
        <charset val="186"/>
      </rPr>
      <t xml:space="preserve">/mēn. * 12. mēn. = 100,44 </t>
    </r>
    <r>
      <rPr>
        <i/>
        <sz val="12"/>
        <color theme="1"/>
        <rFont val="Times New Roman"/>
        <family val="1"/>
        <charset val="186"/>
      </rPr>
      <t>euro</t>
    </r>
    <r>
      <rPr>
        <sz val="12"/>
        <color theme="1"/>
        <rFont val="Times New Roman"/>
        <family val="1"/>
        <charset val="186"/>
      </rPr>
      <t xml:space="preserve"> * 0.794 (iznomātās platības koeficients) = 79,75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</si>
  <si>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23 min., (24,34 </t>
    </r>
    <r>
      <rPr>
        <i/>
        <sz val="12"/>
        <color theme="1"/>
        <rFont val="Times New Roman"/>
        <family val="1"/>
        <charset val="186"/>
      </rPr>
      <t>euro</t>
    </r>
    <r>
      <rPr>
        <sz val="12"/>
        <color theme="1"/>
        <rFont val="Times New Roman"/>
        <family val="1"/>
        <charset val="186"/>
      </rPr>
      <t xml:space="preserve"> * 0.38 h) = 9,25 </t>
    </r>
    <r>
      <rPr>
        <i/>
        <sz val="12"/>
        <color theme="1"/>
        <rFont val="Times New Roman"/>
        <family val="1"/>
        <charset val="186"/>
      </rPr>
      <t>euro</t>
    </r>
    <r>
      <rPr>
        <sz val="12"/>
        <color theme="1"/>
        <rFont val="Times New Roman"/>
        <family val="1"/>
        <charset val="186"/>
      </rPr>
      <t xml:space="preserve">/mēn. * 12. mēn. = 111,00 </t>
    </r>
    <r>
      <rPr>
        <i/>
        <sz val="12"/>
        <color theme="1"/>
        <rFont val="Times New Roman"/>
        <family val="1"/>
        <charset val="186"/>
      </rPr>
      <t>euro</t>
    </r>
    <r>
      <rPr>
        <sz val="12"/>
        <color theme="1"/>
        <rFont val="Times New Roman"/>
        <family val="1"/>
        <charset val="186"/>
      </rPr>
      <t xml:space="preserve"> * 0.794 (iznomātās platības koeficients) = 88,13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</si>
  <si>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5 min., (26,96 </t>
    </r>
    <r>
      <rPr>
        <i/>
        <sz val="12"/>
        <color theme="1"/>
        <rFont val="Times New Roman"/>
        <family val="1"/>
        <charset val="186"/>
      </rPr>
      <t>euro</t>
    </r>
    <r>
      <rPr>
        <sz val="12"/>
        <color theme="1"/>
        <rFont val="Times New Roman"/>
        <family val="1"/>
        <charset val="186"/>
      </rPr>
      <t xml:space="preserve"> * 0.08 h) = 2,16 </t>
    </r>
    <r>
      <rPr>
        <i/>
        <sz val="12"/>
        <color theme="1"/>
        <rFont val="Times New Roman"/>
        <family val="1"/>
        <charset val="186"/>
      </rPr>
      <t>euro</t>
    </r>
    <r>
      <rPr>
        <sz val="12"/>
        <color theme="1"/>
        <rFont val="Times New Roman"/>
        <family val="1"/>
        <charset val="186"/>
      </rPr>
      <t xml:space="preserve">/mēn. * 12. mēn. = 31,92 </t>
    </r>
    <r>
      <rPr>
        <i/>
        <sz val="12"/>
        <color theme="1"/>
        <rFont val="Times New Roman"/>
        <family val="1"/>
        <charset val="186"/>
      </rPr>
      <t>euro</t>
    </r>
    <r>
      <rPr>
        <sz val="12"/>
        <color theme="1"/>
        <rFont val="Times New Roman"/>
        <family val="1"/>
        <charset val="186"/>
      </rPr>
      <t xml:space="preserve"> * 0.794 (iznomātās platības koeficients) = 20,58 </t>
    </r>
    <r>
      <rPr>
        <i/>
        <sz val="12"/>
        <color theme="1"/>
        <rFont val="Times New Roman"/>
        <family val="1"/>
        <charset val="186"/>
      </rPr>
      <t>euro</t>
    </r>
  </si>
  <si>
    <r>
      <t xml:space="preserve">Darba devēja valsts sociālās apdrošināšanas obligātās iemaksas (1 661,21 </t>
    </r>
    <r>
      <rPr>
        <i/>
        <sz val="12"/>
        <color theme="1"/>
        <rFont val="Times New Roman"/>
        <family val="1"/>
        <charset val="186"/>
      </rPr>
      <t>euro</t>
    </r>
    <r>
      <rPr>
        <sz val="12"/>
        <color theme="1"/>
        <rFont val="Times New Roman"/>
        <family val="1"/>
        <charset val="186"/>
      </rPr>
      <t xml:space="preserve"> * 23,59 %) = 391,88 </t>
    </r>
    <r>
      <rPr>
        <i/>
        <sz val="12"/>
        <color theme="1"/>
        <rFont val="Times New Roman"/>
        <family val="1"/>
        <charset val="186"/>
      </rPr>
      <t xml:space="preserve">euro.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</si>
  <si>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 xml:space="preserve">/mēn. * 12 mēn. = 5 834,40 </t>
    </r>
    <r>
      <rPr>
        <i/>
        <sz val="12"/>
        <color theme="1"/>
        <rFont val="Times New Roman"/>
        <family val="1"/>
        <charset val="186"/>
      </rPr>
      <t>euro</t>
    </r>
    <r>
      <rPr>
        <sz val="12"/>
        <color theme="1"/>
        <rFont val="Times New Roman"/>
        <family val="1"/>
        <charset val="186"/>
      </rPr>
      <t xml:space="preserve"> * 0.051 (iznomātās platības koeficients) = 297,55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</si>
  <si>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0.051 (iznomātās platības koeficients) = 316,31 </t>
    </r>
    <r>
      <rPr>
        <i/>
        <sz val="12"/>
        <color theme="1"/>
        <rFont val="Times New Roman"/>
        <family val="1"/>
        <charset val="186"/>
      </rPr>
      <t>euro</t>
    </r>
    <r>
      <rPr>
        <sz val="12"/>
        <color theme="1"/>
        <rFont val="Times New Roman"/>
        <family val="1"/>
        <charset val="186"/>
      </rPr>
      <t xml:space="preserve">. </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</si>
  <si>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0.051 (iznomātās platības koeficients) = 46,38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</si>
  <si>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0.051 (iznomātās platības koeficients) = 8,05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</si>
  <si>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1.24 stundas, (15,03 </t>
    </r>
    <r>
      <rPr>
        <i/>
        <sz val="12"/>
        <color theme="1"/>
        <rFont val="Times New Roman"/>
        <family val="1"/>
        <charset val="186"/>
      </rPr>
      <t>euro</t>
    </r>
    <r>
      <rPr>
        <sz val="12"/>
        <color theme="1"/>
        <rFont val="Times New Roman"/>
        <family val="1"/>
        <charset val="186"/>
      </rPr>
      <t xml:space="preserve"> * 1.24 h) = 18,64 </t>
    </r>
    <r>
      <rPr>
        <i/>
        <sz val="12"/>
        <color theme="1"/>
        <rFont val="Times New Roman"/>
        <family val="1"/>
        <charset val="186"/>
      </rPr>
      <t>euro</t>
    </r>
    <r>
      <rPr>
        <sz val="12"/>
        <color theme="1"/>
        <rFont val="Times New Roman"/>
        <family val="1"/>
        <charset val="186"/>
      </rPr>
      <t xml:space="preserve">/mēn. * 12. mēn. = 223,68 </t>
    </r>
    <r>
      <rPr>
        <i/>
        <sz val="12"/>
        <color theme="1"/>
        <rFont val="Times New Roman"/>
        <family val="1"/>
        <charset val="186"/>
      </rPr>
      <t>euro</t>
    </r>
    <r>
      <rPr>
        <sz val="12"/>
        <color theme="1"/>
        <rFont val="Times New Roman"/>
        <family val="1"/>
        <charset val="186"/>
      </rPr>
      <t xml:space="preserve"> * 0.051 (iznomātās platības koeficients) = 11,41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</si>
  <si>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0.051 (iznomātās platības koeficients) = 8,60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</si>
  <si>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0.051 (iznomātās platības koeficients) = 5,70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</si>
  <si>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0.051 (iznomātās platības koeficients) = 47,28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</si>
  <si>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t>
    </r>
    <r>
      <rPr>
        <i/>
        <sz val="12"/>
        <color theme="1"/>
        <rFont val="Times New Roman"/>
        <family val="1"/>
        <charset val="186"/>
      </rPr>
      <t>euro</t>
    </r>
    <r>
      <rPr>
        <sz val="12"/>
        <color theme="1"/>
        <rFont val="Times New Roman"/>
        <family val="1"/>
        <charset val="186"/>
      </rPr>
      <t xml:space="preserve">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0.051 (iznomātās platības koeficients) = 17,82 </t>
    </r>
    <r>
      <rPr>
        <i/>
        <sz val="12"/>
        <color theme="1"/>
        <rFont val="Times New Roman"/>
        <family val="1"/>
        <charset val="186"/>
      </rPr>
      <t>euro.</t>
    </r>
  </si>
  <si>
    <r>
      <t xml:space="preserve">Izdevumi par apkuri 82 944.32 </t>
    </r>
    <r>
      <rPr>
        <i/>
        <sz val="12"/>
        <color theme="1"/>
        <rFont val="Times New Roman"/>
        <family val="1"/>
        <charset val="186"/>
      </rPr>
      <t>euro</t>
    </r>
    <r>
      <rPr>
        <sz val="12"/>
        <color theme="1"/>
        <rFont val="Times New Roman"/>
        <family val="1"/>
        <charset val="186"/>
      </rPr>
      <t xml:space="preserve"> gadā * 0.051 (iznomātās platības koeficients) = 4 230,16 </t>
    </r>
    <r>
      <rPr>
        <i/>
        <sz val="12"/>
        <color theme="1"/>
        <rFont val="Times New Roman"/>
        <family val="1"/>
        <charset val="186"/>
      </rPr>
      <t>euro</t>
    </r>
    <r>
      <rPr>
        <sz val="12"/>
        <color theme="1"/>
        <rFont val="Times New Roman"/>
        <family val="1"/>
        <charset val="186"/>
      </rPr>
      <t>.</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</si>
  <si>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0.051 (iznomātās platības koeficients) = 214,39 </t>
    </r>
    <r>
      <rPr>
        <i/>
        <sz val="12"/>
        <color theme="1"/>
        <rFont val="Times New Roman"/>
        <family val="1"/>
        <charset val="186"/>
      </rPr>
      <t>euro</t>
    </r>
    <r>
      <rPr>
        <sz val="12"/>
        <color theme="1"/>
        <rFont val="Times New Roman"/>
        <family val="1"/>
        <charset val="186"/>
      </rPr>
      <t>.</t>
    </r>
  </si>
  <si>
    <r>
      <t xml:space="preserve">Izdevumi par elektroenerģiju 7 807,39 </t>
    </r>
    <r>
      <rPr>
        <i/>
        <sz val="12"/>
        <color theme="1"/>
        <rFont val="Times New Roman"/>
        <family val="1"/>
        <charset val="186"/>
      </rPr>
      <t>euro</t>
    </r>
    <r>
      <rPr>
        <sz val="12"/>
        <color theme="1"/>
        <rFont val="Times New Roman"/>
        <family val="1"/>
        <charset val="186"/>
      </rPr>
      <t xml:space="preserve"> gadā * 0.051 (iznomātās platības koeficients) = 398,18 </t>
    </r>
    <r>
      <rPr>
        <i/>
        <sz val="12"/>
        <color theme="1"/>
        <rFont val="Times New Roman"/>
        <family val="1"/>
        <charset val="186"/>
      </rPr>
      <t>euro</t>
    </r>
    <r>
      <rPr>
        <sz val="12"/>
        <color theme="1"/>
        <rFont val="Times New Roman"/>
        <family val="1"/>
        <charset val="186"/>
      </rPr>
      <t>.</t>
    </r>
  </si>
  <si>
    <r>
      <t xml:space="preserve">Izdevumi par atkritumu izvešanu 275,91 </t>
    </r>
    <r>
      <rPr>
        <i/>
        <sz val="12"/>
        <color theme="1"/>
        <rFont val="Times New Roman"/>
        <family val="1"/>
        <charset val="186"/>
      </rPr>
      <t>euro</t>
    </r>
    <r>
      <rPr>
        <sz val="12"/>
        <color theme="1"/>
        <rFont val="Times New Roman"/>
        <family val="1"/>
        <charset val="186"/>
      </rPr>
      <t xml:space="preserve"> gadā * 0.051 (iznomātās platības koeficients) = 14,07 </t>
    </r>
    <r>
      <rPr>
        <i/>
        <sz val="12"/>
        <color theme="1"/>
        <rFont val="Times New Roman"/>
        <family val="1"/>
        <charset val="186"/>
      </rPr>
      <t>euro</t>
    </r>
    <r>
      <rPr>
        <sz val="12"/>
        <color theme="1"/>
        <rFont val="Times New Roman"/>
        <family val="1"/>
        <charset val="186"/>
      </rPr>
      <t>.</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</si>
  <si>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0.051 (iznomātās platības koeficients) = 7,60 </t>
    </r>
    <r>
      <rPr>
        <i/>
        <sz val="12"/>
        <color theme="1"/>
        <rFont val="Times New Roman"/>
        <family val="1"/>
        <charset val="186"/>
      </rPr>
      <t>euro</t>
    </r>
    <r>
      <rPr>
        <sz val="12"/>
        <color theme="1"/>
        <rFont val="Times New Roman"/>
        <family val="1"/>
        <charset val="186"/>
      </rPr>
      <t>.</t>
    </r>
  </si>
  <si>
    <r>
      <t xml:space="preserve">Izdevumi par atļauju izmantot autoru darbus 57,00 </t>
    </r>
    <r>
      <rPr>
        <i/>
        <sz val="12"/>
        <color theme="1"/>
        <rFont val="Times New Roman"/>
        <family val="1"/>
        <charset val="186"/>
      </rPr>
      <t>euro</t>
    </r>
    <r>
      <rPr>
        <sz val="12"/>
        <color theme="1"/>
        <rFont val="Times New Roman"/>
        <family val="1"/>
        <charset val="186"/>
      </rPr>
      <t xml:space="preserve"> gadā * 0.051  (iznomātās platības koeficients) = 2,91 </t>
    </r>
    <r>
      <rPr>
        <i/>
        <sz val="12"/>
        <color theme="1"/>
        <rFont val="Times New Roman"/>
        <family val="1"/>
        <charset val="186"/>
      </rPr>
      <t>euro</t>
    </r>
    <r>
      <rPr>
        <sz val="12"/>
        <color theme="1"/>
        <rFont val="Times New Roman"/>
        <family val="1"/>
        <charset val="186"/>
      </rPr>
      <t>.</t>
    </r>
  </si>
  <si>
    <r>
      <t xml:space="preserve">Kārtējā remonta izdevumi 1 875,92 </t>
    </r>
    <r>
      <rPr>
        <i/>
        <sz val="12"/>
        <color theme="1"/>
        <rFont val="Times New Roman"/>
        <family val="1"/>
        <charset val="186"/>
      </rPr>
      <t>euro</t>
    </r>
    <r>
      <rPr>
        <sz val="12"/>
        <color theme="1"/>
        <rFont val="Times New Roman"/>
        <family val="1"/>
        <charset val="186"/>
      </rPr>
      <t xml:space="preserve"> gadā * 0.051 (iznomātās platības koeficients) = 95,67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</si>
  <si>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 956,50 </t>
    </r>
    <r>
      <rPr>
        <i/>
        <sz val="12"/>
        <color theme="1"/>
        <rFont val="Times New Roman"/>
        <family val="1"/>
        <charset val="186"/>
      </rPr>
      <t>euro</t>
    </r>
    <r>
      <rPr>
        <sz val="12"/>
        <color theme="1"/>
        <rFont val="Times New Roman"/>
        <family val="1"/>
        <charset val="186"/>
      </rPr>
      <t xml:space="preserve"> gadā * 0.051 (iznomātās platības koeficients) = 48,78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</si>
  <si>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0.051 (iznomātās platības koeficients) = 172,31 </t>
    </r>
    <r>
      <rPr>
        <i/>
        <sz val="12"/>
        <color theme="1"/>
        <rFont val="Times New Roman"/>
        <family val="1"/>
        <charset val="186"/>
      </rPr>
      <t>euro</t>
    </r>
    <r>
      <rPr>
        <sz val="12"/>
        <color theme="1"/>
        <rFont val="Times New Roman"/>
        <family val="1"/>
        <charset val="186"/>
      </rPr>
      <t>.</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</si>
  <si>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0.051 (iznomātās platības koeficients) = 189,00 </t>
    </r>
    <r>
      <rPr>
        <i/>
        <sz val="12"/>
        <color theme="1"/>
        <rFont val="Times New Roman"/>
        <family val="1"/>
        <charset val="186"/>
      </rPr>
      <t>euro</t>
    </r>
    <r>
      <rPr>
        <sz val="12"/>
        <color theme="1"/>
        <rFont val="Times New Roman"/>
        <family val="1"/>
        <charset val="186"/>
      </rPr>
      <t>.</t>
    </r>
  </si>
  <si>
    <r>
      <t xml:space="preserve">Inventāra iegādes izdevumi 856,97 </t>
    </r>
    <r>
      <rPr>
        <i/>
        <sz val="12"/>
        <color theme="1"/>
        <rFont val="Times New Roman"/>
        <family val="1"/>
        <charset val="186"/>
      </rPr>
      <t>euro</t>
    </r>
    <r>
      <rPr>
        <sz val="12"/>
        <color theme="1"/>
        <rFont val="Times New Roman"/>
        <family val="1"/>
        <charset val="186"/>
      </rPr>
      <t xml:space="preserve"> gadā * 0.051 (iznomātās platības koeficients) = 43,71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</si>
  <si>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1 711,80 </t>
    </r>
    <r>
      <rPr>
        <i/>
        <sz val="12"/>
        <color theme="1"/>
        <rFont val="Times New Roman"/>
        <family val="1"/>
        <charset val="186"/>
      </rPr>
      <t>euro</t>
    </r>
    <r>
      <rPr>
        <sz val="12"/>
        <color theme="1"/>
        <rFont val="Times New Roman"/>
        <family val="1"/>
        <charset val="186"/>
      </rPr>
      <t xml:space="preserve"> gadā * 0.051 (iznomātās platības koeficients) = 87,30 </t>
    </r>
    <r>
      <rPr>
        <i/>
        <sz val="12"/>
        <color theme="1"/>
        <rFont val="Times New Roman"/>
        <family val="1"/>
        <charset val="186"/>
      </rPr>
      <t>euro.</t>
    </r>
  </si>
  <si>
    <r>
      <t xml:space="preserve">Pamatlīdzekļu amortizācija 251,64 </t>
    </r>
    <r>
      <rPr>
        <i/>
        <sz val="12"/>
        <color theme="1"/>
        <rFont val="Times New Roman"/>
        <family val="1"/>
        <charset val="186"/>
      </rPr>
      <t>euro</t>
    </r>
    <r>
      <rPr>
        <sz val="12"/>
        <color theme="1"/>
        <rFont val="Times New Roman"/>
        <family val="1"/>
        <charset val="186"/>
      </rPr>
      <t xml:space="preserve"> gadā * 0.051 (iznomātās platības koeficients) = 12,83 </t>
    </r>
    <r>
      <rPr>
        <i/>
        <sz val="12"/>
        <color theme="1"/>
        <rFont val="Times New Roman"/>
        <family val="1"/>
        <charset val="186"/>
      </rPr>
      <t>euro.</t>
    </r>
  </si>
  <si>
    <r>
      <t xml:space="preserve">Dabas resursu nodoklis 1 920,89 </t>
    </r>
    <r>
      <rPr>
        <i/>
        <sz val="12"/>
        <color theme="1"/>
        <rFont val="Times New Roman"/>
        <family val="1"/>
        <charset val="186"/>
      </rPr>
      <t>euro</t>
    </r>
    <r>
      <rPr>
        <sz val="12"/>
        <color theme="1"/>
        <rFont val="Times New Roman"/>
        <family val="1"/>
        <charset val="186"/>
      </rPr>
      <t xml:space="preserve"> gadā * 0.051 (iznomātās platības koeficients) = 97,97 </t>
    </r>
    <r>
      <rPr>
        <i/>
        <sz val="12"/>
        <color theme="1"/>
        <rFont val="Times New Roman"/>
        <family val="1"/>
        <charset val="186"/>
      </rPr>
      <t>euro</t>
    </r>
    <r>
      <rPr>
        <sz val="12"/>
        <color theme="1"/>
        <rFont val="Times New Roman"/>
        <family val="1"/>
        <charset val="186"/>
      </rPr>
      <t>.</t>
    </r>
  </si>
  <si>
    <r>
      <t xml:space="preserve">Nekustamā īpašuma nodoklis 8 084,39 </t>
    </r>
    <r>
      <rPr>
        <i/>
        <sz val="12"/>
        <color theme="1"/>
        <rFont val="Times New Roman"/>
        <family val="1"/>
        <charset val="186"/>
      </rPr>
      <t>euro</t>
    </r>
    <r>
      <rPr>
        <sz val="12"/>
        <color theme="1"/>
        <rFont val="Times New Roman"/>
        <family val="1"/>
        <charset val="186"/>
      </rPr>
      <t xml:space="preserve"> gadā * 0.051 (iznomātās platības koeficients) = 412,30 </t>
    </r>
    <r>
      <rPr>
        <i/>
        <sz val="12"/>
        <color theme="1"/>
        <rFont val="Times New Roman"/>
        <family val="1"/>
        <charset val="186"/>
      </rPr>
      <t>euro</t>
    </r>
    <r>
      <rPr>
        <sz val="12"/>
        <color theme="1"/>
        <rFont val="Times New Roman"/>
        <family val="1"/>
        <charset val="186"/>
      </rPr>
      <t>.</t>
    </r>
  </si>
  <si>
    <r>
      <t xml:space="preserve">Pamatlīdzekļu amortizācija 1 134,21 </t>
    </r>
    <r>
      <rPr>
        <i/>
        <sz val="12"/>
        <color theme="1"/>
        <rFont val="Times New Roman"/>
        <family val="1"/>
        <charset val="186"/>
      </rPr>
      <t>euro</t>
    </r>
    <r>
      <rPr>
        <sz val="12"/>
        <color theme="1"/>
        <rFont val="Times New Roman"/>
        <family val="1"/>
        <charset val="186"/>
      </rPr>
      <t xml:space="preserve"> gadā * 0.051 (iznomātās platības koeficients) = 57,84 </t>
    </r>
    <r>
      <rPr>
        <i/>
        <sz val="12"/>
        <color theme="1"/>
        <rFont val="Times New Roman"/>
        <family val="1"/>
        <charset val="186"/>
      </rPr>
      <t>euro</t>
    </r>
  </si>
  <si>
    <r>
      <t xml:space="preserve">Pamatlīdzekļu amortizācija 2 748,15 </t>
    </r>
    <r>
      <rPr>
        <i/>
        <sz val="12"/>
        <color theme="1"/>
        <rFont val="Times New Roman"/>
        <family val="1"/>
        <charset val="186"/>
      </rPr>
      <t>euro</t>
    </r>
    <r>
      <rPr>
        <sz val="12"/>
        <color theme="1"/>
        <rFont val="Times New Roman"/>
        <family val="1"/>
        <charset val="186"/>
      </rPr>
      <t xml:space="preserve"> gadā * 0.051 (iznomātās platības koeficients) = 140,16 </t>
    </r>
    <r>
      <rPr>
        <i/>
        <sz val="12"/>
        <color theme="1"/>
        <rFont val="Times New Roman"/>
        <family val="1"/>
        <charset val="186"/>
      </rPr>
      <t>euro</t>
    </r>
  </si>
  <si>
    <r>
      <t>Maksas pakalpojuma izcenojums diennaktī (</t>
    </r>
    <r>
      <rPr>
        <b/>
        <i/>
        <sz val="12"/>
        <color rgb="FF000000"/>
        <rFont val="Times New Roman"/>
        <family val="1"/>
        <charset val="186"/>
      </rPr>
      <t>euro</t>
    </r>
    <r>
      <rPr>
        <b/>
        <sz val="12"/>
        <color rgb="FF000000"/>
        <rFont val="Times New Roman"/>
        <family val="1"/>
        <charset val="186"/>
      </rPr>
      <t>) (pakalpojuma izmaksas kopā, dalītas ar maksas pakalpojuma vienību skaitu noteiktā laikposmā)</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</si>
  <si>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0.051 (iznomātās platības koeficients) = 60,57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</si>
  <si>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0.051 (iznomātās platības koeficients) = 70,31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</si>
  <si>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(276,87 </t>
    </r>
    <r>
      <rPr>
        <i/>
        <sz val="12"/>
        <color theme="1"/>
        <rFont val="Times New Roman"/>
        <family val="1"/>
        <charset val="186"/>
      </rPr>
      <t>euro</t>
    </r>
    <r>
      <rPr>
        <sz val="12"/>
        <color theme="1"/>
        <rFont val="Times New Roman"/>
        <family val="1"/>
        <charset val="186"/>
      </rPr>
      <t xml:space="preserve"> * 23,59 %) = 28,24 </t>
    </r>
    <r>
      <rPr>
        <i/>
        <sz val="12"/>
        <color theme="1"/>
        <rFont val="Times New Roman"/>
        <family val="1"/>
        <charset val="186"/>
      </rPr>
      <t xml:space="preserve">euro. </t>
    </r>
  </si>
  <si>
    <r>
      <t xml:space="preserve">Darba devēja valsts sociālās apdrošināšanas obligātās iemaksas 28,24 </t>
    </r>
    <r>
      <rPr>
        <i/>
        <sz val="12"/>
        <color theme="1"/>
        <rFont val="Times New Roman"/>
        <family val="1"/>
        <charset val="186"/>
      </rPr>
      <t>euro</t>
    </r>
    <r>
      <rPr>
        <sz val="12"/>
        <color theme="1"/>
        <rFont val="Times New Roman"/>
        <family val="1"/>
        <charset val="186"/>
      </rPr>
      <t xml:space="preserve">. Veselības apdrošināšana 12,59 </t>
    </r>
    <r>
      <rPr>
        <i/>
        <sz val="12"/>
        <color theme="1"/>
        <rFont val="Times New Roman"/>
        <family val="1"/>
        <charset val="186"/>
      </rPr>
      <t>euro</t>
    </r>
    <r>
      <rPr>
        <sz val="12"/>
        <color theme="1"/>
        <rFont val="Times New Roman"/>
        <family val="1"/>
        <charset val="186"/>
      </rPr>
      <t xml:space="preserve">. Kopā 40,83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</si>
  <si>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5 834,40 </t>
    </r>
    <r>
      <rPr>
        <i/>
        <sz val="12"/>
        <color theme="1"/>
        <rFont val="Times New Roman"/>
        <family val="1"/>
        <charset val="186"/>
      </rPr>
      <t>euro</t>
    </r>
    <r>
      <rPr>
        <sz val="12"/>
        <color theme="1"/>
        <rFont val="Times New Roman"/>
        <family val="1"/>
        <charset val="186"/>
      </rPr>
      <t xml:space="preserve"> * 0.0813 (iznomātās platības koeficients) = 474,34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</si>
  <si>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7 361,04 </t>
    </r>
    <r>
      <rPr>
        <i/>
        <sz val="12"/>
        <color theme="1"/>
        <rFont val="Times New Roman"/>
        <family val="1"/>
        <charset val="186"/>
      </rPr>
      <t>euro</t>
    </r>
    <r>
      <rPr>
        <sz val="12"/>
        <color theme="1"/>
        <rFont val="Times New Roman"/>
        <family val="1"/>
        <charset val="186"/>
      </rPr>
      <t xml:space="preserve"> * 0.0813 (iznomātās platības koeficients) = 598,45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</si>
  <si>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t>
    </r>
    <r>
      <rPr>
        <sz val="12"/>
        <color theme="1"/>
        <rFont val="Times New Roman"/>
        <family val="1"/>
        <charset val="186"/>
      </rPr>
      <t xml:space="preserve">/mēn. * 12 mēn. = 6 893,76 </t>
    </r>
    <r>
      <rPr>
        <i/>
        <sz val="12"/>
        <color theme="1"/>
        <rFont val="Times New Roman"/>
        <family val="1"/>
        <charset val="186"/>
      </rPr>
      <t>euro</t>
    </r>
    <r>
      <rPr>
        <sz val="12"/>
        <color theme="1"/>
        <rFont val="Times New Roman"/>
        <family val="1"/>
        <charset val="186"/>
      </rPr>
      <t xml:space="preserve"> * 0.0813 (iznomātās platības koeficients) = 560,46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</si>
  <si>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0.0813 (iznomātās platības koeficients) = 504,24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</si>
  <si>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0.009 (iznomātās platības koeficients) = 55,82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</si>
  <si>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t>
    </r>
    <r>
      <rPr>
        <sz val="12"/>
        <color theme="1"/>
        <rFont val="Times New Roman"/>
        <family val="1"/>
        <charset val="186"/>
      </rPr>
      <t xml:space="preserve">/mēn. * 12 mēn. = 6 893,76 </t>
    </r>
    <r>
      <rPr>
        <i/>
        <sz val="12"/>
        <color theme="1"/>
        <rFont val="Times New Roman"/>
        <family val="1"/>
        <charset val="186"/>
      </rPr>
      <t>euro</t>
    </r>
    <r>
      <rPr>
        <sz val="12"/>
        <color theme="1"/>
        <rFont val="Times New Roman"/>
        <family val="1"/>
        <charset val="186"/>
      </rPr>
      <t xml:space="preserve"> * 0.009 (iznomātās platības koeficients) = 62,04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</si>
  <si>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t>
    </r>
    <r>
      <rPr>
        <sz val="12"/>
        <color theme="1"/>
        <rFont val="Times New Roman"/>
        <family val="1"/>
        <charset val="186"/>
      </rPr>
      <t xml:space="preserve">/mēn. * 12 mēn. = 7 361,04 </t>
    </r>
    <r>
      <rPr>
        <i/>
        <sz val="12"/>
        <color theme="1"/>
        <rFont val="Times New Roman"/>
        <family val="1"/>
        <charset val="186"/>
      </rPr>
      <t>euro</t>
    </r>
    <r>
      <rPr>
        <sz val="12"/>
        <color theme="1"/>
        <rFont val="Times New Roman"/>
        <family val="1"/>
        <charset val="186"/>
      </rPr>
      <t xml:space="preserve"> * 0.009 (iznomātās platības koeficients) = 66,25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</si>
  <si>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 xml:space="preserve">/mēn. * 12 mēn. = 5 834,40 </t>
    </r>
    <r>
      <rPr>
        <i/>
        <sz val="12"/>
        <color theme="1"/>
        <rFont val="Times New Roman"/>
        <family val="1"/>
        <charset val="186"/>
      </rPr>
      <t>euro</t>
    </r>
    <r>
      <rPr>
        <sz val="12"/>
        <color theme="1"/>
        <rFont val="Times New Roman"/>
        <family val="1"/>
        <charset val="186"/>
      </rPr>
      <t xml:space="preserve"> * 0.009 (iznomātās platības koeficients) = 52,51 </t>
    </r>
    <r>
      <rPr>
        <i/>
        <sz val="12"/>
        <color theme="1"/>
        <rFont val="Times New Roman"/>
        <family val="1"/>
        <charset val="186"/>
      </rPr>
      <t>euro</t>
    </r>
    <r>
      <rPr>
        <sz val="12"/>
        <color theme="1"/>
        <rFont val="Times New Roman"/>
        <family val="1"/>
        <charset val="186"/>
      </rPr>
      <t xml:space="preserve">. </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</si>
  <si>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t>
    </r>
    <r>
      <rPr>
        <i/>
        <sz val="12"/>
        <color theme="1"/>
        <rFont val="Times New Roman"/>
        <family val="1"/>
        <charset val="186"/>
      </rPr>
      <t>euro</t>
    </r>
    <r>
      <rPr>
        <sz val="12"/>
        <color theme="1"/>
        <rFont val="Times New Roman"/>
        <family val="1"/>
        <charset val="186"/>
      </rPr>
      <t xml:space="preserve">/mēn. * 12. mēn. = 161,52 </t>
    </r>
    <r>
      <rPr>
        <i/>
        <sz val="12"/>
        <color theme="1"/>
        <rFont val="Times New Roman"/>
        <family val="1"/>
        <charset val="186"/>
      </rPr>
      <t>euro</t>
    </r>
    <r>
      <rPr>
        <sz val="12"/>
        <color theme="1"/>
        <rFont val="Times New Roman"/>
        <family val="1"/>
        <charset val="186"/>
      </rPr>
      <t xml:space="preserve"> * 0.051 (iznomātās platības koeficients) = 8,24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</si>
  <si>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284,36 </t>
    </r>
    <r>
      <rPr>
        <i/>
        <sz val="12"/>
        <color theme="1"/>
        <rFont val="Times New Roman"/>
        <family val="1"/>
        <charset val="186"/>
      </rPr>
      <t>euro</t>
    </r>
    <r>
      <rPr>
        <sz val="12"/>
        <color theme="1"/>
        <rFont val="Times New Roman"/>
        <family val="1"/>
        <charset val="186"/>
      </rPr>
      <t xml:space="preserve"> * 23,59 % = 67,08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</si>
  <si>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 xml:space="preserve">/mēn. * 12 mēn. = 5 834,40 </t>
    </r>
    <r>
      <rPr>
        <i/>
        <sz val="12"/>
        <color theme="1"/>
        <rFont val="Times New Roman"/>
        <family val="1"/>
        <charset val="186"/>
      </rPr>
      <t>euro</t>
    </r>
    <r>
      <rPr>
        <sz val="12"/>
        <color theme="1"/>
        <rFont val="Times New Roman"/>
        <family val="1"/>
        <charset val="186"/>
      </rPr>
      <t xml:space="preserve"> * 0.0085 (iznomātās platības koeficients) = 49,59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</si>
  <si>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0.0085 (iznomātās platības koeficients) = 52,72 </t>
    </r>
    <r>
      <rPr>
        <i/>
        <sz val="12"/>
        <color theme="1"/>
        <rFont val="Times New Roman"/>
        <family val="1"/>
        <charset val="186"/>
      </rPr>
      <t>euro</t>
    </r>
    <r>
      <rPr>
        <sz val="12"/>
        <color theme="1"/>
        <rFont val="Times New Roman"/>
        <family val="1"/>
        <charset val="186"/>
      </rPr>
      <t xml:space="preserve">. </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</si>
  <si>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0.0085 (iznomātās platības koeficients) = 7,88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</si>
  <si>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0.0085 (iznomātās platības koeficients) = 7,73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</si>
  <si>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0.0085 (iznomātās platības koeficients) = 1,34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</si>
  <si>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1.24 stundas, (15,03 </t>
    </r>
    <r>
      <rPr>
        <i/>
        <sz val="12"/>
        <color theme="1"/>
        <rFont val="Times New Roman"/>
        <family val="1"/>
        <charset val="186"/>
      </rPr>
      <t>euro</t>
    </r>
    <r>
      <rPr>
        <sz val="12"/>
        <color theme="1"/>
        <rFont val="Times New Roman"/>
        <family val="1"/>
        <charset val="186"/>
      </rPr>
      <t xml:space="preserve"> * 1.24 h) = 18,64 </t>
    </r>
    <r>
      <rPr>
        <i/>
        <sz val="12"/>
        <color theme="1"/>
        <rFont val="Times New Roman"/>
        <family val="1"/>
        <charset val="186"/>
      </rPr>
      <t>euro</t>
    </r>
    <r>
      <rPr>
        <sz val="12"/>
        <color theme="1"/>
        <rFont val="Times New Roman"/>
        <family val="1"/>
        <charset val="186"/>
      </rPr>
      <t xml:space="preserve">/mēn. * 12. mēn. = 223,68 </t>
    </r>
    <r>
      <rPr>
        <i/>
        <sz val="12"/>
        <color theme="1"/>
        <rFont val="Times New Roman"/>
        <family val="1"/>
        <charset val="186"/>
      </rPr>
      <t>euro</t>
    </r>
    <r>
      <rPr>
        <sz val="12"/>
        <color theme="1"/>
        <rFont val="Times New Roman"/>
        <family val="1"/>
        <charset val="186"/>
      </rPr>
      <t xml:space="preserve"> * 0.0085 (iznomātās platības koeficients) = 1,90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</si>
  <si>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t>
    </r>
    <r>
      <rPr>
        <i/>
        <sz val="12"/>
        <color theme="1"/>
        <rFont val="Times New Roman"/>
        <family val="1"/>
        <charset val="186"/>
      </rPr>
      <t>euro</t>
    </r>
    <r>
      <rPr>
        <sz val="12"/>
        <color theme="1"/>
        <rFont val="Times New Roman"/>
        <family val="1"/>
        <charset val="186"/>
      </rPr>
      <t xml:space="preserve">/mēn. * 12. mēn. = 161,52 </t>
    </r>
    <r>
      <rPr>
        <i/>
        <sz val="12"/>
        <color theme="1"/>
        <rFont val="Times New Roman"/>
        <family val="1"/>
        <charset val="186"/>
      </rPr>
      <t>euro</t>
    </r>
    <r>
      <rPr>
        <sz val="12"/>
        <color theme="1"/>
        <rFont val="Times New Roman"/>
        <family val="1"/>
        <charset val="186"/>
      </rPr>
      <t xml:space="preserve"> * 0.0085 (iznomātās platības koeficients) = 1,37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</si>
  <si>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0.0085 (iznomātās platības koeficients) = 1,43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</si>
  <si>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0.0085 (iznomātās platības koeficients) = 0,95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</si>
  <si>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t>
    </r>
    <r>
      <rPr>
        <i/>
        <sz val="12"/>
        <color theme="1"/>
        <rFont val="Times New Roman"/>
        <family val="1"/>
        <charset val="186"/>
      </rPr>
      <t>euro</t>
    </r>
    <r>
      <rPr>
        <sz val="12"/>
        <color theme="1"/>
        <rFont val="Times New Roman"/>
        <family val="1"/>
        <charset val="186"/>
      </rPr>
      <t xml:space="preserve">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0.0085 (iznomātās platības koeficients) = 2,97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</si>
  <si>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0.0085 (iznomātās platības koeficients) = 11,72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</si>
  <si>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0.0085 (iznomātās platības koeficients) = 10,09 </t>
    </r>
    <r>
      <rPr>
        <i/>
        <sz val="12"/>
        <color theme="1"/>
        <rFont val="Times New Roman"/>
        <family val="1"/>
        <charset val="186"/>
      </rPr>
      <t>euro</t>
    </r>
    <r>
      <rPr>
        <sz val="12"/>
        <color theme="1"/>
        <rFont val="Times New Roman"/>
        <family val="1"/>
        <charset val="186"/>
      </rPr>
      <t>.</t>
    </r>
  </si>
  <si>
    <r>
      <t xml:space="preserve">Izdevumi par elektroenerģiju 7 807,39 </t>
    </r>
    <r>
      <rPr>
        <i/>
        <sz val="12"/>
        <color theme="1"/>
        <rFont val="Times New Roman"/>
        <family val="1"/>
        <charset val="186"/>
      </rPr>
      <t>euro</t>
    </r>
    <r>
      <rPr>
        <sz val="12"/>
        <color theme="1"/>
        <rFont val="Times New Roman"/>
        <family val="1"/>
        <charset val="186"/>
      </rPr>
      <t xml:space="preserve"> gadā * 0.0085 (iznomātās platības koeficients) = 66,36 </t>
    </r>
    <r>
      <rPr>
        <i/>
        <sz val="12"/>
        <color theme="1"/>
        <rFont val="Times New Roman"/>
        <family val="1"/>
        <charset val="186"/>
      </rPr>
      <t>euro</t>
    </r>
    <r>
      <rPr>
        <sz val="12"/>
        <color theme="1"/>
        <rFont val="Times New Roman"/>
        <family val="1"/>
        <charset val="186"/>
      </rPr>
      <t>.</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</si>
  <si>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0.0085 (iznomātās platības koeficients) = 35,73 </t>
    </r>
    <r>
      <rPr>
        <i/>
        <sz val="12"/>
        <color theme="1"/>
        <rFont val="Times New Roman"/>
        <family val="1"/>
        <charset val="186"/>
      </rPr>
      <t>euro</t>
    </r>
    <r>
      <rPr>
        <sz val="12"/>
        <color theme="1"/>
        <rFont val="Times New Roman"/>
        <family val="1"/>
        <charset val="186"/>
      </rPr>
      <t>.</t>
    </r>
  </si>
  <si>
    <r>
      <t xml:space="preserve">Izdevumi par apkuri 82 944.32 </t>
    </r>
    <r>
      <rPr>
        <i/>
        <sz val="12"/>
        <color theme="1"/>
        <rFont val="Times New Roman"/>
        <family val="1"/>
        <charset val="186"/>
      </rPr>
      <t>euro</t>
    </r>
    <r>
      <rPr>
        <sz val="12"/>
        <color theme="1"/>
        <rFont val="Times New Roman"/>
        <family val="1"/>
        <charset val="186"/>
      </rPr>
      <t xml:space="preserve"> gadā * 0.0085 (iznomātās platības koeficients) = 705,03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</si>
  <si>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47,38 </t>
    </r>
    <r>
      <rPr>
        <i/>
        <sz val="12"/>
        <color theme="1"/>
        <rFont val="Times New Roman"/>
        <family val="1"/>
        <charset val="186"/>
      </rPr>
      <t>euro</t>
    </r>
    <r>
      <rPr>
        <sz val="12"/>
        <color theme="1"/>
        <rFont val="Times New Roman"/>
        <family val="1"/>
        <charset val="186"/>
      </rPr>
      <t xml:space="preserve"> * 23,59 % = 11,18 </t>
    </r>
    <r>
      <rPr>
        <i/>
        <sz val="12"/>
        <color theme="1"/>
        <rFont val="Times New Roman"/>
        <family val="1"/>
        <charset val="186"/>
      </rPr>
      <t>euro</t>
    </r>
    <r>
      <rPr>
        <sz val="12"/>
        <color theme="1"/>
        <rFont val="Times New Roman"/>
        <family val="1"/>
        <charset val="186"/>
      </rPr>
      <t>.</t>
    </r>
  </si>
  <si>
    <r>
      <t xml:space="preserve">Izdevumi par atkritumu izvešanu 275,91 </t>
    </r>
    <r>
      <rPr>
        <i/>
        <sz val="12"/>
        <color theme="1"/>
        <rFont val="Times New Roman"/>
        <family val="1"/>
        <charset val="186"/>
      </rPr>
      <t>euro</t>
    </r>
    <r>
      <rPr>
        <sz val="12"/>
        <color theme="1"/>
        <rFont val="Times New Roman"/>
        <family val="1"/>
        <charset val="186"/>
      </rPr>
      <t xml:space="preserve"> gadā * 0.0085 (iznomātās platības koeficients) =  2,35 </t>
    </r>
    <r>
      <rPr>
        <i/>
        <sz val="12"/>
        <color theme="1"/>
        <rFont val="Times New Roman"/>
        <family val="1"/>
        <charset val="186"/>
      </rPr>
      <t>euro</t>
    </r>
    <r>
      <rPr>
        <sz val="12"/>
        <color theme="1"/>
        <rFont val="Times New Roman"/>
        <family val="1"/>
        <charset val="186"/>
      </rPr>
      <t>.</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</si>
  <si>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0.0085 (iznomātās platības koeficients) = 1,27 </t>
    </r>
    <r>
      <rPr>
        <i/>
        <sz val="12"/>
        <color theme="1"/>
        <rFont val="Times New Roman"/>
        <family val="1"/>
        <charset val="186"/>
      </rPr>
      <t>euro</t>
    </r>
    <r>
      <rPr>
        <sz val="12"/>
        <color theme="1"/>
        <rFont val="Times New Roman"/>
        <family val="1"/>
        <charset val="186"/>
      </rPr>
      <t>.</t>
    </r>
  </si>
  <si>
    <r>
      <t xml:space="preserve">Izdevumi par atļauju izmantot autoru darbus 57,00 </t>
    </r>
    <r>
      <rPr>
        <i/>
        <sz val="12"/>
        <color theme="1"/>
        <rFont val="Times New Roman"/>
        <family val="1"/>
        <charset val="186"/>
      </rPr>
      <t>euro</t>
    </r>
    <r>
      <rPr>
        <sz val="12"/>
        <color theme="1"/>
        <rFont val="Times New Roman"/>
        <family val="1"/>
        <charset val="186"/>
      </rPr>
      <t xml:space="preserve"> gadā * 0.0085 (iznomātās platības koeficients) = 0,48 </t>
    </r>
    <r>
      <rPr>
        <i/>
        <sz val="12"/>
        <color theme="1"/>
        <rFont val="Times New Roman"/>
        <family val="1"/>
        <charset val="186"/>
      </rPr>
      <t>euro</t>
    </r>
    <r>
      <rPr>
        <sz val="12"/>
        <color theme="1"/>
        <rFont val="Times New Roman"/>
        <family val="1"/>
        <charset val="186"/>
      </rPr>
      <t>.</t>
    </r>
  </si>
  <si>
    <r>
      <t xml:space="preserve">Kārtējā remonta izdevumi 1 875,92 </t>
    </r>
    <r>
      <rPr>
        <i/>
        <sz val="12"/>
        <color theme="1"/>
        <rFont val="Times New Roman"/>
        <family val="1"/>
        <charset val="186"/>
      </rPr>
      <t>euro</t>
    </r>
    <r>
      <rPr>
        <sz val="12"/>
        <color theme="1"/>
        <rFont val="Times New Roman"/>
        <family val="1"/>
        <charset val="186"/>
      </rPr>
      <t xml:space="preserve"> gadā * 0.0085 (iznomātās platības koeficients) = 15,95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</si>
  <si>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956,50 </t>
    </r>
    <r>
      <rPr>
        <i/>
        <sz val="12"/>
        <color theme="1"/>
        <rFont val="Times New Roman"/>
        <family val="1"/>
        <charset val="186"/>
      </rPr>
      <t>euro</t>
    </r>
    <r>
      <rPr>
        <sz val="12"/>
        <color theme="1"/>
        <rFont val="Times New Roman"/>
        <family val="1"/>
        <charset val="186"/>
      </rPr>
      <t xml:space="preserve"> gadā * 0.0085 (iznomātās platības koeficients) = 8,13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</si>
  <si>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0.0085 (iznomātās platības koeficients) = 28,72 </t>
    </r>
    <r>
      <rPr>
        <i/>
        <sz val="12"/>
        <color theme="1"/>
        <rFont val="Times New Roman"/>
        <family val="1"/>
        <charset val="186"/>
      </rPr>
      <t>euro.</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</si>
  <si>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0.0085 (iznomātās platības koeficients) = 31,50 </t>
    </r>
    <r>
      <rPr>
        <i/>
        <sz val="12"/>
        <color theme="1"/>
        <rFont val="Times New Roman"/>
        <family val="1"/>
        <charset val="186"/>
      </rPr>
      <t>euro.</t>
    </r>
  </si>
  <si>
    <r>
      <t xml:space="preserve">Inventāra iegādes izdevumi 856,97 </t>
    </r>
    <r>
      <rPr>
        <i/>
        <sz val="12"/>
        <color theme="1"/>
        <rFont val="Times New Roman"/>
        <family val="1"/>
        <charset val="186"/>
      </rPr>
      <t>euro</t>
    </r>
    <r>
      <rPr>
        <sz val="12"/>
        <color theme="1"/>
        <rFont val="Times New Roman"/>
        <family val="1"/>
        <charset val="186"/>
      </rPr>
      <t xml:space="preserve"> gadā * 0.0085 (iznomātās platības koeficients) = 7,28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</si>
  <si>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1 711,80 </t>
    </r>
    <r>
      <rPr>
        <i/>
        <sz val="12"/>
        <color theme="1"/>
        <rFont val="Times New Roman"/>
        <family val="1"/>
        <charset val="186"/>
      </rPr>
      <t>euro</t>
    </r>
    <r>
      <rPr>
        <sz val="12"/>
        <color theme="1"/>
        <rFont val="Times New Roman"/>
        <family val="1"/>
        <charset val="186"/>
      </rPr>
      <t xml:space="preserve"> gadā * 0.0085 (iznomātās platības koeficients) = 14,55 </t>
    </r>
    <r>
      <rPr>
        <i/>
        <sz val="12"/>
        <color theme="1"/>
        <rFont val="Times New Roman"/>
        <family val="1"/>
        <charset val="186"/>
      </rPr>
      <t>euro</t>
    </r>
    <r>
      <rPr>
        <sz val="12"/>
        <color theme="1"/>
        <rFont val="Times New Roman"/>
        <family val="1"/>
        <charset val="186"/>
      </rPr>
      <t>.</t>
    </r>
  </si>
  <si>
    <r>
      <t xml:space="preserve">Nekustamā īpašuma nodoklis 8 084,39 </t>
    </r>
    <r>
      <rPr>
        <i/>
        <sz val="12"/>
        <color theme="1"/>
        <rFont val="Times New Roman"/>
        <family val="1"/>
        <charset val="186"/>
      </rPr>
      <t>euro</t>
    </r>
    <r>
      <rPr>
        <sz val="12"/>
        <color theme="1"/>
        <rFont val="Times New Roman"/>
        <family val="1"/>
        <charset val="186"/>
      </rPr>
      <t xml:space="preserve"> gadā * 0.0085 (iznomātās platības koeficients) = 68,72 </t>
    </r>
    <r>
      <rPr>
        <i/>
        <sz val="12"/>
        <color theme="1"/>
        <rFont val="Times New Roman"/>
        <family val="1"/>
        <charset val="186"/>
      </rPr>
      <t>euro.</t>
    </r>
  </si>
  <si>
    <r>
      <t xml:space="preserve">Dabas resursu nodoklis 1 920,89 </t>
    </r>
    <r>
      <rPr>
        <i/>
        <sz val="12"/>
        <color theme="1"/>
        <rFont val="Times New Roman"/>
        <family val="1"/>
        <charset val="186"/>
      </rPr>
      <t>euro</t>
    </r>
    <r>
      <rPr>
        <sz val="12"/>
        <color theme="1"/>
        <rFont val="Times New Roman"/>
        <family val="1"/>
        <charset val="186"/>
      </rPr>
      <t xml:space="preserve"> gadā * 0.0085 (iznomātās platības koeficients) = 16,33 </t>
    </r>
    <r>
      <rPr>
        <i/>
        <sz val="12"/>
        <color theme="1"/>
        <rFont val="Times New Roman"/>
        <family val="1"/>
        <charset val="186"/>
      </rPr>
      <t>euro</t>
    </r>
    <r>
      <rPr>
        <sz val="12"/>
        <color theme="1"/>
        <rFont val="Times New Roman"/>
        <family val="1"/>
        <charset val="186"/>
      </rPr>
      <t>.</t>
    </r>
  </si>
  <si>
    <r>
      <rPr>
        <b/>
        <i/>
        <sz val="12"/>
        <color theme="1"/>
        <rFont val="Times New Roman"/>
        <family val="1"/>
        <charset val="186"/>
      </rPr>
      <t>euro</t>
    </r>
    <r>
      <rPr>
        <b/>
        <sz val="12"/>
        <color theme="1"/>
        <rFont val="Times New Roman"/>
        <family val="1"/>
        <charset val="186"/>
      </rPr>
      <t>, diennaktī par numuru</t>
    </r>
  </si>
  <si>
    <r>
      <t xml:space="preserve">Darba devēja valsts sociālās apdrošināšanas obligātās iemaksas (856,67 </t>
    </r>
    <r>
      <rPr>
        <i/>
        <sz val="12"/>
        <color theme="1"/>
        <rFont val="Times New Roman"/>
        <family val="1"/>
        <charset val="186"/>
      </rPr>
      <t>euro</t>
    </r>
    <r>
      <rPr>
        <sz val="12"/>
        <color theme="1"/>
        <rFont val="Times New Roman"/>
        <family val="1"/>
        <charset val="186"/>
      </rPr>
      <t xml:space="preserve"> * 23,59 %) = 202,09 </t>
    </r>
    <r>
      <rPr>
        <i/>
        <sz val="12"/>
        <color theme="1"/>
        <rFont val="Times New Roman"/>
        <family val="1"/>
        <charset val="186"/>
      </rPr>
      <t xml:space="preserve">euro. </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</si>
  <si>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0.0263 (iznomātās platības koeficients) = 4,43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</si>
  <si>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0.0263 (iznomātās platības koeficients) = 2,94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</si>
  <si>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t>
    </r>
    <r>
      <rPr>
        <i/>
        <sz val="12"/>
        <color theme="1"/>
        <rFont val="Times New Roman"/>
        <family val="1"/>
        <charset val="186"/>
      </rPr>
      <t>euro</t>
    </r>
    <r>
      <rPr>
        <sz val="12"/>
        <color theme="1"/>
        <rFont val="Times New Roman"/>
        <family val="1"/>
        <charset val="186"/>
      </rPr>
      <t xml:space="preserve">/mēn. * 12. mēn. = 161,52 </t>
    </r>
    <r>
      <rPr>
        <i/>
        <sz val="12"/>
        <color theme="1"/>
        <rFont val="Times New Roman"/>
        <family val="1"/>
        <charset val="186"/>
      </rPr>
      <t>euro</t>
    </r>
    <r>
      <rPr>
        <sz val="12"/>
        <color theme="1"/>
        <rFont val="Times New Roman"/>
        <family val="1"/>
        <charset val="186"/>
      </rPr>
      <t xml:space="preserve"> * 0.0263 (iznomātās platības koeficients) = 4,25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</si>
  <si>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1.24 stundas, (15,03 </t>
    </r>
    <r>
      <rPr>
        <i/>
        <sz val="12"/>
        <color theme="1"/>
        <rFont val="Times New Roman"/>
        <family val="1"/>
        <charset val="186"/>
      </rPr>
      <t>euro</t>
    </r>
    <r>
      <rPr>
        <sz val="12"/>
        <color theme="1"/>
        <rFont val="Times New Roman"/>
        <family val="1"/>
        <charset val="186"/>
      </rPr>
      <t xml:space="preserve"> * 1.24 h) = 18,64 </t>
    </r>
    <r>
      <rPr>
        <i/>
        <sz val="12"/>
        <color theme="1"/>
        <rFont val="Times New Roman"/>
        <family val="1"/>
        <charset val="186"/>
      </rPr>
      <t>euro</t>
    </r>
    <r>
      <rPr>
        <sz val="12"/>
        <color theme="1"/>
        <rFont val="Times New Roman"/>
        <family val="1"/>
        <charset val="186"/>
      </rPr>
      <t xml:space="preserve">/mēn. * 12. mēn. = 223,68 </t>
    </r>
    <r>
      <rPr>
        <i/>
        <sz val="12"/>
        <color theme="1"/>
        <rFont val="Times New Roman"/>
        <family val="1"/>
        <charset val="186"/>
      </rPr>
      <t>euro</t>
    </r>
    <r>
      <rPr>
        <sz val="12"/>
        <color theme="1"/>
        <rFont val="Times New Roman"/>
        <family val="1"/>
        <charset val="186"/>
      </rPr>
      <t xml:space="preserve"> * 0.0263 (iznomātās platības koeficients) = 5,88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</si>
  <si>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0.0263 (iznomātās platības koeficients) = 4,15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</si>
  <si>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0.0263  (iznomātās platības koeficients) = 23,92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</si>
  <si>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0.0263 (iznomātās platības koeficients) = 24,38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</si>
  <si>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0.0263 (iznomātās platības koeficients) = 31,23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</si>
  <si>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0.0263 (iznomātās platības koeficients) = 36,26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</si>
  <si>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t>
    </r>
    <r>
      <rPr>
        <i/>
        <sz val="12"/>
        <color theme="1"/>
        <rFont val="Times New Roman"/>
        <family val="1"/>
        <charset val="186"/>
      </rPr>
      <t>euro</t>
    </r>
    <r>
      <rPr>
        <sz val="12"/>
        <color theme="1"/>
        <rFont val="Times New Roman"/>
        <family val="1"/>
        <charset val="186"/>
      </rPr>
      <t xml:space="preserve">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0.0263 (iznomātās platības koeficients) = 9,19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</si>
  <si>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146,63 </t>
    </r>
    <r>
      <rPr>
        <i/>
        <sz val="12"/>
        <color theme="1"/>
        <rFont val="Times New Roman"/>
        <family val="1"/>
        <charset val="186"/>
      </rPr>
      <t>euro</t>
    </r>
    <r>
      <rPr>
        <sz val="12"/>
        <color theme="1"/>
        <rFont val="Times New Roman"/>
        <family val="1"/>
        <charset val="186"/>
      </rPr>
      <t xml:space="preserve"> * 23,59 % = 34,59 </t>
    </r>
    <r>
      <rPr>
        <i/>
        <sz val="12"/>
        <color theme="1"/>
        <rFont val="Times New Roman"/>
        <family val="1"/>
        <charset val="186"/>
      </rPr>
      <t>euro</t>
    </r>
    <r>
      <rPr>
        <sz val="12"/>
        <color theme="1"/>
        <rFont val="Times New Roman"/>
        <family val="1"/>
        <charset val="186"/>
      </rPr>
      <t>.</t>
    </r>
  </si>
  <si>
    <r>
      <t xml:space="preserve">Izdevumi par apkuri 82 944.32 </t>
    </r>
    <r>
      <rPr>
        <i/>
        <sz val="12"/>
        <color theme="1"/>
        <rFont val="Times New Roman"/>
        <family val="1"/>
        <charset val="186"/>
      </rPr>
      <t>euro</t>
    </r>
    <r>
      <rPr>
        <sz val="12"/>
        <color theme="1"/>
        <rFont val="Times New Roman"/>
        <family val="1"/>
        <charset val="186"/>
      </rPr>
      <t xml:space="preserve"> gadā * 0.0263 (iznomātās platības koeficients) = 2 181,44 </t>
    </r>
    <r>
      <rPr>
        <i/>
        <sz val="12"/>
        <color theme="1"/>
        <rFont val="Times New Roman"/>
        <family val="1"/>
        <charset val="186"/>
      </rPr>
      <t>euro</t>
    </r>
    <r>
      <rPr>
        <sz val="12"/>
        <color theme="1"/>
        <rFont val="Times New Roman"/>
        <family val="1"/>
        <charset val="186"/>
      </rPr>
      <t>.</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</si>
  <si>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0.0263 (iznomātās platības koeficients) = 110,56 </t>
    </r>
    <r>
      <rPr>
        <i/>
        <sz val="12"/>
        <color theme="1"/>
        <rFont val="Times New Roman"/>
        <family val="1"/>
        <charset val="186"/>
      </rPr>
      <t>euro</t>
    </r>
    <r>
      <rPr>
        <sz val="12"/>
        <color theme="1"/>
        <rFont val="Times New Roman"/>
        <family val="1"/>
        <charset val="186"/>
      </rPr>
      <t>.</t>
    </r>
  </si>
  <si>
    <r>
      <t xml:space="preserve">Izdevumi par elektroenerģiju 7 807,39 </t>
    </r>
    <r>
      <rPr>
        <i/>
        <sz val="12"/>
        <color theme="1"/>
        <rFont val="Times New Roman"/>
        <family val="1"/>
        <charset val="186"/>
      </rPr>
      <t>euro</t>
    </r>
    <r>
      <rPr>
        <sz val="12"/>
        <color theme="1"/>
        <rFont val="Times New Roman"/>
        <family val="1"/>
        <charset val="186"/>
      </rPr>
      <t xml:space="preserve"> gadā * 0.0263 (iznomātās platības koeficients) = 205,33 </t>
    </r>
    <r>
      <rPr>
        <i/>
        <sz val="12"/>
        <color theme="1"/>
        <rFont val="Times New Roman"/>
        <family val="1"/>
        <charset val="186"/>
      </rPr>
      <t>euro</t>
    </r>
    <r>
      <rPr>
        <sz val="12"/>
        <color theme="1"/>
        <rFont val="Times New Roman"/>
        <family val="1"/>
        <charset val="186"/>
      </rPr>
      <t>.</t>
    </r>
  </si>
  <si>
    <r>
      <t xml:space="preserve">Izdevumi par atkritumu izvešanu 275,91 </t>
    </r>
    <r>
      <rPr>
        <i/>
        <sz val="12"/>
        <color theme="1"/>
        <rFont val="Times New Roman"/>
        <family val="1"/>
        <charset val="186"/>
      </rPr>
      <t>euro</t>
    </r>
    <r>
      <rPr>
        <sz val="12"/>
        <color theme="1"/>
        <rFont val="Times New Roman"/>
        <family val="1"/>
        <charset val="186"/>
      </rPr>
      <t xml:space="preserve"> gadā * 0.0263 (iznomātās platības koeficients) = 7,26 </t>
    </r>
    <r>
      <rPr>
        <i/>
        <sz val="12"/>
        <color theme="1"/>
        <rFont val="Times New Roman"/>
        <family val="1"/>
        <charset val="186"/>
      </rPr>
      <t>euro</t>
    </r>
    <r>
      <rPr>
        <sz val="12"/>
        <color theme="1"/>
        <rFont val="Times New Roman"/>
        <family val="1"/>
        <charset val="186"/>
      </rPr>
      <t>.</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</si>
  <si>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0.0263 (iznomātās platības koeficients) = 3,92 </t>
    </r>
    <r>
      <rPr>
        <i/>
        <sz val="12"/>
        <color theme="1"/>
        <rFont val="Times New Roman"/>
        <family val="1"/>
        <charset val="186"/>
      </rPr>
      <t>euro</t>
    </r>
    <r>
      <rPr>
        <sz val="12"/>
        <color theme="1"/>
        <rFont val="Times New Roman"/>
        <family val="1"/>
        <charset val="186"/>
      </rPr>
      <t>.</t>
    </r>
  </si>
  <si>
    <r>
      <t xml:space="preserve">Izdevumi par atļauju izmantot autoru darbus 57,00 </t>
    </r>
    <r>
      <rPr>
        <i/>
        <sz val="12"/>
        <color theme="1"/>
        <rFont val="Times New Roman"/>
        <family val="1"/>
        <charset val="186"/>
      </rPr>
      <t>euro</t>
    </r>
    <r>
      <rPr>
        <sz val="12"/>
        <color theme="1"/>
        <rFont val="Times New Roman"/>
        <family val="1"/>
        <charset val="186"/>
      </rPr>
      <t xml:space="preserve"> gadā * 0.0263 (iznomātās platības koeficients) = 1,50 </t>
    </r>
    <r>
      <rPr>
        <i/>
        <sz val="12"/>
        <color theme="1"/>
        <rFont val="Times New Roman"/>
        <family val="1"/>
        <charset val="186"/>
      </rPr>
      <t>euro</t>
    </r>
    <r>
      <rPr>
        <sz val="12"/>
        <color theme="1"/>
        <rFont val="Times New Roman"/>
        <family val="1"/>
        <charset val="186"/>
      </rPr>
      <t>.</t>
    </r>
  </si>
  <si>
    <r>
      <t xml:space="preserve">Kārtējā remonta izdevumi 1 875,92 </t>
    </r>
    <r>
      <rPr>
        <i/>
        <sz val="12"/>
        <color theme="1"/>
        <rFont val="Times New Roman"/>
        <family val="1"/>
        <charset val="186"/>
      </rPr>
      <t>euro</t>
    </r>
    <r>
      <rPr>
        <sz val="12"/>
        <color theme="1"/>
        <rFont val="Times New Roman"/>
        <family val="1"/>
        <charset val="186"/>
      </rPr>
      <t xml:space="preserve"> gadā * 0.0263 (iznomātās platības koeficients) = 49,34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</si>
  <si>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956,50 </t>
    </r>
    <r>
      <rPr>
        <i/>
        <sz val="12"/>
        <color theme="1"/>
        <rFont val="Times New Roman"/>
        <family val="1"/>
        <charset val="186"/>
      </rPr>
      <t>euro</t>
    </r>
    <r>
      <rPr>
        <sz val="12"/>
        <color theme="1"/>
        <rFont val="Times New Roman"/>
        <family val="1"/>
        <charset val="186"/>
      </rPr>
      <t xml:space="preserve"> gadā * 0.0263 (iznomātās platības koeficients) = 25,16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</si>
  <si>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0.0263 (iznomātās platības koeficients) = 88,86 </t>
    </r>
    <r>
      <rPr>
        <i/>
        <sz val="12"/>
        <color theme="1"/>
        <rFont val="Times New Roman"/>
        <family val="1"/>
        <charset val="186"/>
      </rPr>
      <t>euro</t>
    </r>
    <r>
      <rPr>
        <sz val="12"/>
        <color theme="1"/>
        <rFont val="Times New Roman"/>
        <family val="1"/>
        <charset val="186"/>
      </rPr>
      <t>.</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</si>
  <si>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0.0263 (iznomātās platības koeficients) = 97,47 </t>
    </r>
    <r>
      <rPr>
        <i/>
        <sz val="12"/>
        <color theme="1"/>
        <rFont val="Times New Roman"/>
        <family val="1"/>
        <charset val="186"/>
      </rPr>
      <t>euro</t>
    </r>
    <r>
      <rPr>
        <sz val="12"/>
        <color theme="1"/>
        <rFont val="Times New Roman"/>
        <family val="1"/>
        <charset val="186"/>
      </rPr>
      <t>.</t>
    </r>
  </si>
  <si>
    <r>
      <t xml:space="preserve">Inventāra iegādes izdevumi 856,97 </t>
    </r>
    <r>
      <rPr>
        <i/>
        <sz val="12"/>
        <color theme="1"/>
        <rFont val="Times New Roman"/>
        <family val="1"/>
        <charset val="186"/>
      </rPr>
      <t>euro</t>
    </r>
    <r>
      <rPr>
        <sz val="12"/>
        <color theme="1"/>
        <rFont val="Times New Roman"/>
        <family val="1"/>
        <charset val="186"/>
      </rPr>
      <t xml:space="preserve"> gadā * 0.0263 (iznomātās platības koeficients) = 22,54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</si>
  <si>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1 711,80 </t>
    </r>
    <r>
      <rPr>
        <i/>
        <sz val="12"/>
        <color theme="1"/>
        <rFont val="Times New Roman"/>
        <family val="1"/>
        <charset val="186"/>
      </rPr>
      <t>euro</t>
    </r>
    <r>
      <rPr>
        <sz val="12"/>
        <color theme="1"/>
        <rFont val="Times New Roman"/>
        <family val="1"/>
        <charset val="186"/>
      </rPr>
      <t xml:space="preserve"> gadā * 0.0263 (iznomātās platības koeficients)  = 45,02 </t>
    </r>
    <r>
      <rPr>
        <i/>
        <sz val="12"/>
        <color theme="1"/>
        <rFont val="Times New Roman"/>
        <family val="1"/>
        <charset val="186"/>
      </rPr>
      <t>euro</t>
    </r>
    <r>
      <rPr>
        <sz val="12"/>
        <color theme="1"/>
        <rFont val="Times New Roman"/>
        <family val="1"/>
        <charset val="186"/>
      </rPr>
      <t>.</t>
    </r>
  </si>
  <si>
    <r>
      <t xml:space="preserve">Nekustamā īpašuma nodoklis 8 084,39 </t>
    </r>
    <r>
      <rPr>
        <i/>
        <sz val="12"/>
        <color theme="1"/>
        <rFont val="Times New Roman"/>
        <family val="1"/>
        <charset val="186"/>
      </rPr>
      <t>euro</t>
    </r>
    <r>
      <rPr>
        <sz val="12"/>
        <color theme="1"/>
        <rFont val="Times New Roman"/>
        <family val="1"/>
        <charset val="186"/>
      </rPr>
      <t xml:space="preserve"> gadā * 0.0263 (iznomātās platības koeficients) = 212,62 </t>
    </r>
    <r>
      <rPr>
        <i/>
        <sz val="12"/>
        <color theme="1"/>
        <rFont val="Times New Roman"/>
        <family val="1"/>
        <charset val="186"/>
      </rPr>
      <t>euro</t>
    </r>
    <r>
      <rPr>
        <sz val="12"/>
        <color theme="1"/>
        <rFont val="Times New Roman"/>
        <family val="1"/>
        <charset val="186"/>
      </rPr>
      <t>.</t>
    </r>
  </si>
  <si>
    <r>
      <t xml:space="preserve">Dabas resursu nodoklis 1 920,89 </t>
    </r>
    <r>
      <rPr>
        <i/>
        <sz val="12"/>
        <color theme="1"/>
        <rFont val="Times New Roman"/>
        <family val="1"/>
        <charset val="186"/>
      </rPr>
      <t>euro</t>
    </r>
    <r>
      <rPr>
        <sz val="12"/>
        <color theme="1"/>
        <rFont val="Times New Roman"/>
        <family val="1"/>
        <charset val="186"/>
      </rPr>
      <t xml:space="preserve"> gadā * 0.0263 (iznomātās platības koeficients) = 50,52 </t>
    </r>
    <r>
      <rPr>
        <i/>
        <sz val="12"/>
        <color theme="1"/>
        <rFont val="Times New Roman"/>
        <family val="1"/>
        <charset val="186"/>
      </rPr>
      <t>euro</t>
    </r>
    <r>
      <rPr>
        <sz val="12"/>
        <color theme="1"/>
        <rFont val="Times New Roman"/>
        <family val="1"/>
        <charset val="186"/>
      </rPr>
      <t>.</t>
    </r>
  </si>
  <si>
    <r>
      <t xml:space="preserve">Pamatlīdzekļu amortizācija 251,64 </t>
    </r>
    <r>
      <rPr>
        <i/>
        <sz val="12"/>
        <color theme="1"/>
        <rFont val="Times New Roman"/>
        <family val="1"/>
        <charset val="186"/>
      </rPr>
      <t>euro</t>
    </r>
    <r>
      <rPr>
        <sz val="12"/>
        <color theme="1"/>
        <rFont val="Times New Roman"/>
        <family val="1"/>
        <charset val="186"/>
      </rPr>
      <t xml:space="preserve"> gadā * 0.0263 (iznomātās platības koeficients) = 6,62 </t>
    </r>
    <r>
      <rPr>
        <i/>
        <sz val="12"/>
        <color theme="1"/>
        <rFont val="Times New Roman"/>
        <family val="1"/>
        <charset val="186"/>
      </rPr>
      <t>euro.</t>
    </r>
  </si>
  <si>
    <r>
      <t xml:space="preserve">Pamatlīdzekļu amortizācija 1 134,21 </t>
    </r>
    <r>
      <rPr>
        <i/>
        <sz val="12"/>
        <color theme="1"/>
        <rFont val="Times New Roman"/>
        <family val="1"/>
        <charset val="186"/>
      </rPr>
      <t>euro</t>
    </r>
    <r>
      <rPr>
        <sz val="12"/>
        <color theme="1"/>
        <rFont val="Times New Roman"/>
        <family val="1"/>
        <charset val="186"/>
      </rPr>
      <t xml:space="preserve"> gadā * 0.0263 (iznomātās platības koeficients) = 29,83 </t>
    </r>
    <r>
      <rPr>
        <i/>
        <sz val="12"/>
        <color theme="1"/>
        <rFont val="Times New Roman"/>
        <family val="1"/>
        <charset val="186"/>
      </rPr>
      <t>euro</t>
    </r>
    <r>
      <rPr>
        <sz val="12"/>
        <color theme="1"/>
        <rFont val="Times New Roman"/>
        <family val="1"/>
        <charset val="186"/>
      </rPr>
      <t>.</t>
    </r>
  </si>
  <si>
    <r>
      <t xml:space="preserve">Pamatlīdzekļu amortizācija 2 748,15 </t>
    </r>
    <r>
      <rPr>
        <i/>
        <sz val="12"/>
        <color theme="1"/>
        <rFont val="Times New Roman"/>
        <family val="1"/>
        <charset val="186"/>
      </rPr>
      <t>euro</t>
    </r>
    <r>
      <rPr>
        <sz val="12"/>
        <color theme="1"/>
        <rFont val="Times New Roman"/>
        <family val="1"/>
        <charset val="186"/>
      </rPr>
      <t xml:space="preserve"> gadā * 0.0263 (iznomātās platības koeficients) = 72,28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</si>
  <si>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 xml:space="preserve">/mēn. * 12 mēn. = 5 834,40 </t>
    </r>
    <r>
      <rPr>
        <i/>
        <sz val="12"/>
        <color theme="1"/>
        <rFont val="Times New Roman"/>
        <family val="1"/>
        <charset val="186"/>
      </rPr>
      <t>euro</t>
    </r>
    <r>
      <rPr>
        <sz val="12"/>
        <color theme="1"/>
        <rFont val="Times New Roman"/>
        <family val="1"/>
        <charset val="186"/>
      </rPr>
      <t xml:space="preserve"> * 0.3646 (iznomātās platības koeficients) = 2 127,22 </t>
    </r>
    <r>
      <rPr>
        <i/>
        <sz val="12"/>
        <color theme="1"/>
        <rFont val="Times New Roman"/>
        <family val="1"/>
        <charset val="186"/>
      </rPr>
      <t>euro</t>
    </r>
    <r>
      <rPr>
        <sz val="12"/>
        <color theme="1"/>
        <rFont val="Times New Roman"/>
        <family val="1"/>
        <charset val="186"/>
      </rPr>
      <t xml:space="preserve">. </t>
    </r>
  </si>
  <si>
    <r>
      <t xml:space="preserve">Darba devēja valsts sociālās apdrošināšanas obligātās iemaksas (11 876,10 </t>
    </r>
    <r>
      <rPr>
        <i/>
        <sz val="12"/>
        <color theme="1"/>
        <rFont val="Times New Roman"/>
        <family val="1"/>
        <charset val="186"/>
      </rPr>
      <t>euro</t>
    </r>
    <r>
      <rPr>
        <sz val="12"/>
        <color theme="1"/>
        <rFont val="Times New Roman"/>
        <family val="1"/>
        <charset val="186"/>
      </rPr>
      <t xml:space="preserve"> * 23,59 %) = 2 801,57 </t>
    </r>
    <r>
      <rPr>
        <i/>
        <sz val="12"/>
        <color theme="1"/>
        <rFont val="Times New Roman"/>
        <family val="1"/>
        <charset val="186"/>
      </rPr>
      <t xml:space="preserve">euro. </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</si>
  <si>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0.3646 (iznomātās platības koeficients) = 337,98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</si>
  <si>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0.3646  (iznomātās platības koeficients) = 433,01 </t>
    </r>
    <r>
      <rPr>
        <i/>
        <sz val="12"/>
        <color theme="1"/>
        <rFont val="Times New Roman"/>
        <family val="1"/>
        <charset val="186"/>
      </rPr>
      <t>euro.</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</si>
  <si>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0.3646 (iznomātās platības koeficients) = 502,62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</si>
  <si>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euro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0.3646 (iznomātās platības koeficients) = 127,41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</si>
  <si>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2 032,89 </t>
    </r>
    <r>
      <rPr>
        <i/>
        <sz val="12"/>
        <color theme="1"/>
        <rFont val="Times New Roman"/>
        <family val="1"/>
        <charset val="186"/>
      </rPr>
      <t>euro</t>
    </r>
    <r>
      <rPr>
        <sz val="12"/>
        <color theme="1"/>
        <rFont val="Times New Roman"/>
        <family val="1"/>
        <charset val="186"/>
      </rPr>
      <t xml:space="preserve"> * 23,59 % = 479,56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</si>
  <si>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0.3646 (iznomātās platības koeficients) = 40,78 </t>
    </r>
    <r>
      <rPr>
        <i/>
        <sz val="12"/>
        <color theme="1"/>
        <rFont val="Times New Roman"/>
        <family val="1"/>
        <charset val="186"/>
      </rPr>
      <t>euro.</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</si>
  <si>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t>
    </r>
    <r>
      <rPr>
        <i/>
        <sz val="12"/>
        <color theme="1"/>
        <rFont val="Times New Roman"/>
        <family val="1"/>
        <charset val="186"/>
      </rPr>
      <t>euro</t>
    </r>
    <r>
      <rPr>
        <sz val="12"/>
        <color theme="1"/>
        <rFont val="Times New Roman"/>
        <family val="1"/>
        <charset val="186"/>
      </rPr>
      <t xml:space="preserve">/mēn. * 12. mēn. = 161,52 </t>
    </r>
    <r>
      <rPr>
        <i/>
        <sz val="12"/>
        <color theme="1"/>
        <rFont val="Times New Roman"/>
        <family val="1"/>
        <charset val="186"/>
      </rPr>
      <t>euro</t>
    </r>
    <r>
      <rPr>
        <sz val="12"/>
        <color theme="1"/>
        <rFont val="Times New Roman"/>
        <family val="1"/>
        <charset val="186"/>
      </rPr>
      <t xml:space="preserve"> * 0.3646 (iznomātās platības koeficients) = 58,89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</si>
  <si>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1.24 stundas, (15,03 </t>
    </r>
    <r>
      <rPr>
        <i/>
        <sz val="12"/>
        <color theme="1"/>
        <rFont val="Times New Roman"/>
        <family val="1"/>
        <charset val="186"/>
      </rPr>
      <t>euro</t>
    </r>
    <r>
      <rPr>
        <sz val="12"/>
        <color theme="1"/>
        <rFont val="Times New Roman"/>
        <family val="1"/>
        <charset val="186"/>
      </rPr>
      <t xml:space="preserve"> * 1.24 h) = 18,64 </t>
    </r>
    <r>
      <rPr>
        <i/>
        <sz val="12"/>
        <color theme="1"/>
        <rFont val="Times New Roman"/>
        <family val="1"/>
        <charset val="186"/>
      </rPr>
      <t>euro</t>
    </r>
    <r>
      <rPr>
        <sz val="12"/>
        <color theme="1"/>
        <rFont val="Times New Roman"/>
        <family val="1"/>
        <charset val="186"/>
      </rPr>
      <t xml:space="preserve">/mēn. * 12. mēn. = 223,68 </t>
    </r>
    <r>
      <rPr>
        <i/>
        <sz val="12"/>
        <color theme="1"/>
        <rFont val="Times New Roman"/>
        <family val="1"/>
        <charset val="186"/>
      </rPr>
      <t>euro</t>
    </r>
    <r>
      <rPr>
        <sz val="12"/>
        <color theme="1"/>
        <rFont val="Times New Roman"/>
        <family val="1"/>
        <charset val="186"/>
      </rPr>
      <t xml:space="preserve"> * 0.3646 (iznomātās platības koeficients) = 81,55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</si>
  <si>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0.3646 (iznomātās platības koeficients) = 57,58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</si>
  <si>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euro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0.3646 (iznomātās platības koeficients) = 61,47 </t>
    </r>
    <r>
      <rPr>
        <i/>
        <sz val="12"/>
        <color theme="1"/>
        <rFont val="Times New Roman"/>
        <family val="1"/>
        <charset val="186"/>
      </rPr>
      <t>euro</t>
    </r>
  </si>
  <si>
    <r>
      <t xml:space="preserve">Ēku kompleksa iekārtu, inventāra apkope un remonts, avāriju bojājumu novēršanas izdevumi 956,50 </t>
    </r>
    <r>
      <rPr>
        <i/>
        <sz val="12"/>
        <color theme="1"/>
        <rFont val="Times New Roman"/>
        <family val="1"/>
        <charset val="186"/>
      </rPr>
      <t>euro</t>
    </r>
    <r>
      <rPr>
        <sz val="12"/>
        <color theme="1"/>
        <rFont val="Times New Roman"/>
        <family val="1"/>
        <charset val="186"/>
      </rPr>
      <t xml:space="preserve"> gadā * 0.3646 (iznomātās platības koeficients) = 348,74 </t>
    </r>
    <r>
      <rPr>
        <i/>
        <sz val="12"/>
        <color theme="1"/>
        <rFont val="Times New Roman"/>
        <family val="1"/>
        <charset val="186"/>
      </rPr>
      <t>euro.</t>
    </r>
  </si>
  <si>
    <r>
      <t xml:space="preserve">Kārtējā remonta izdevumi 1 875,92 </t>
    </r>
    <r>
      <rPr>
        <i/>
        <sz val="12"/>
        <color theme="1"/>
        <rFont val="Times New Roman"/>
        <family val="1"/>
        <charset val="186"/>
      </rPr>
      <t>euro</t>
    </r>
    <r>
      <rPr>
        <sz val="12"/>
        <color theme="1"/>
        <rFont val="Times New Roman"/>
        <family val="1"/>
        <charset val="186"/>
      </rPr>
      <t xml:space="preserve"> gadā * 0.3646 (iznomātās platības koeficients) = 683,96 </t>
    </r>
    <r>
      <rPr>
        <i/>
        <sz val="12"/>
        <color theme="1"/>
        <rFont val="Times New Roman"/>
        <family val="1"/>
        <charset val="186"/>
      </rPr>
      <t>euro</t>
    </r>
    <r>
      <rPr>
        <sz val="12"/>
        <color theme="1"/>
        <rFont val="Times New Roman"/>
        <family val="1"/>
        <charset val="186"/>
      </rPr>
      <t>.</t>
    </r>
  </si>
  <si>
    <r>
      <t xml:space="preserve">Izdevumi par atļauju izmantot autoru darbus 57,00 </t>
    </r>
    <r>
      <rPr>
        <i/>
        <sz val="12"/>
        <color theme="1"/>
        <rFont val="Times New Roman"/>
        <family val="1"/>
        <charset val="186"/>
      </rPr>
      <t>euro</t>
    </r>
    <r>
      <rPr>
        <sz val="12"/>
        <color theme="1"/>
        <rFont val="Times New Roman"/>
        <family val="1"/>
        <charset val="186"/>
      </rPr>
      <t xml:space="preserve"> gadā * 0.3646 (iznomātās platības koeficients) = 20,78 </t>
    </r>
    <r>
      <rPr>
        <i/>
        <sz val="12"/>
        <color theme="1"/>
        <rFont val="Times New Roman"/>
        <family val="1"/>
        <charset val="186"/>
      </rPr>
      <t>euro</t>
    </r>
    <r>
      <rPr>
        <sz val="12"/>
        <color theme="1"/>
        <rFont val="Times New Roman"/>
        <family val="1"/>
        <charset val="186"/>
      </rPr>
      <t>.</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</si>
  <si>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0.3646 (iznomātās platības koeficients) = 54,37 </t>
    </r>
    <r>
      <rPr>
        <i/>
        <sz val="12"/>
        <color theme="1"/>
        <rFont val="Times New Roman"/>
        <family val="1"/>
        <charset val="186"/>
      </rPr>
      <t>euro</t>
    </r>
    <r>
      <rPr>
        <sz val="12"/>
        <color theme="1"/>
        <rFont val="Times New Roman"/>
        <family val="1"/>
        <charset val="186"/>
      </rPr>
      <t>.</t>
    </r>
  </si>
  <si>
    <r>
      <t xml:space="preserve">Izdevumi par atkritumu izvešanu 275,91 </t>
    </r>
    <r>
      <rPr>
        <i/>
        <sz val="12"/>
        <color theme="1"/>
        <rFont val="Times New Roman"/>
        <family val="1"/>
        <charset val="186"/>
      </rPr>
      <t>euro</t>
    </r>
    <r>
      <rPr>
        <sz val="12"/>
        <color theme="1"/>
        <rFont val="Times New Roman"/>
        <family val="1"/>
        <charset val="186"/>
      </rPr>
      <t xml:space="preserve"> gadā * 0.3646 (iznomātās platības koeficients) = 100,60 </t>
    </r>
    <r>
      <rPr>
        <i/>
        <sz val="12"/>
        <color theme="1"/>
        <rFont val="Times New Roman"/>
        <family val="1"/>
        <charset val="186"/>
      </rPr>
      <t>euro</t>
    </r>
    <r>
      <rPr>
        <sz val="12"/>
        <color theme="1"/>
        <rFont val="Times New Roman"/>
        <family val="1"/>
        <charset val="186"/>
      </rPr>
      <t>.</t>
    </r>
  </si>
  <si>
    <r>
      <t xml:space="preserve">Izdevumi par elektroenerģiju 7 807,39 </t>
    </r>
    <r>
      <rPr>
        <i/>
        <sz val="12"/>
        <color theme="1"/>
        <rFont val="Times New Roman"/>
        <family val="1"/>
        <charset val="186"/>
      </rPr>
      <t>euro</t>
    </r>
    <r>
      <rPr>
        <sz val="12"/>
        <color theme="1"/>
        <rFont val="Times New Roman"/>
        <family val="1"/>
        <charset val="186"/>
      </rPr>
      <t xml:space="preserve"> gadā * 0.3646 (iznomātās platības koeficients) = 2 846,57 </t>
    </r>
    <r>
      <rPr>
        <i/>
        <sz val="12"/>
        <color theme="1"/>
        <rFont val="Times New Roman"/>
        <family val="1"/>
        <charset val="186"/>
      </rPr>
      <t>euro</t>
    </r>
    <r>
      <rPr>
        <sz val="12"/>
        <color theme="1"/>
        <rFont val="Times New Roman"/>
        <family val="1"/>
        <charset val="186"/>
      </rPr>
      <t>.</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</si>
  <si>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0.3646 (iznomātās platības koeficients) = 1 532,69 </t>
    </r>
    <r>
      <rPr>
        <i/>
        <sz val="12"/>
        <color theme="1"/>
        <rFont val="Times New Roman"/>
        <family val="1"/>
        <charset val="186"/>
      </rPr>
      <t>euro</t>
    </r>
    <r>
      <rPr>
        <sz val="12"/>
        <color theme="1"/>
        <rFont val="Times New Roman"/>
        <family val="1"/>
        <charset val="186"/>
      </rPr>
      <t>.</t>
    </r>
  </si>
  <si>
    <r>
      <t xml:space="preserve">Izdevumi par apkuri 82 944.32 </t>
    </r>
    <r>
      <rPr>
        <i/>
        <sz val="12"/>
        <color theme="1"/>
        <rFont val="Times New Roman"/>
        <family val="1"/>
        <charset val="186"/>
      </rPr>
      <t>euro</t>
    </r>
    <r>
      <rPr>
        <sz val="12"/>
        <color theme="1"/>
        <rFont val="Times New Roman"/>
        <family val="1"/>
        <charset val="186"/>
      </rPr>
      <t xml:space="preserve"> gadā * 0.3646 (iznomātās platības koeficients) = 30 241,50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</si>
  <si>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1 711,80 </t>
    </r>
    <r>
      <rPr>
        <i/>
        <sz val="12"/>
        <color theme="1"/>
        <rFont val="Times New Roman"/>
        <family val="1"/>
        <charset val="186"/>
      </rPr>
      <t>euro</t>
    </r>
    <r>
      <rPr>
        <sz val="12"/>
        <color theme="1"/>
        <rFont val="Times New Roman"/>
        <family val="1"/>
        <charset val="186"/>
      </rPr>
      <t xml:space="preserve"> gadā * 0.3646 (iznomātās platības koeficients) = 624,12 </t>
    </r>
    <r>
      <rPr>
        <i/>
        <sz val="12"/>
        <color theme="1"/>
        <rFont val="Times New Roman"/>
        <family val="1"/>
        <charset val="186"/>
      </rPr>
      <t>euro</t>
    </r>
    <r>
      <rPr>
        <sz val="12"/>
        <color theme="1"/>
        <rFont val="Times New Roman"/>
        <family val="1"/>
        <charset val="186"/>
      </rPr>
      <t>.</t>
    </r>
  </si>
  <si>
    <r>
      <t xml:space="preserve">Inventāra iegādes izdevumi 856,97 </t>
    </r>
    <r>
      <rPr>
        <i/>
        <sz val="12"/>
        <color theme="1"/>
        <rFont val="Times New Roman"/>
        <family val="1"/>
        <charset val="186"/>
      </rPr>
      <t>euro</t>
    </r>
    <r>
      <rPr>
        <sz val="12"/>
        <color theme="1"/>
        <rFont val="Times New Roman"/>
        <family val="1"/>
        <charset val="186"/>
      </rPr>
      <t xml:space="preserve"> gadā * 0.3646 (iznomātās platības koeficients) = 312,45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</si>
  <si>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0.3646 (iznomātās platības koeficients) = 1 231,82 </t>
    </r>
    <r>
      <rPr>
        <i/>
        <sz val="12"/>
        <color theme="1"/>
        <rFont val="Times New Roman"/>
        <family val="1"/>
        <charset val="186"/>
      </rPr>
      <t>euro</t>
    </r>
    <r>
      <rPr>
        <sz val="12"/>
        <color theme="1"/>
        <rFont val="Times New Roman"/>
        <family val="1"/>
        <charset val="186"/>
      </rPr>
      <t>.</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</si>
  <si>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0.3646 (iznomātās platības koeficients) = 1 351,18 </t>
    </r>
    <r>
      <rPr>
        <i/>
        <sz val="12"/>
        <color theme="1"/>
        <rFont val="Times New Roman"/>
        <family val="1"/>
        <charset val="186"/>
      </rPr>
      <t>euro</t>
    </r>
    <r>
      <rPr>
        <sz val="12"/>
        <color theme="1"/>
        <rFont val="Times New Roman"/>
        <family val="1"/>
        <charset val="186"/>
      </rPr>
      <t>.</t>
    </r>
  </si>
  <si>
    <r>
      <t xml:space="preserve">Dabas resursu nodoklis 1 920,89 </t>
    </r>
    <r>
      <rPr>
        <i/>
        <sz val="12"/>
        <color theme="1"/>
        <rFont val="Times New Roman"/>
        <family val="1"/>
        <charset val="186"/>
      </rPr>
      <t>euro</t>
    </r>
    <r>
      <rPr>
        <sz val="12"/>
        <color theme="1"/>
        <rFont val="Times New Roman"/>
        <family val="1"/>
        <charset val="186"/>
      </rPr>
      <t xml:space="preserve"> gadā * 0.3646 (iznomātās platības koeficients) = 700,36 </t>
    </r>
    <r>
      <rPr>
        <i/>
        <sz val="12"/>
        <color theme="1"/>
        <rFont val="Times New Roman"/>
        <family val="1"/>
        <charset val="186"/>
      </rPr>
      <t>euro.</t>
    </r>
  </si>
  <si>
    <r>
      <t xml:space="preserve">Pamatlīdzekļu amortizācija 251,64 </t>
    </r>
    <r>
      <rPr>
        <i/>
        <sz val="12"/>
        <color theme="1"/>
        <rFont val="Times New Roman"/>
        <family val="1"/>
        <charset val="186"/>
      </rPr>
      <t>euro</t>
    </r>
    <r>
      <rPr>
        <sz val="12"/>
        <color theme="1"/>
        <rFont val="Times New Roman"/>
        <family val="1"/>
        <charset val="186"/>
      </rPr>
      <t xml:space="preserve"> gadā * 0.3646 (iznomātās platības koeficients) = 91,75 </t>
    </r>
    <r>
      <rPr>
        <i/>
        <sz val="12"/>
        <color theme="1"/>
        <rFont val="Times New Roman"/>
        <family val="1"/>
        <charset val="186"/>
      </rPr>
      <t>euro</t>
    </r>
    <r>
      <rPr>
        <sz val="12"/>
        <color theme="1"/>
        <rFont val="Times New Roman"/>
        <family val="1"/>
        <charset val="186"/>
      </rPr>
      <t>.</t>
    </r>
  </si>
  <si>
    <r>
      <t xml:space="preserve">Pamatlīdzekļu amortizācija 1 134,21 </t>
    </r>
    <r>
      <rPr>
        <i/>
        <sz val="12"/>
        <color theme="1"/>
        <rFont val="Times New Roman"/>
        <family val="1"/>
        <charset val="186"/>
      </rPr>
      <t>euro</t>
    </r>
    <r>
      <rPr>
        <sz val="12"/>
        <color theme="1"/>
        <rFont val="Times New Roman"/>
        <family val="1"/>
        <charset val="186"/>
      </rPr>
      <t xml:space="preserve"> gadā * 0.3646 (iznomātās platības koeficients) = 413,53 </t>
    </r>
    <r>
      <rPr>
        <i/>
        <sz val="12"/>
        <color theme="1"/>
        <rFont val="Times New Roman"/>
        <family val="1"/>
        <charset val="186"/>
      </rPr>
      <t>euro.</t>
    </r>
  </si>
  <si>
    <r>
      <t xml:space="preserve">Pamatlīdzekļu amortizācija 2 748,15 </t>
    </r>
    <r>
      <rPr>
        <i/>
        <sz val="12"/>
        <color theme="1"/>
        <rFont val="Times New Roman"/>
        <family val="1"/>
        <charset val="186"/>
      </rPr>
      <t>euro</t>
    </r>
    <r>
      <rPr>
        <sz val="12"/>
        <color theme="1"/>
        <rFont val="Times New Roman"/>
        <family val="1"/>
        <charset val="186"/>
      </rPr>
      <t xml:space="preserve"> gadā * 0.3646 (iznomātās platības koeficients) = 1 001,98 </t>
    </r>
    <r>
      <rPr>
        <i/>
        <sz val="12"/>
        <color theme="1"/>
        <rFont val="Times New Roman"/>
        <family val="1"/>
        <charset val="186"/>
      </rPr>
      <t>euro</t>
    </r>
    <r>
      <rPr>
        <sz val="12"/>
        <color theme="1"/>
        <rFont val="Times New Roman"/>
        <family val="1"/>
        <charset val="186"/>
      </rPr>
      <t>.</t>
    </r>
  </si>
  <si>
    <r>
      <t xml:space="preserve">Nekustamā īpašuma nodoklis 8 084,39 </t>
    </r>
    <r>
      <rPr>
        <i/>
        <sz val="12"/>
        <color theme="1"/>
        <rFont val="Times New Roman"/>
        <family val="1"/>
        <charset val="186"/>
      </rPr>
      <t>euro</t>
    </r>
    <r>
      <rPr>
        <sz val="12"/>
        <color theme="1"/>
        <rFont val="Times New Roman"/>
        <family val="1"/>
        <charset val="186"/>
      </rPr>
      <t xml:space="preserve"> gadā * 0.3646 (iznomātās platības koeficients) = 2 947,57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</si>
  <si>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0.0553 (iznomātās platības koeficients) = 186,83 </t>
    </r>
    <r>
      <rPr>
        <i/>
        <sz val="12"/>
        <color theme="1"/>
        <rFont val="Times New Roman"/>
        <family val="1"/>
        <charset val="186"/>
      </rPr>
      <t>euro</t>
    </r>
    <r>
      <rPr>
        <sz val="12"/>
        <color theme="1"/>
        <rFont val="Times New Roman"/>
        <family val="1"/>
        <charset val="186"/>
      </rPr>
      <t>.</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</si>
  <si>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0.0553 (iznomātās platības koeficients) = 204,94 </t>
    </r>
    <r>
      <rPr>
        <i/>
        <sz val="12"/>
        <color theme="1"/>
        <rFont val="Times New Roman"/>
        <family val="1"/>
        <charset val="186"/>
      </rPr>
      <t>euro</t>
    </r>
    <r>
      <rPr>
        <sz val="12"/>
        <color theme="1"/>
        <rFont val="Times New Roman"/>
        <family val="1"/>
        <charset val="186"/>
      </rPr>
      <t>.</t>
    </r>
  </si>
  <si>
    <r>
      <t xml:space="preserve">Inventāra iegādes izdevumi 856,97 </t>
    </r>
    <r>
      <rPr>
        <i/>
        <sz val="12"/>
        <color theme="1"/>
        <rFont val="Times New Roman"/>
        <family val="1"/>
        <charset val="186"/>
      </rPr>
      <t>euro</t>
    </r>
    <r>
      <rPr>
        <sz val="12"/>
        <color theme="1"/>
        <rFont val="Times New Roman"/>
        <family val="1"/>
        <charset val="186"/>
      </rPr>
      <t xml:space="preserve"> gadā * 0.0553 (iznomātās platības koeficients) = 47,39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</si>
  <si>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1 711,80 </t>
    </r>
    <r>
      <rPr>
        <i/>
        <sz val="12"/>
        <color theme="1"/>
        <rFont val="Times New Roman"/>
        <family val="1"/>
        <charset val="186"/>
      </rPr>
      <t>euro</t>
    </r>
    <r>
      <rPr>
        <sz val="12"/>
        <color theme="1"/>
        <rFont val="Times New Roman"/>
        <family val="1"/>
        <charset val="186"/>
      </rPr>
      <t xml:space="preserve"> gadā * 0.0553 (iznomātās platības koeficients) = 94,66 </t>
    </r>
    <r>
      <rPr>
        <i/>
        <sz val="12"/>
        <color theme="1"/>
        <rFont val="Times New Roman"/>
        <family val="1"/>
        <charset val="186"/>
      </rPr>
      <t>euro</t>
    </r>
    <r>
      <rPr>
        <sz val="12"/>
        <color theme="1"/>
        <rFont val="Times New Roman"/>
        <family val="1"/>
        <charset val="186"/>
      </rPr>
      <t>.</t>
    </r>
  </si>
  <si>
    <r>
      <t xml:space="preserve">Nekustamā īpašuma nodoklis 8 084,39 </t>
    </r>
    <r>
      <rPr>
        <i/>
        <sz val="12"/>
        <color theme="1"/>
        <rFont val="Times New Roman"/>
        <family val="1"/>
        <charset val="186"/>
      </rPr>
      <t>euro</t>
    </r>
    <r>
      <rPr>
        <sz val="12"/>
        <color theme="1"/>
        <rFont val="Times New Roman"/>
        <family val="1"/>
        <charset val="186"/>
      </rPr>
      <t xml:space="preserve"> gadā * 0.0553 (iznomātās platības koeficients) = 447,07 </t>
    </r>
    <r>
      <rPr>
        <i/>
        <sz val="12"/>
        <color theme="1"/>
        <rFont val="Times New Roman"/>
        <family val="1"/>
        <charset val="186"/>
      </rPr>
      <t>euro</t>
    </r>
    <r>
      <rPr>
        <sz val="12"/>
        <color theme="1"/>
        <rFont val="Times New Roman"/>
        <family val="1"/>
        <charset val="186"/>
      </rPr>
      <t>.</t>
    </r>
  </si>
  <si>
    <r>
      <t xml:space="preserve">Dabas resursu nodoklis 1 920,89 </t>
    </r>
    <r>
      <rPr>
        <i/>
        <sz val="12"/>
        <color theme="1"/>
        <rFont val="Times New Roman"/>
        <family val="1"/>
        <charset val="186"/>
      </rPr>
      <t>euro</t>
    </r>
    <r>
      <rPr>
        <sz val="12"/>
        <color theme="1"/>
        <rFont val="Times New Roman"/>
        <family val="1"/>
        <charset val="186"/>
      </rPr>
      <t xml:space="preserve"> gadā * 0.0553 (iznomātās platības koeficients) = 106,23 </t>
    </r>
    <r>
      <rPr>
        <i/>
        <sz val="12"/>
        <color theme="1"/>
        <rFont val="Times New Roman"/>
        <family val="1"/>
        <charset val="186"/>
      </rPr>
      <t>euro</t>
    </r>
    <r>
      <rPr>
        <sz val="12"/>
        <color theme="1"/>
        <rFont val="Times New Roman"/>
        <family val="1"/>
        <charset val="186"/>
      </rPr>
      <t>.</t>
    </r>
  </si>
  <si>
    <r>
      <t xml:space="preserve">Pamatlīdzekļu amortizācija 251,64 </t>
    </r>
    <r>
      <rPr>
        <i/>
        <sz val="12"/>
        <color theme="1"/>
        <rFont val="Times New Roman"/>
        <family val="1"/>
        <charset val="186"/>
      </rPr>
      <t>euro</t>
    </r>
    <r>
      <rPr>
        <sz val="12"/>
        <color theme="1"/>
        <rFont val="Times New Roman"/>
        <family val="1"/>
        <charset val="186"/>
      </rPr>
      <t xml:space="preserve"> gadā * 0.0553 (iznomātās platības koeficients) = 13,92 </t>
    </r>
    <r>
      <rPr>
        <i/>
        <sz val="12"/>
        <color theme="1"/>
        <rFont val="Times New Roman"/>
        <family val="1"/>
        <charset val="186"/>
      </rPr>
      <t>euro</t>
    </r>
    <r>
      <rPr>
        <sz val="12"/>
        <color theme="1"/>
        <rFont val="Times New Roman"/>
        <family val="1"/>
        <charset val="186"/>
      </rPr>
      <t>.</t>
    </r>
  </si>
  <si>
    <r>
      <t xml:space="preserve">Pamatlīdzekļu amortizācija 1 134,21 </t>
    </r>
    <r>
      <rPr>
        <i/>
        <sz val="12"/>
        <color theme="1"/>
        <rFont val="Times New Roman"/>
        <family val="1"/>
        <charset val="186"/>
      </rPr>
      <t>euro</t>
    </r>
    <r>
      <rPr>
        <sz val="12"/>
        <color theme="1"/>
        <rFont val="Times New Roman"/>
        <family val="1"/>
        <charset val="186"/>
      </rPr>
      <t xml:space="preserve"> gadā * 0.0553 (iznomātās platības koeficients) = 62,72 </t>
    </r>
    <r>
      <rPr>
        <i/>
        <sz val="12"/>
        <color theme="1"/>
        <rFont val="Times New Roman"/>
        <family val="1"/>
        <charset val="186"/>
      </rPr>
      <t>euro</t>
    </r>
    <r>
      <rPr>
        <sz val="12"/>
        <color theme="1"/>
        <rFont val="Times New Roman"/>
        <family val="1"/>
        <charset val="186"/>
      </rPr>
      <t>.</t>
    </r>
  </si>
  <si>
    <r>
      <t xml:space="preserve">Pamatlīdzekļu amortizācija 2 748,15 </t>
    </r>
    <r>
      <rPr>
        <i/>
        <sz val="12"/>
        <color theme="1"/>
        <rFont val="Times New Roman"/>
        <family val="1"/>
        <charset val="186"/>
      </rPr>
      <t>euro</t>
    </r>
    <r>
      <rPr>
        <sz val="12"/>
        <color theme="1"/>
        <rFont val="Times New Roman"/>
        <family val="1"/>
        <charset val="186"/>
      </rPr>
      <t xml:space="preserve"> gadā * 0.0553 (iznomātās platības koeficients) = 151,97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</si>
  <si>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956,50 </t>
    </r>
    <r>
      <rPr>
        <i/>
        <sz val="12"/>
        <color theme="1"/>
        <rFont val="Times New Roman"/>
        <family val="1"/>
        <charset val="186"/>
      </rPr>
      <t>euro</t>
    </r>
    <r>
      <rPr>
        <sz val="12"/>
        <color theme="1"/>
        <rFont val="Times New Roman"/>
        <family val="1"/>
        <charset val="186"/>
      </rPr>
      <t xml:space="preserve"> gadā * 0.0553 (iznomātās platības koeficients) = 52,89 </t>
    </r>
    <r>
      <rPr>
        <i/>
        <sz val="12"/>
        <color theme="1"/>
        <rFont val="Times New Roman"/>
        <family val="1"/>
        <charset val="186"/>
      </rPr>
      <t>euro.</t>
    </r>
  </si>
  <si>
    <r>
      <t xml:space="preserve">Izdevumi par atkritumu izvešanu 275,91 </t>
    </r>
    <r>
      <rPr>
        <i/>
        <sz val="12"/>
        <color theme="1"/>
        <rFont val="Times New Roman"/>
        <family val="1"/>
        <charset val="186"/>
      </rPr>
      <t>euro</t>
    </r>
    <r>
      <rPr>
        <sz val="12"/>
        <color theme="1"/>
        <rFont val="Times New Roman"/>
        <family val="1"/>
        <charset val="186"/>
      </rPr>
      <t xml:space="preserve"> gadā * 0.0553 (iznomātās platības koeficients) =  15,26 </t>
    </r>
    <r>
      <rPr>
        <i/>
        <sz val="12"/>
        <color theme="1"/>
        <rFont val="Times New Roman"/>
        <family val="1"/>
        <charset val="186"/>
      </rPr>
      <t>euro</t>
    </r>
    <r>
      <rPr>
        <sz val="12"/>
        <color theme="1"/>
        <rFont val="Times New Roman"/>
        <family val="1"/>
        <charset val="186"/>
      </rPr>
      <t>.</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</si>
  <si>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0.0553 (iznomātās platības koeficients) = 8,25 </t>
    </r>
    <r>
      <rPr>
        <i/>
        <sz val="12"/>
        <color theme="1"/>
        <rFont val="Times New Roman"/>
        <family val="1"/>
        <charset val="186"/>
      </rPr>
      <t>euro</t>
    </r>
    <r>
      <rPr>
        <sz val="12"/>
        <color theme="1"/>
        <rFont val="Times New Roman"/>
        <family val="1"/>
        <charset val="186"/>
      </rPr>
      <t>.</t>
    </r>
  </si>
  <si>
    <r>
      <t xml:space="preserve">Izdevumi par atļauju izmantot autoru darbus 57,00 </t>
    </r>
    <r>
      <rPr>
        <i/>
        <sz val="12"/>
        <color theme="1"/>
        <rFont val="Times New Roman"/>
        <family val="1"/>
        <charset val="186"/>
      </rPr>
      <t>euro</t>
    </r>
    <r>
      <rPr>
        <sz val="12"/>
        <color theme="1"/>
        <rFont val="Times New Roman"/>
        <family val="1"/>
        <charset val="186"/>
      </rPr>
      <t xml:space="preserve"> gadā * 0.0553 (iznomātās platības koeficients) = 3,15 </t>
    </r>
    <r>
      <rPr>
        <i/>
        <sz val="12"/>
        <color theme="1"/>
        <rFont val="Times New Roman"/>
        <family val="1"/>
        <charset val="186"/>
      </rPr>
      <t>euro</t>
    </r>
    <r>
      <rPr>
        <sz val="12"/>
        <color theme="1"/>
        <rFont val="Times New Roman"/>
        <family val="1"/>
        <charset val="186"/>
      </rPr>
      <t>.</t>
    </r>
  </si>
  <si>
    <r>
      <t xml:space="preserve">Kārtējā remonta izdevumi 1 875,92 </t>
    </r>
    <r>
      <rPr>
        <i/>
        <sz val="12"/>
        <color theme="1"/>
        <rFont val="Times New Roman"/>
        <family val="1"/>
        <charset val="186"/>
      </rPr>
      <t>euro</t>
    </r>
    <r>
      <rPr>
        <sz val="12"/>
        <color theme="1"/>
        <rFont val="Times New Roman"/>
        <family val="1"/>
        <charset val="186"/>
      </rPr>
      <t xml:space="preserve"> gadā * 0.0553 (iznomātās platības koeficients) = 103,74 </t>
    </r>
    <r>
      <rPr>
        <i/>
        <sz val="12"/>
        <color theme="1"/>
        <rFont val="Times New Roman"/>
        <family val="1"/>
        <charset val="186"/>
      </rPr>
      <t>euro</t>
    </r>
    <r>
      <rPr>
        <sz val="12"/>
        <color theme="1"/>
        <rFont val="Times New Roman"/>
        <family val="1"/>
        <charset val="186"/>
      </rPr>
      <t>.</t>
    </r>
  </si>
  <si>
    <r>
      <t xml:space="preserve">Izdevumi par elektroenerģiju 7 807,39 </t>
    </r>
    <r>
      <rPr>
        <i/>
        <sz val="12"/>
        <color theme="1"/>
        <rFont val="Times New Roman"/>
        <family val="1"/>
        <charset val="186"/>
      </rPr>
      <t>euro</t>
    </r>
    <r>
      <rPr>
        <sz val="12"/>
        <color theme="1"/>
        <rFont val="Times New Roman"/>
        <family val="1"/>
        <charset val="186"/>
      </rPr>
      <t xml:space="preserve"> gadā * 0.0553 (iznomātās platības koeficients) = 431,75 </t>
    </r>
    <r>
      <rPr>
        <i/>
        <sz val="12"/>
        <color theme="1"/>
        <rFont val="Times New Roman"/>
        <family val="1"/>
        <charset val="186"/>
      </rPr>
      <t>euro</t>
    </r>
    <r>
      <rPr>
        <sz val="12"/>
        <color theme="1"/>
        <rFont val="Times New Roman"/>
        <family val="1"/>
        <charset val="186"/>
      </rPr>
      <t>.</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</si>
  <si>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0.0553 (iznomātās platības koeficients) = 232,47 </t>
    </r>
    <r>
      <rPr>
        <i/>
        <sz val="12"/>
        <color theme="1"/>
        <rFont val="Times New Roman"/>
        <family val="1"/>
        <charset val="186"/>
      </rPr>
      <t>euro</t>
    </r>
    <r>
      <rPr>
        <sz val="12"/>
        <color theme="1"/>
        <rFont val="Times New Roman"/>
        <family val="1"/>
        <charset val="186"/>
      </rPr>
      <t>.</t>
    </r>
  </si>
  <si>
    <r>
      <t xml:space="preserve">Izdevumi par apkuri 82 944.32 </t>
    </r>
    <r>
      <rPr>
        <i/>
        <sz val="12"/>
        <color theme="1"/>
        <rFont val="Times New Roman"/>
        <family val="1"/>
        <charset val="186"/>
      </rPr>
      <t>euro</t>
    </r>
    <r>
      <rPr>
        <sz val="12"/>
        <color theme="1"/>
        <rFont val="Times New Roman"/>
        <family val="1"/>
        <charset val="186"/>
      </rPr>
      <t xml:space="preserve"> gadā * 0.0553 (iznomātās platības koeficients) = 4 586,82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</si>
  <si>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 xml:space="preserve">/mēn. * 12 mēn. = 5 834,40 </t>
    </r>
    <r>
      <rPr>
        <i/>
        <sz val="12"/>
        <color theme="1"/>
        <rFont val="Times New Roman"/>
        <family val="1"/>
        <charset val="186"/>
      </rPr>
      <t>euro</t>
    </r>
    <r>
      <rPr>
        <sz val="12"/>
        <color theme="1"/>
        <rFont val="Times New Roman"/>
        <family val="1"/>
        <charset val="186"/>
      </rPr>
      <t xml:space="preserve"> * 0.0553 (iznomātās platības koeficients) = 322,64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</si>
  <si>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0.0553 (iznomātās platības koeficients) = 342,98 </t>
    </r>
    <r>
      <rPr>
        <i/>
        <sz val="12"/>
        <color theme="1"/>
        <rFont val="Times New Roman"/>
        <family val="1"/>
        <charset val="186"/>
      </rPr>
      <t>euro</t>
    </r>
    <r>
      <rPr>
        <sz val="12"/>
        <color theme="1"/>
        <rFont val="Times New Roman"/>
        <family val="1"/>
        <charset val="186"/>
      </rPr>
      <t xml:space="preserve">. </t>
    </r>
  </si>
  <si>
    <r>
      <t xml:space="preserve">Darba devēja valsts sociālās apdrošināšanas obligātās iemaksas (1 801,28 </t>
    </r>
    <r>
      <rPr>
        <i/>
        <sz val="12"/>
        <color theme="1"/>
        <rFont val="Times New Roman"/>
        <family val="1"/>
        <charset val="186"/>
      </rPr>
      <t>euro</t>
    </r>
    <r>
      <rPr>
        <sz val="12"/>
        <color theme="1"/>
        <rFont val="Times New Roman"/>
        <family val="1"/>
        <charset val="186"/>
      </rPr>
      <t xml:space="preserve"> * 23,59 %) = 424,92 </t>
    </r>
    <r>
      <rPr>
        <i/>
        <sz val="12"/>
        <color theme="1"/>
        <rFont val="Times New Roman"/>
        <family val="1"/>
        <charset val="186"/>
      </rPr>
      <t xml:space="preserve">euro. </t>
    </r>
  </si>
  <si>
    <r>
      <t xml:space="preserve">Galv. nekust. īpaš. pārvaldnieks (322,64 </t>
    </r>
    <r>
      <rPr>
        <i/>
        <sz val="12"/>
        <color theme="1"/>
        <rFont val="Times New Roman"/>
        <family val="1"/>
        <charset val="186"/>
      </rPr>
      <t>euro</t>
    </r>
    <r>
      <rPr>
        <sz val="12"/>
        <color theme="1"/>
        <rFont val="Times New Roman"/>
        <family val="1"/>
        <charset val="186"/>
      </rPr>
      <t xml:space="preserve"> * 5%) = 16,13 </t>
    </r>
    <r>
      <rPr>
        <i/>
        <sz val="12"/>
        <color theme="1"/>
        <rFont val="Times New Roman"/>
        <family val="1"/>
        <charset val="186"/>
      </rPr>
      <t>euro</t>
    </r>
    <r>
      <rPr>
        <sz val="12"/>
        <color theme="1"/>
        <rFont val="Times New Roman"/>
        <family val="1"/>
        <charset val="186"/>
      </rPr>
      <t xml:space="preserve">, Saimniecības pārzinis (407,07 </t>
    </r>
    <r>
      <rPr>
        <i/>
        <sz val="12"/>
        <color theme="1"/>
        <rFont val="Times New Roman"/>
        <family val="1"/>
        <charset val="186"/>
      </rPr>
      <t>euro</t>
    </r>
    <r>
      <rPr>
        <sz val="12"/>
        <color theme="1"/>
        <rFont val="Times New Roman"/>
        <family val="1"/>
        <charset val="186"/>
      </rPr>
      <t xml:space="preserve"> * 5%) = 20,35 </t>
    </r>
    <r>
      <rPr>
        <i/>
        <sz val="12"/>
        <color theme="1"/>
        <rFont val="Times New Roman"/>
        <family val="1"/>
        <charset val="186"/>
      </rPr>
      <t>euro</t>
    </r>
    <r>
      <rPr>
        <sz val="12"/>
        <color theme="1"/>
        <rFont val="Times New Roman"/>
        <family val="1"/>
        <charset val="186"/>
      </rPr>
      <t xml:space="preserve">,  Istabene (381,22 </t>
    </r>
    <r>
      <rPr>
        <i/>
        <sz val="12"/>
        <color theme="1"/>
        <rFont val="Times New Roman"/>
        <family val="1"/>
        <charset val="186"/>
      </rPr>
      <t>euro</t>
    </r>
    <r>
      <rPr>
        <sz val="12"/>
        <color theme="1"/>
        <rFont val="Times New Roman"/>
        <family val="1"/>
        <charset val="186"/>
      </rPr>
      <t xml:space="preserve"> * 5%) = 19,06 </t>
    </r>
    <r>
      <rPr>
        <i/>
        <sz val="12"/>
        <color theme="1"/>
        <rFont val="Times New Roman"/>
        <family val="1"/>
        <charset val="186"/>
      </rPr>
      <t>euro</t>
    </r>
    <r>
      <rPr>
        <sz val="12"/>
        <color theme="1"/>
        <rFont val="Times New Roman"/>
        <family val="1"/>
        <charset val="186"/>
      </rPr>
      <t xml:space="preserve">,  Apkopēja (342,98 </t>
    </r>
    <r>
      <rPr>
        <i/>
        <sz val="12"/>
        <color theme="1"/>
        <rFont val="Times New Roman"/>
        <family val="1"/>
        <charset val="186"/>
      </rPr>
      <t>euro</t>
    </r>
    <r>
      <rPr>
        <sz val="12"/>
        <color theme="1"/>
        <rFont val="Times New Roman"/>
        <family val="1"/>
        <charset val="186"/>
      </rPr>
      <t xml:space="preserve"> * 5%) = 17,15 </t>
    </r>
    <r>
      <rPr>
        <i/>
        <sz val="12"/>
        <color theme="1"/>
        <rFont val="Times New Roman"/>
        <family val="1"/>
        <charset val="186"/>
      </rPr>
      <t>euro</t>
    </r>
    <r>
      <rPr>
        <sz val="12"/>
        <color theme="1"/>
        <rFont val="Times New Roman"/>
        <family val="1"/>
        <charset val="186"/>
      </rPr>
      <t xml:space="preserve">, Sētnieks (183,62 </t>
    </r>
    <r>
      <rPr>
        <i/>
        <sz val="12"/>
        <color theme="1"/>
        <rFont val="Times New Roman"/>
        <family val="1"/>
        <charset val="186"/>
      </rPr>
      <t>euro</t>
    </r>
    <r>
      <rPr>
        <sz val="12"/>
        <color theme="1"/>
        <rFont val="Times New Roman"/>
        <family val="1"/>
        <charset val="186"/>
      </rPr>
      <t xml:space="preserve"> * 5%) = 9,18 </t>
    </r>
    <r>
      <rPr>
        <i/>
        <sz val="12"/>
        <color theme="1"/>
        <rFont val="Times New Roman"/>
        <family val="1"/>
        <charset val="186"/>
      </rPr>
      <t>euro</t>
    </r>
    <r>
      <rPr>
        <sz val="12"/>
        <color theme="1"/>
        <rFont val="Times New Roman"/>
        <family val="1"/>
        <charset val="186"/>
      </rPr>
      <t xml:space="preserve">. Kopā (16,13 </t>
    </r>
    <r>
      <rPr>
        <i/>
        <sz val="12"/>
        <color theme="1"/>
        <rFont val="Times New Roman"/>
        <family val="1"/>
        <charset val="186"/>
      </rPr>
      <t>euro</t>
    </r>
    <r>
      <rPr>
        <sz val="12"/>
        <color theme="1"/>
        <rFont val="Times New Roman"/>
        <family val="1"/>
        <charset val="186"/>
      </rPr>
      <t xml:space="preserve"> + 20,35 </t>
    </r>
    <r>
      <rPr>
        <i/>
        <sz val="12"/>
        <color theme="1"/>
        <rFont val="Times New Roman"/>
        <family val="1"/>
        <charset val="186"/>
      </rPr>
      <t>euro</t>
    </r>
    <r>
      <rPr>
        <sz val="12"/>
        <color theme="1"/>
        <rFont val="Times New Roman"/>
        <family val="1"/>
        <charset val="186"/>
      </rPr>
      <t xml:space="preserve"> + 19,06 </t>
    </r>
    <r>
      <rPr>
        <i/>
        <sz val="12"/>
        <color theme="1"/>
        <rFont val="Times New Roman"/>
        <family val="1"/>
        <charset val="186"/>
      </rPr>
      <t>euro</t>
    </r>
    <r>
      <rPr>
        <sz val="12"/>
        <color theme="1"/>
        <rFont val="Times New Roman"/>
        <family val="1"/>
        <charset val="186"/>
      </rPr>
      <t xml:space="preserve"> + 17,15 </t>
    </r>
    <r>
      <rPr>
        <i/>
        <sz val="12"/>
        <color theme="1"/>
        <rFont val="Times New Roman"/>
        <family val="1"/>
        <charset val="186"/>
      </rPr>
      <t>euro</t>
    </r>
    <r>
      <rPr>
        <sz val="12"/>
        <color theme="1"/>
        <rFont val="Times New Roman"/>
        <family val="1"/>
        <charset val="186"/>
      </rPr>
      <t xml:space="preserve"> + 9,18 </t>
    </r>
    <r>
      <rPr>
        <i/>
        <sz val="12"/>
        <color theme="1"/>
        <rFont val="Times New Roman"/>
        <family val="1"/>
        <charset val="186"/>
      </rPr>
      <t>euro</t>
    </r>
    <r>
      <rPr>
        <sz val="12"/>
        <color theme="1"/>
        <rFont val="Times New Roman"/>
        <family val="1"/>
        <charset val="186"/>
      </rPr>
      <t xml:space="preserve">) = 81,87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</si>
  <si>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424,92 </t>
    </r>
    <r>
      <rPr>
        <i/>
        <sz val="12"/>
        <color theme="1"/>
        <rFont val="Times New Roman"/>
        <family val="1"/>
        <charset val="186"/>
      </rPr>
      <t>euro</t>
    </r>
    <r>
      <rPr>
        <sz val="12"/>
        <color theme="1"/>
        <rFont val="Times New Roman"/>
        <family val="1"/>
        <charset val="186"/>
      </rPr>
      <t xml:space="preserve">. Veselības apdrošināšana 81,88 </t>
    </r>
    <r>
      <rPr>
        <i/>
        <sz val="12"/>
        <color theme="1"/>
        <rFont val="Times New Roman"/>
        <family val="1"/>
        <charset val="186"/>
      </rPr>
      <t>euro</t>
    </r>
    <r>
      <rPr>
        <sz val="12"/>
        <color theme="1"/>
        <rFont val="Times New Roman"/>
        <family val="1"/>
        <charset val="186"/>
      </rPr>
      <t xml:space="preserve">. Kopā 506,79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</si>
  <si>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308,31 </t>
    </r>
    <r>
      <rPr>
        <i/>
        <sz val="12"/>
        <color theme="1"/>
        <rFont val="Times New Roman"/>
        <family val="1"/>
        <charset val="186"/>
      </rPr>
      <t>euro</t>
    </r>
    <r>
      <rPr>
        <sz val="12"/>
        <color theme="1"/>
        <rFont val="Times New Roman"/>
        <family val="1"/>
        <charset val="186"/>
      </rPr>
      <t xml:space="preserve"> * 23,59 % = 72,73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</si>
  <si>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1.24 stundas, (15,03 </t>
    </r>
    <r>
      <rPr>
        <i/>
        <sz val="12"/>
        <color theme="1"/>
        <rFont val="Times New Roman"/>
        <family val="1"/>
        <charset val="186"/>
      </rPr>
      <t>euro</t>
    </r>
    <r>
      <rPr>
        <sz val="12"/>
        <color theme="1"/>
        <rFont val="Times New Roman"/>
        <family val="1"/>
        <charset val="186"/>
      </rPr>
      <t xml:space="preserve"> * 1.24 h) = 18,64 </t>
    </r>
    <r>
      <rPr>
        <i/>
        <sz val="12"/>
        <color theme="1"/>
        <rFont val="Times New Roman"/>
        <family val="1"/>
        <charset val="186"/>
      </rPr>
      <t>euro</t>
    </r>
    <r>
      <rPr>
        <sz val="12"/>
        <color theme="1"/>
        <rFont val="Times New Roman"/>
        <family val="1"/>
        <charset val="186"/>
      </rPr>
      <t xml:space="preserve">/mēn. * 12. mēn. = 223,68 </t>
    </r>
    <r>
      <rPr>
        <i/>
        <sz val="12"/>
        <color theme="1"/>
        <rFont val="Times New Roman"/>
        <family val="1"/>
        <charset val="186"/>
      </rPr>
      <t>euro</t>
    </r>
    <r>
      <rPr>
        <sz val="12"/>
        <color theme="1"/>
        <rFont val="Times New Roman"/>
        <family val="1"/>
        <charset val="186"/>
      </rPr>
      <t xml:space="preserve"> * 0.0553 (iznomātās platības koeficients) = 12,37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</si>
  <si>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0.0553 (iznomātās platības koeficients) = 8,73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</si>
  <si>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0.0553 (iznomātās platības koeficients) = 9,32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</si>
  <si>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0.0553 (iznomātās platības koeficients) = 6,18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</si>
  <si>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t>
    </r>
    <r>
      <rPr>
        <i/>
        <sz val="12"/>
        <color theme="1"/>
        <rFont val="Times New Roman"/>
        <family val="1"/>
        <charset val="186"/>
      </rPr>
      <t>euro</t>
    </r>
    <r>
      <rPr>
        <sz val="12"/>
        <color theme="1"/>
        <rFont val="Times New Roman"/>
        <family val="1"/>
        <charset val="186"/>
      </rPr>
      <t xml:space="preserve">/mēn. * 12. mēn. = 161,52 </t>
    </r>
    <r>
      <rPr>
        <i/>
        <sz val="12"/>
        <color theme="1"/>
        <rFont val="Times New Roman"/>
        <family val="1"/>
        <charset val="186"/>
      </rPr>
      <t>euro</t>
    </r>
    <r>
      <rPr>
        <sz val="12"/>
        <color theme="1"/>
        <rFont val="Times New Roman"/>
        <family val="1"/>
        <charset val="186"/>
      </rPr>
      <t xml:space="preserve"> * 0.0553 (iznomātās platības koeficients) = 8,93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</si>
  <si>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0.0553  (iznomātās platības koeficients) = 50,29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</si>
  <si>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0.0553 (iznomātās platības koeficients) = 51,26 </t>
    </r>
    <r>
      <rPr>
        <i/>
        <sz val="12"/>
        <color theme="1"/>
        <rFont val="Times New Roman"/>
        <family val="1"/>
        <charset val="186"/>
      </rPr>
      <t>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</si>
  <si>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0.0553 (iznomātās platības koeficients) = 65,68 </t>
    </r>
    <r>
      <rPr>
        <i/>
        <sz val="12"/>
        <color theme="1"/>
        <rFont val="Times New Roman"/>
        <family val="1"/>
        <charset val="186"/>
      </rPr>
      <t>euro.</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</si>
  <si>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0.0553 (iznomātās platības koeficients) = 76,23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</si>
  <si>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t>
    </r>
    <r>
      <rPr>
        <i/>
        <sz val="12"/>
        <color theme="1"/>
        <rFont val="Times New Roman"/>
        <family val="1"/>
        <charset val="186"/>
      </rPr>
      <t>euro</t>
    </r>
    <r>
      <rPr>
        <sz val="12"/>
        <color theme="1"/>
        <rFont val="Times New Roman"/>
        <family val="1"/>
        <charset val="186"/>
      </rPr>
      <t xml:space="preserve">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0.0553 (iznomātās platības koeficients) = 19,32 </t>
    </r>
    <r>
      <rPr>
        <i/>
        <sz val="12"/>
        <color theme="1"/>
        <rFont val="Times New Roman"/>
        <family val="1"/>
        <charset val="186"/>
      </rPr>
      <t>euro.</t>
    </r>
  </si>
  <si>
    <r>
      <t xml:space="preserve">Darba devēja valsts sociālās apdrošināšanas obligātās iemaksas (1 074,90 </t>
    </r>
    <r>
      <rPr>
        <i/>
        <sz val="12"/>
        <color theme="1"/>
        <rFont val="Times New Roman"/>
        <family val="1"/>
        <charset val="186"/>
      </rPr>
      <t>euro</t>
    </r>
    <r>
      <rPr>
        <sz val="12"/>
        <color theme="1"/>
        <rFont val="Times New Roman"/>
        <family val="1"/>
        <charset val="186"/>
      </rPr>
      <t xml:space="preserve"> * 23,59 %) = 253,57 </t>
    </r>
    <r>
      <rPr>
        <i/>
        <sz val="12"/>
        <color theme="1"/>
        <rFont val="Times New Roman"/>
        <family val="1"/>
        <charset val="186"/>
      </rPr>
      <t xml:space="preserve">euro. </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</si>
  <si>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0.033 (iznomātās platības koeficients) = 5,21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</si>
  <si>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0.033 (iznomātās platības koeficients) = 30,01 </t>
    </r>
    <r>
      <rPr>
        <i/>
        <sz val="12"/>
        <color theme="1"/>
        <rFont val="Times New Roman"/>
        <family val="1"/>
        <charset val="186"/>
      </rPr>
      <t>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</si>
  <si>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0.033 (iznomātās platības koeficients) = 39,19 </t>
    </r>
    <r>
      <rPr>
        <i/>
        <sz val="12"/>
        <color theme="1"/>
        <rFont val="Times New Roman"/>
        <family val="1"/>
        <charset val="186"/>
      </rPr>
      <t>euro.</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</si>
  <si>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0.033 (iznomātās platības koeficients) = 45,49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</si>
  <si>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t>
    </r>
    <r>
      <rPr>
        <i/>
        <sz val="12"/>
        <color theme="1"/>
        <rFont val="Times New Roman"/>
        <family val="1"/>
        <charset val="186"/>
      </rPr>
      <t>euro</t>
    </r>
    <r>
      <rPr>
        <sz val="12"/>
        <color theme="1"/>
        <rFont val="Times New Roman"/>
        <family val="1"/>
        <charset val="186"/>
      </rPr>
      <t xml:space="preserve">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0.033 (iznomātās platības koeficients) = 11,53 </t>
    </r>
    <r>
      <rPr>
        <i/>
        <sz val="12"/>
        <color theme="1"/>
        <rFont val="Times New Roman"/>
        <family val="1"/>
        <charset val="186"/>
      </rPr>
      <t>euro</t>
    </r>
    <r>
      <rPr>
        <sz val="12"/>
        <color theme="1"/>
        <rFont val="Times New Roman"/>
        <family val="1"/>
        <charset val="186"/>
      </rPr>
      <t>.</t>
    </r>
  </si>
  <si>
    <r>
      <t xml:space="preserve">Izdevumi par apkuri 82 944.32 </t>
    </r>
    <r>
      <rPr>
        <i/>
        <sz val="12"/>
        <color theme="1"/>
        <rFont val="Times New Roman"/>
        <family val="1"/>
        <charset val="186"/>
      </rPr>
      <t>euro</t>
    </r>
    <r>
      <rPr>
        <sz val="12"/>
        <color theme="1"/>
        <rFont val="Times New Roman"/>
        <family val="1"/>
        <charset val="186"/>
      </rPr>
      <t xml:space="preserve"> gadā * 0.033 (iznomātās platības koeficients) = 2 737,16 </t>
    </r>
    <r>
      <rPr>
        <i/>
        <sz val="12"/>
        <color theme="1"/>
        <rFont val="Times New Roman"/>
        <family val="1"/>
        <charset val="186"/>
      </rPr>
      <t>euro.</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</si>
  <si>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0.033 (iznomātās platības koeficients) = 138,72 </t>
    </r>
    <r>
      <rPr>
        <i/>
        <sz val="12"/>
        <color theme="1"/>
        <rFont val="Times New Roman"/>
        <family val="1"/>
        <charset val="186"/>
      </rPr>
      <t>euro.</t>
    </r>
  </si>
  <si>
    <r>
      <t xml:space="preserve">Izdevumi par elektroenerģiju 7 807,39 </t>
    </r>
    <r>
      <rPr>
        <i/>
        <sz val="12"/>
        <color theme="1"/>
        <rFont val="Times New Roman"/>
        <family val="1"/>
        <charset val="186"/>
      </rPr>
      <t>euro</t>
    </r>
    <r>
      <rPr>
        <sz val="12"/>
        <color theme="1"/>
        <rFont val="Times New Roman"/>
        <family val="1"/>
        <charset val="186"/>
      </rPr>
      <t xml:space="preserve"> gadā * 0.033 (iznomātās platības koeficients) = 257,64 </t>
    </r>
    <r>
      <rPr>
        <i/>
        <sz val="12"/>
        <color theme="1"/>
        <rFont val="Times New Roman"/>
        <family val="1"/>
        <charset val="186"/>
      </rPr>
      <t>euro</t>
    </r>
    <r>
      <rPr>
        <sz val="12"/>
        <color theme="1"/>
        <rFont val="Times New Roman"/>
        <family val="1"/>
        <charset val="186"/>
      </rPr>
      <t>.</t>
    </r>
  </si>
  <si>
    <r>
      <t xml:space="preserve">Izdevumi par atkritumu izvešanu 275,91 </t>
    </r>
    <r>
      <rPr>
        <i/>
        <sz val="12"/>
        <color theme="1"/>
        <rFont val="Times New Roman"/>
        <family val="1"/>
        <charset val="186"/>
      </rPr>
      <t>euro</t>
    </r>
    <r>
      <rPr>
        <sz val="12"/>
        <color theme="1"/>
        <rFont val="Times New Roman"/>
        <family val="1"/>
        <charset val="186"/>
      </rPr>
      <t xml:space="preserve"> gadā * 0.033 (iznomātās platības koeficients) =  9,11 </t>
    </r>
    <r>
      <rPr>
        <i/>
        <sz val="12"/>
        <color theme="1"/>
        <rFont val="Times New Roman"/>
        <family val="1"/>
        <charset val="186"/>
      </rPr>
      <t>euro</t>
    </r>
    <r>
      <rPr>
        <sz val="12"/>
        <color theme="1"/>
        <rFont val="Times New Roman"/>
        <family val="1"/>
        <charset val="186"/>
      </rPr>
      <t>.</t>
    </r>
  </si>
  <si>
    <r>
      <t xml:space="preserve">Kārtējā remonta izdevumi 1 875,92 </t>
    </r>
    <r>
      <rPr>
        <i/>
        <sz val="12"/>
        <color theme="1"/>
        <rFont val="Times New Roman"/>
        <family val="1"/>
        <charset val="186"/>
      </rPr>
      <t>euro</t>
    </r>
    <r>
      <rPr>
        <sz val="12"/>
        <color theme="1"/>
        <rFont val="Times New Roman"/>
        <family val="1"/>
        <charset val="186"/>
      </rPr>
      <t xml:space="preserve"> gadā * 0.033 (iznomātās platības koeficients) = 61,91 </t>
    </r>
    <r>
      <rPr>
        <i/>
        <sz val="12"/>
        <color theme="1"/>
        <rFont val="Times New Roman"/>
        <family val="1"/>
        <charset val="186"/>
      </rPr>
      <t>euro .</t>
    </r>
  </si>
  <si>
    <r>
      <t xml:space="preserve">Izdevumi par atļauju izmantot autoru darbus  57,00 </t>
    </r>
    <r>
      <rPr>
        <i/>
        <sz val="12"/>
        <color theme="1"/>
        <rFont val="Times New Roman"/>
        <family val="1"/>
        <charset val="186"/>
      </rPr>
      <t>euro</t>
    </r>
    <r>
      <rPr>
        <sz val="12"/>
        <color theme="1"/>
        <rFont val="Times New Roman"/>
        <family val="1"/>
        <charset val="186"/>
      </rPr>
      <t xml:space="preserve"> gadā * 0.033 (iznomātās platības koeficients) = 1,88 </t>
    </r>
    <r>
      <rPr>
        <i/>
        <sz val="12"/>
        <color theme="1"/>
        <rFont val="Times New Roman"/>
        <family val="1"/>
        <charset val="186"/>
      </rPr>
      <t>euro</t>
    </r>
    <r>
      <rPr>
        <sz val="12"/>
        <color theme="1"/>
        <rFont val="Times New Roman"/>
        <family val="1"/>
        <charset val="186"/>
      </rPr>
      <t>.</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</si>
  <si>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0.033 (iznomātās platības koeficients) = 4,92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</si>
  <si>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956,50 </t>
    </r>
    <r>
      <rPr>
        <i/>
        <sz val="12"/>
        <color theme="1"/>
        <rFont val="Times New Roman"/>
        <family val="1"/>
        <charset val="186"/>
      </rPr>
      <t>euro</t>
    </r>
    <r>
      <rPr>
        <sz val="12"/>
        <color theme="1"/>
        <rFont val="Times New Roman"/>
        <family val="1"/>
        <charset val="186"/>
      </rPr>
      <t xml:space="preserve"> gadā * 0.033 (iznomātās platības koeficients) = 31,56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</si>
  <si>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0.033 (iznomātās platības koeficients) = 111,49 </t>
    </r>
    <r>
      <rPr>
        <i/>
        <sz val="12"/>
        <color theme="1"/>
        <rFont val="Times New Roman"/>
        <family val="1"/>
        <charset val="186"/>
      </rPr>
      <t>euro</t>
    </r>
    <r>
      <rPr>
        <sz val="12"/>
        <color theme="1"/>
        <rFont val="Times New Roman"/>
        <family val="1"/>
        <charset val="186"/>
      </rPr>
      <t>.</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</si>
  <si>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0.033 (iznomātās platības koeficients) = 122,30 </t>
    </r>
    <r>
      <rPr>
        <i/>
        <sz val="12"/>
        <color theme="1"/>
        <rFont val="Times New Roman"/>
        <family val="1"/>
        <charset val="186"/>
      </rPr>
      <t>euro</t>
    </r>
    <r>
      <rPr>
        <sz val="12"/>
        <color theme="1"/>
        <rFont val="Times New Roman"/>
        <family val="1"/>
        <charset val="186"/>
      </rPr>
      <t>.</t>
    </r>
  </si>
  <si>
    <r>
      <t xml:space="preserve">Inventāra iegādes izdevumi 856,97 </t>
    </r>
    <r>
      <rPr>
        <i/>
        <sz val="12"/>
        <color theme="1"/>
        <rFont val="Times New Roman"/>
        <family val="1"/>
        <charset val="186"/>
      </rPr>
      <t>euro</t>
    </r>
    <r>
      <rPr>
        <sz val="12"/>
        <color theme="1"/>
        <rFont val="Times New Roman"/>
        <family val="1"/>
        <charset val="186"/>
      </rPr>
      <t xml:space="preserve"> gadā * 0.033 (iznomātās platības koeficients) = 28,28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</si>
  <si>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1 711,80 </t>
    </r>
    <r>
      <rPr>
        <i/>
        <sz val="12"/>
        <color theme="1"/>
        <rFont val="Times New Roman"/>
        <family val="1"/>
        <charset val="186"/>
      </rPr>
      <t>euro</t>
    </r>
    <r>
      <rPr>
        <sz val="12"/>
        <color theme="1"/>
        <rFont val="Times New Roman"/>
        <family val="1"/>
        <charset val="186"/>
      </rPr>
      <t xml:space="preserve"> gadā * 0.033 (iznomātās platības koeficients) = 56,49 </t>
    </r>
    <r>
      <rPr>
        <i/>
        <sz val="12"/>
        <color theme="1"/>
        <rFont val="Times New Roman"/>
        <family val="1"/>
        <charset val="186"/>
      </rPr>
      <t>euro</t>
    </r>
    <r>
      <rPr>
        <sz val="12"/>
        <color theme="1"/>
        <rFont val="Times New Roman"/>
        <family val="1"/>
        <charset val="186"/>
      </rPr>
      <t>.</t>
    </r>
  </si>
  <si>
    <r>
      <t xml:space="preserve">Nekustamā īpašuma nodoklis 8 084,39 </t>
    </r>
    <r>
      <rPr>
        <i/>
        <sz val="12"/>
        <color theme="1"/>
        <rFont val="Times New Roman"/>
        <family val="1"/>
        <charset val="186"/>
      </rPr>
      <t>euro</t>
    </r>
    <r>
      <rPr>
        <sz val="12"/>
        <color theme="1"/>
        <rFont val="Times New Roman"/>
        <family val="1"/>
        <charset val="186"/>
      </rPr>
      <t xml:space="preserve"> gadā * 0.033 (iznomātās platības koeficients) = 266,78 </t>
    </r>
    <r>
      <rPr>
        <i/>
        <sz val="12"/>
        <color theme="1"/>
        <rFont val="Times New Roman"/>
        <family val="1"/>
        <charset val="186"/>
      </rPr>
      <t>euro</t>
    </r>
    <r>
      <rPr>
        <sz val="12"/>
        <color theme="1"/>
        <rFont val="Times New Roman"/>
        <family val="1"/>
        <charset val="186"/>
      </rPr>
      <t>.</t>
    </r>
  </si>
  <si>
    <r>
      <t xml:space="preserve">Dabas resursu nodoklis 1 920,89 </t>
    </r>
    <r>
      <rPr>
        <i/>
        <sz val="12"/>
        <color theme="1"/>
        <rFont val="Times New Roman"/>
        <family val="1"/>
        <charset val="186"/>
      </rPr>
      <t>euro</t>
    </r>
    <r>
      <rPr>
        <sz val="12"/>
        <color theme="1"/>
        <rFont val="Times New Roman"/>
        <family val="1"/>
        <charset val="186"/>
      </rPr>
      <t xml:space="preserve"> gadā * 0.033 (iznomātās platības koeficients) = 63,39 </t>
    </r>
    <r>
      <rPr>
        <i/>
        <sz val="12"/>
        <color theme="1"/>
        <rFont val="Times New Roman"/>
        <family val="1"/>
        <charset val="186"/>
      </rPr>
      <t>euro</t>
    </r>
    <r>
      <rPr>
        <sz val="12"/>
        <color theme="1"/>
        <rFont val="Times New Roman"/>
        <family val="1"/>
        <charset val="186"/>
      </rPr>
      <t>.</t>
    </r>
  </si>
  <si>
    <r>
      <t xml:space="preserve">Pamatlīdzekļu amortizācija 251,64 </t>
    </r>
    <r>
      <rPr>
        <i/>
        <sz val="12"/>
        <color theme="1"/>
        <rFont val="Times New Roman"/>
        <family val="1"/>
        <charset val="186"/>
      </rPr>
      <t>euro</t>
    </r>
    <r>
      <rPr>
        <sz val="12"/>
        <color theme="1"/>
        <rFont val="Times New Roman"/>
        <family val="1"/>
        <charset val="186"/>
      </rPr>
      <t xml:space="preserve"> gadā * 0.033 (pakalpojuma īpatsvars kopējos ēkā sniegtajos maksas pakalpojumos) = 8,30 </t>
    </r>
    <r>
      <rPr>
        <i/>
        <sz val="12"/>
        <color theme="1"/>
        <rFont val="Times New Roman"/>
        <family val="1"/>
        <charset val="186"/>
      </rPr>
      <t>euro</t>
    </r>
    <r>
      <rPr>
        <sz val="12"/>
        <color theme="1"/>
        <rFont val="Times New Roman"/>
        <family val="1"/>
        <charset val="186"/>
      </rPr>
      <t>.</t>
    </r>
  </si>
  <si>
    <r>
      <t xml:space="preserve">Pamatlīdzekļu amortizācija 1 134,21 </t>
    </r>
    <r>
      <rPr>
        <i/>
        <sz val="12"/>
        <color theme="1"/>
        <rFont val="Times New Roman"/>
        <family val="1"/>
        <charset val="186"/>
      </rPr>
      <t>euro</t>
    </r>
    <r>
      <rPr>
        <sz val="12"/>
        <color theme="1"/>
        <rFont val="Times New Roman"/>
        <family val="1"/>
        <charset val="186"/>
      </rPr>
      <t xml:space="preserve"> gadā * 0.033 (pakalpojuma īpatsvars kopējos ēkā sniegtajos maksas pakalpojumos) = 37,43 </t>
    </r>
    <r>
      <rPr>
        <i/>
        <sz val="12"/>
        <color theme="1"/>
        <rFont val="Times New Roman"/>
        <family val="1"/>
        <charset val="186"/>
      </rPr>
      <t>euro.</t>
    </r>
  </si>
  <si>
    <r>
      <t xml:space="preserve">Pamatlīdzekļu amortizācija 2 748,15 </t>
    </r>
    <r>
      <rPr>
        <i/>
        <sz val="12"/>
        <color theme="1"/>
        <rFont val="Times New Roman"/>
        <family val="1"/>
        <charset val="186"/>
      </rPr>
      <t>euro</t>
    </r>
    <r>
      <rPr>
        <sz val="12"/>
        <color theme="1"/>
        <rFont val="Times New Roman"/>
        <family val="1"/>
        <charset val="186"/>
      </rPr>
      <t xml:space="preserve"> gadā * 0.033 (pakalpojuma īpatsvars kopējos ēkā sniegtajos maksas pakalpojumos) = 90,69 </t>
    </r>
    <r>
      <rPr>
        <i/>
        <sz val="12"/>
        <color theme="1"/>
        <rFont val="Times New Roman"/>
        <family val="1"/>
        <charset val="186"/>
      </rPr>
      <t>euro.</t>
    </r>
  </si>
  <si>
    <r>
      <t xml:space="preserve">Ēku amortizācija 3 809,72 </t>
    </r>
    <r>
      <rPr>
        <i/>
        <sz val="12"/>
        <color theme="1"/>
        <rFont val="Times New Roman"/>
        <family val="1"/>
        <charset val="186"/>
      </rPr>
      <t>euro</t>
    </r>
    <r>
      <rPr>
        <sz val="12"/>
        <color theme="1"/>
        <rFont val="Times New Roman"/>
        <family val="1"/>
        <charset val="186"/>
      </rPr>
      <t xml:space="preserve"> gadā * 0.051 (iznomātās platības koeficients) = 194,30 </t>
    </r>
    <r>
      <rPr>
        <i/>
        <sz val="12"/>
        <color theme="1"/>
        <rFont val="Times New Roman"/>
        <family val="1"/>
        <charset val="186"/>
      </rPr>
      <t>euro</t>
    </r>
    <r>
      <rPr>
        <sz val="12"/>
        <color theme="1"/>
        <rFont val="Times New Roman"/>
        <family val="1"/>
        <charset val="186"/>
      </rPr>
      <t>.</t>
    </r>
  </si>
  <si>
    <r>
      <t xml:space="preserve">Ēku amortizācija 3 809,72 </t>
    </r>
    <r>
      <rPr>
        <i/>
        <sz val="12"/>
        <color theme="1"/>
        <rFont val="Times New Roman"/>
        <family val="1"/>
        <charset val="186"/>
      </rPr>
      <t>euro</t>
    </r>
    <r>
      <rPr>
        <sz val="12"/>
        <color theme="1"/>
        <rFont val="Times New Roman"/>
        <family val="1"/>
        <charset val="186"/>
      </rPr>
      <t xml:space="preserve"> gadā * 0.0263 (iznomātās platības koeficients) = 100,20 </t>
    </r>
    <r>
      <rPr>
        <i/>
        <sz val="12"/>
        <color theme="1"/>
        <rFont val="Times New Roman"/>
        <family val="1"/>
        <charset val="186"/>
      </rPr>
      <t>euro</t>
    </r>
    <r>
      <rPr>
        <sz val="12"/>
        <color theme="1"/>
        <rFont val="Times New Roman"/>
        <family val="1"/>
        <charset val="186"/>
      </rPr>
      <t>.</t>
    </r>
  </si>
  <si>
    <r>
      <t xml:space="preserve">Ēku amortizācija 3 809,72 </t>
    </r>
    <r>
      <rPr>
        <i/>
        <sz val="12"/>
        <color theme="1"/>
        <rFont val="Times New Roman"/>
        <family val="1"/>
        <charset val="186"/>
      </rPr>
      <t>euro</t>
    </r>
    <r>
      <rPr>
        <sz val="12"/>
        <color theme="1"/>
        <rFont val="Times New Roman"/>
        <family val="1"/>
        <charset val="186"/>
      </rPr>
      <t xml:space="preserve"> gadā * 0.3646 (iznomātās platības koeficients) = 1 389,02 </t>
    </r>
    <r>
      <rPr>
        <i/>
        <sz val="12"/>
        <color theme="1"/>
        <rFont val="Times New Roman"/>
        <family val="1"/>
        <charset val="186"/>
      </rPr>
      <t>euro.</t>
    </r>
  </si>
  <si>
    <r>
      <t xml:space="preserve">Ēku amortizācija 3 809,72 </t>
    </r>
    <r>
      <rPr>
        <i/>
        <sz val="12"/>
        <color theme="1"/>
        <rFont val="Times New Roman"/>
        <family val="1"/>
        <charset val="186"/>
      </rPr>
      <t>euro</t>
    </r>
    <r>
      <rPr>
        <sz val="12"/>
        <color theme="1"/>
        <rFont val="Times New Roman"/>
        <family val="1"/>
        <charset val="186"/>
      </rPr>
      <t xml:space="preserve"> gadā * 0.0553 (iznomātās platības koeficients) = 210,68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</si>
  <si>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0.033 (iznomātās platības koeficients) = 5,56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</si>
  <si>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0.033 (iznomātās platības koeficients) = 3,69 </t>
    </r>
    <r>
      <rPr>
        <i/>
        <sz val="12"/>
        <color theme="1"/>
        <rFont val="Times New Roman"/>
        <family val="1"/>
        <charset val="186"/>
      </rPr>
      <t>euro.</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</si>
  <si>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t>
    </r>
    <r>
      <rPr>
        <i/>
        <sz val="12"/>
        <color theme="1"/>
        <rFont val="Times New Roman"/>
        <family val="1"/>
        <charset val="186"/>
      </rPr>
      <t>euro</t>
    </r>
    <r>
      <rPr>
        <sz val="12"/>
        <color theme="1"/>
        <rFont val="Times New Roman"/>
        <family val="1"/>
        <charset val="186"/>
      </rPr>
      <t xml:space="preserve">/mēn. * 12. mēn. = 161,52 </t>
    </r>
    <r>
      <rPr>
        <i/>
        <sz val="12"/>
        <color theme="1"/>
        <rFont val="Times New Roman"/>
        <family val="1"/>
        <charset val="186"/>
      </rPr>
      <t>euro</t>
    </r>
    <r>
      <rPr>
        <sz val="12"/>
        <color theme="1"/>
        <rFont val="Times New Roman"/>
        <family val="1"/>
        <charset val="186"/>
      </rPr>
      <t xml:space="preserve"> * 0.033 (iznomātās platības koeficients) = 5,33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</si>
  <si>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1.24 stundas, (15,03 </t>
    </r>
    <r>
      <rPr>
        <i/>
        <sz val="12"/>
        <color theme="1"/>
        <rFont val="Times New Roman"/>
        <family val="1"/>
        <charset val="186"/>
      </rPr>
      <t>euro</t>
    </r>
    <r>
      <rPr>
        <sz val="12"/>
        <color theme="1"/>
        <rFont val="Times New Roman"/>
        <family val="1"/>
        <charset val="186"/>
      </rPr>
      <t xml:space="preserve"> * 1.24 h) = 18,64 </t>
    </r>
    <r>
      <rPr>
        <i/>
        <sz val="12"/>
        <color theme="1"/>
        <rFont val="Times New Roman"/>
        <family val="1"/>
        <charset val="186"/>
      </rPr>
      <t>euro</t>
    </r>
    <r>
      <rPr>
        <sz val="12"/>
        <color theme="1"/>
        <rFont val="Times New Roman"/>
        <family val="1"/>
        <charset val="186"/>
      </rPr>
      <t xml:space="preserve">/mēn. * 12. mēn. = 223,68 </t>
    </r>
    <r>
      <rPr>
        <i/>
        <sz val="12"/>
        <color theme="1"/>
        <rFont val="Times New Roman"/>
        <family val="1"/>
        <charset val="186"/>
      </rPr>
      <t>euro</t>
    </r>
    <r>
      <rPr>
        <sz val="12"/>
        <color theme="1"/>
        <rFont val="Times New Roman"/>
        <family val="1"/>
        <charset val="186"/>
      </rPr>
      <t xml:space="preserve"> * 0.033 (iznomātās platības koeficients) = 7,38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</si>
  <si>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0.033 (iznomātās platības koeficients) = 30,59 </t>
    </r>
    <r>
      <rPr>
        <i/>
        <sz val="12"/>
        <color theme="1"/>
        <rFont val="Times New Roman"/>
        <family val="1"/>
        <charset val="186"/>
      </rPr>
      <t>euro.</t>
    </r>
  </si>
  <si>
    <r>
      <t xml:space="preserve">Darba devēja valsts sociālās apdrošināšanas obligātās iemaksas 126,02 </t>
    </r>
    <r>
      <rPr>
        <i/>
        <sz val="12"/>
        <color theme="1"/>
        <rFont val="Times New Roman"/>
        <family val="1"/>
        <charset val="186"/>
      </rPr>
      <t>euro</t>
    </r>
    <r>
      <rPr>
        <sz val="12"/>
        <color theme="1"/>
        <rFont val="Times New Roman"/>
        <family val="1"/>
        <charset val="186"/>
      </rPr>
      <t xml:space="preserve">. Veselības apdrošināšana 24,28 </t>
    </r>
    <r>
      <rPr>
        <i/>
        <sz val="12"/>
        <color theme="1"/>
        <rFont val="Times New Roman"/>
        <family val="1"/>
        <charset val="186"/>
      </rPr>
      <t>euro</t>
    </r>
    <r>
      <rPr>
        <sz val="12"/>
        <color theme="1"/>
        <rFont val="Times New Roman"/>
        <family val="1"/>
        <charset val="186"/>
      </rPr>
      <t xml:space="preserve">. Kopā 150,30 </t>
    </r>
    <r>
      <rPr>
        <i/>
        <sz val="12"/>
        <color theme="1"/>
        <rFont val="Times New Roman"/>
        <family val="1"/>
        <charset val="186"/>
      </rPr>
      <t>euro</t>
    </r>
    <r>
      <rPr>
        <sz val="12"/>
        <color theme="1"/>
        <rFont val="Times New Roman"/>
        <family val="1"/>
        <charset val="186"/>
      </rPr>
      <t>.</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</si>
  <si>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euro/mēn.</t>
    </r>
    <r>
      <rPr>
        <sz val="12"/>
        <color theme="1"/>
        <rFont val="Times New Roman"/>
        <family val="1"/>
        <charset val="186"/>
      </rPr>
      <t xml:space="preserve"> * 12 mēn. = 7 361,04 </t>
    </r>
    <r>
      <rPr>
        <i/>
        <sz val="12"/>
        <color theme="1"/>
        <rFont val="Times New Roman"/>
        <family val="1"/>
        <charset val="186"/>
      </rPr>
      <t>euro</t>
    </r>
    <r>
      <rPr>
        <sz val="12"/>
        <color theme="1"/>
        <rFont val="Times New Roman"/>
        <family val="1"/>
        <charset val="186"/>
      </rPr>
      <t xml:space="preserve"> * 0.0553 (iznomātās platības koeficients) = 407,07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</si>
  <si>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euro/mēn.</t>
    </r>
    <r>
      <rPr>
        <sz val="12"/>
        <color theme="1"/>
        <rFont val="Times New Roman"/>
        <family val="1"/>
        <charset val="186"/>
      </rPr>
      <t xml:space="preserve"> * 12 mēn. = 6 893,76 </t>
    </r>
    <r>
      <rPr>
        <i/>
        <sz val="12"/>
        <color theme="1"/>
        <rFont val="Times New Roman"/>
        <family val="1"/>
        <charset val="186"/>
      </rPr>
      <t>euro</t>
    </r>
    <r>
      <rPr>
        <sz val="12"/>
        <color theme="1"/>
        <rFont val="Times New Roman"/>
        <family val="1"/>
        <charset val="186"/>
      </rPr>
      <t xml:space="preserve"> * 0.0553 (iznomātās platības koeficients) = 381,22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</si>
  <si>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euro/mēn.</t>
    </r>
    <r>
      <rPr>
        <sz val="12"/>
        <color theme="1"/>
        <rFont val="Times New Roman"/>
        <family val="1"/>
        <charset val="186"/>
      </rPr>
      <t xml:space="preserve"> * 12 mēn. = 7 361,04 </t>
    </r>
    <r>
      <rPr>
        <i/>
        <sz val="12"/>
        <color theme="1"/>
        <rFont val="Times New Roman"/>
        <family val="1"/>
        <charset val="186"/>
      </rPr>
      <t>euro</t>
    </r>
    <r>
      <rPr>
        <sz val="12"/>
        <color theme="1"/>
        <rFont val="Times New Roman"/>
        <family val="1"/>
        <charset val="186"/>
      </rPr>
      <t xml:space="preserve"> * 0.0085 (iznomātās platības koeficients) = 62,57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</si>
  <si>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euro/mēn.</t>
    </r>
    <r>
      <rPr>
        <sz val="12"/>
        <color theme="1"/>
        <rFont val="Times New Roman"/>
        <family val="1"/>
        <charset val="186"/>
      </rPr>
      <t xml:space="preserve"> * 12 mēn. = 6 893,76 </t>
    </r>
    <r>
      <rPr>
        <i/>
        <sz val="12"/>
        <color theme="1"/>
        <rFont val="Times New Roman"/>
        <family val="1"/>
        <charset val="186"/>
      </rPr>
      <t>euro</t>
    </r>
    <r>
      <rPr>
        <sz val="12"/>
        <color theme="1"/>
        <rFont val="Times New Roman"/>
        <family val="1"/>
        <charset val="186"/>
      </rPr>
      <t xml:space="preserve"> * 0.0085 (iznomātās platības koeficients) = 58,60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</si>
  <si>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euro/mēn.</t>
    </r>
    <r>
      <rPr>
        <sz val="12"/>
        <color theme="1"/>
        <rFont val="Times New Roman"/>
        <family val="1"/>
        <charset val="186"/>
      </rPr>
      <t xml:space="preserve"> * 12 mēn. = 7 361,04 </t>
    </r>
    <r>
      <rPr>
        <i/>
        <sz val="12"/>
        <color theme="1"/>
        <rFont val="Times New Roman"/>
        <family val="1"/>
        <charset val="186"/>
      </rPr>
      <t>euro</t>
    </r>
    <r>
      <rPr>
        <sz val="12"/>
        <color theme="1"/>
        <rFont val="Times New Roman"/>
        <family val="1"/>
        <charset val="186"/>
      </rPr>
      <t xml:space="preserve"> * 0.051 (iznomātās platības koeficients)  = 375,41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</si>
  <si>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euro/mēn.</t>
    </r>
    <r>
      <rPr>
        <sz val="12"/>
        <color theme="1"/>
        <rFont val="Times New Roman"/>
        <family val="1"/>
        <charset val="186"/>
      </rPr>
      <t xml:space="preserve"> * 12 mēn. = 6 893,76 </t>
    </r>
    <r>
      <rPr>
        <i/>
        <sz val="12"/>
        <color theme="1"/>
        <rFont val="Times New Roman"/>
        <family val="1"/>
        <charset val="186"/>
      </rPr>
      <t>euro</t>
    </r>
    <r>
      <rPr>
        <sz val="12"/>
        <color theme="1"/>
        <rFont val="Times New Roman"/>
        <family val="1"/>
        <charset val="186"/>
      </rPr>
      <t xml:space="preserve"> * 0.051 (iznomātās platības koeficients) = 351,58 </t>
    </r>
    <r>
      <rPr>
        <i/>
        <sz val="12"/>
        <color theme="1"/>
        <rFont val="Times New Roman"/>
        <family val="1"/>
        <charset val="186"/>
      </rPr>
      <t>euro</t>
    </r>
    <r>
      <rPr>
        <sz val="12"/>
        <color theme="1"/>
        <rFont val="Times New Roman"/>
        <family val="1"/>
        <charset val="186"/>
      </rPr>
      <t xml:space="preserve">. </t>
    </r>
  </si>
  <si>
    <r>
      <rPr>
        <b/>
        <i/>
        <sz val="12"/>
        <color theme="1"/>
        <rFont val="Times New Roman"/>
        <family val="1"/>
        <charset val="186"/>
      </rPr>
      <t>euro</t>
    </r>
    <r>
      <rPr>
        <b/>
        <sz val="12"/>
        <color theme="1"/>
        <rFont val="Times New Roman"/>
        <family val="1"/>
        <charset val="186"/>
      </rPr>
      <t>, diennaktī par istabu</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</si>
  <si>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0.0164 (iznomātās platības koeficients) = 2,45 </t>
    </r>
    <r>
      <rPr>
        <i/>
        <sz val="12"/>
        <color theme="1"/>
        <rFont val="Times New Roman"/>
        <family val="1"/>
        <charset val="186"/>
      </rPr>
      <t>euro</t>
    </r>
    <r>
      <rPr>
        <sz val="12"/>
        <color theme="1"/>
        <rFont val="Times New Roman"/>
        <family val="1"/>
        <charset val="186"/>
      </rPr>
      <t>.</t>
    </r>
  </si>
  <si>
    <r>
      <t xml:space="preserve">Izdevumi par atļauju izmantot autoru darbus 57,00 </t>
    </r>
    <r>
      <rPr>
        <i/>
        <sz val="12"/>
        <color theme="1"/>
        <rFont val="Times New Roman"/>
        <family val="1"/>
        <charset val="186"/>
      </rPr>
      <t>euro</t>
    </r>
    <r>
      <rPr>
        <sz val="12"/>
        <color theme="1"/>
        <rFont val="Times New Roman"/>
        <family val="1"/>
        <charset val="186"/>
      </rPr>
      <t xml:space="preserve"> gadā * 0.0164 (iznomātās platības koeficients) = 0,93 </t>
    </r>
    <r>
      <rPr>
        <i/>
        <sz val="12"/>
        <color theme="1"/>
        <rFont val="Times New Roman"/>
        <family val="1"/>
        <charset val="186"/>
      </rPr>
      <t>euro</t>
    </r>
    <r>
      <rPr>
        <sz val="12"/>
        <color theme="1"/>
        <rFont val="Times New Roman"/>
        <family val="1"/>
        <charset val="186"/>
      </rPr>
      <t>.</t>
    </r>
  </si>
  <si>
    <r>
      <t xml:space="preserve">Kārtējā remonta izdevumi 1 875,92 </t>
    </r>
    <r>
      <rPr>
        <i/>
        <sz val="12"/>
        <color theme="1"/>
        <rFont val="Times New Roman"/>
        <family val="1"/>
        <charset val="186"/>
      </rPr>
      <t>euro</t>
    </r>
    <r>
      <rPr>
        <sz val="12"/>
        <color theme="1"/>
        <rFont val="Times New Roman"/>
        <family val="1"/>
        <charset val="186"/>
      </rPr>
      <t xml:space="preserve"> gadā * 0.0164 (iznomātās platības koeficients) = 30,77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</si>
  <si>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956,50 </t>
    </r>
    <r>
      <rPr>
        <i/>
        <sz val="12"/>
        <color theme="1"/>
        <rFont val="Times New Roman"/>
        <family val="1"/>
        <charset val="186"/>
      </rPr>
      <t>euro</t>
    </r>
    <r>
      <rPr>
        <sz val="12"/>
        <color theme="1"/>
        <rFont val="Times New Roman"/>
        <family val="1"/>
        <charset val="186"/>
      </rPr>
      <t xml:space="preserve"> gadā * 0.0164 (iznomātās platības koeficients) = 15,69 </t>
    </r>
    <r>
      <rPr>
        <i/>
        <sz val="12"/>
        <color theme="1"/>
        <rFont val="Times New Roman"/>
        <family val="1"/>
        <charset val="186"/>
      </rPr>
      <t>euro</t>
    </r>
    <r>
      <rPr>
        <sz val="12"/>
        <color theme="1"/>
        <rFont val="Times New Roman"/>
        <family val="1"/>
        <charset val="186"/>
      </rPr>
      <t>.</t>
    </r>
  </si>
  <si>
    <t>Pamatlīdzekļu amortizācija 2 748,15 euro gadā * 0.0164 (iznomātās platības koeficients) = 45,07 euro</t>
  </si>
  <si>
    <r>
      <t xml:space="preserve">Galv. nekust. īpaš. pārvaldnieks (420,08 </t>
    </r>
    <r>
      <rPr>
        <i/>
        <sz val="12"/>
        <color theme="1"/>
        <rFont val="Times New Roman"/>
        <family val="1"/>
        <charset val="186"/>
      </rPr>
      <t>euro</t>
    </r>
    <r>
      <rPr>
        <sz val="12"/>
        <color theme="1"/>
        <rFont val="Times New Roman"/>
        <family val="1"/>
        <charset val="186"/>
      </rPr>
      <t xml:space="preserve"> * 5%) = 21,00 </t>
    </r>
    <r>
      <rPr>
        <i/>
        <sz val="12"/>
        <color theme="1"/>
        <rFont val="Times New Roman"/>
        <family val="1"/>
        <charset val="186"/>
      </rPr>
      <t>euro</t>
    </r>
    <r>
      <rPr>
        <sz val="12"/>
        <color theme="1"/>
        <rFont val="Times New Roman"/>
        <family val="1"/>
        <charset val="186"/>
      </rPr>
      <t xml:space="preserve">, Saimniecības pārzinis (529,99 </t>
    </r>
    <r>
      <rPr>
        <i/>
        <sz val="12"/>
        <color theme="1"/>
        <rFont val="Times New Roman"/>
        <family val="1"/>
        <charset val="186"/>
      </rPr>
      <t>euro</t>
    </r>
    <r>
      <rPr>
        <sz val="12"/>
        <color theme="1"/>
        <rFont val="Times New Roman"/>
        <family val="1"/>
        <charset val="186"/>
      </rPr>
      <t xml:space="preserve"> * 5%) = 26,50 </t>
    </r>
    <r>
      <rPr>
        <i/>
        <sz val="12"/>
        <color theme="1"/>
        <rFont val="Times New Roman"/>
        <family val="1"/>
        <charset val="186"/>
      </rPr>
      <t>euro</t>
    </r>
    <r>
      <rPr>
        <sz val="12"/>
        <color theme="1"/>
        <rFont val="Times New Roman"/>
        <family val="1"/>
        <charset val="186"/>
      </rPr>
      <t xml:space="preserve">,  Istabene (496,35 </t>
    </r>
    <r>
      <rPr>
        <i/>
        <sz val="12"/>
        <color theme="1"/>
        <rFont val="Times New Roman"/>
        <family val="1"/>
        <charset val="186"/>
      </rPr>
      <t>euro</t>
    </r>
    <r>
      <rPr>
        <sz val="12"/>
        <color theme="1"/>
        <rFont val="Times New Roman"/>
        <family val="1"/>
        <charset val="186"/>
      </rPr>
      <t xml:space="preserve"> * 5%) = 24,82 </t>
    </r>
    <r>
      <rPr>
        <i/>
        <sz val="12"/>
        <color theme="1"/>
        <rFont val="Times New Roman"/>
        <family val="1"/>
        <charset val="186"/>
      </rPr>
      <t>euro</t>
    </r>
    <r>
      <rPr>
        <sz val="12"/>
        <color theme="1"/>
        <rFont val="Times New Roman"/>
        <family val="1"/>
        <charset val="186"/>
      </rPr>
      <t xml:space="preserve">,  Apkopēja (446,56 </t>
    </r>
    <r>
      <rPr>
        <i/>
        <sz val="12"/>
        <color theme="1"/>
        <rFont val="Times New Roman"/>
        <family val="1"/>
        <charset val="186"/>
      </rPr>
      <t>euro</t>
    </r>
    <r>
      <rPr>
        <sz val="12"/>
        <color theme="1"/>
        <rFont val="Times New Roman"/>
        <family val="1"/>
        <charset val="186"/>
      </rPr>
      <t xml:space="preserve"> * 5%) = 22,33 </t>
    </r>
    <r>
      <rPr>
        <i/>
        <sz val="12"/>
        <color theme="1"/>
        <rFont val="Times New Roman"/>
        <family val="1"/>
        <charset val="186"/>
      </rPr>
      <t>euro</t>
    </r>
    <r>
      <rPr>
        <sz val="12"/>
        <color theme="1"/>
        <rFont val="Times New Roman"/>
        <family val="1"/>
        <charset val="186"/>
      </rPr>
      <t xml:space="preserve">, Sētnieks (239,07 </t>
    </r>
    <r>
      <rPr>
        <i/>
        <sz val="12"/>
        <color theme="1"/>
        <rFont val="Times New Roman"/>
        <family val="1"/>
        <charset val="186"/>
      </rPr>
      <t>euro</t>
    </r>
    <r>
      <rPr>
        <sz val="12"/>
        <color theme="1"/>
        <rFont val="Times New Roman"/>
        <family val="1"/>
        <charset val="186"/>
      </rPr>
      <t xml:space="preserve"> * 5%) = 11,95 </t>
    </r>
    <r>
      <rPr>
        <i/>
        <sz val="12"/>
        <color theme="1"/>
        <rFont val="Times New Roman"/>
        <family val="1"/>
        <charset val="186"/>
      </rPr>
      <t>euro</t>
    </r>
    <r>
      <rPr>
        <sz val="12"/>
        <color theme="1"/>
        <rFont val="Times New Roman"/>
        <family val="1"/>
        <charset val="186"/>
      </rPr>
      <t xml:space="preserve">. Kopā (21,00 </t>
    </r>
    <r>
      <rPr>
        <i/>
        <sz val="12"/>
        <color theme="1"/>
        <rFont val="Times New Roman"/>
        <family val="1"/>
        <charset val="186"/>
      </rPr>
      <t>euro</t>
    </r>
    <r>
      <rPr>
        <sz val="12"/>
        <color theme="1"/>
        <rFont val="Times New Roman"/>
        <family val="1"/>
        <charset val="186"/>
      </rPr>
      <t xml:space="preserve"> +26,50 </t>
    </r>
    <r>
      <rPr>
        <i/>
        <sz val="12"/>
        <color theme="1"/>
        <rFont val="Times New Roman"/>
        <family val="1"/>
        <charset val="186"/>
      </rPr>
      <t>euro</t>
    </r>
    <r>
      <rPr>
        <sz val="12"/>
        <color theme="1"/>
        <rFont val="Times New Roman"/>
        <family val="1"/>
        <charset val="186"/>
      </rPr>
      <t xml:space="preserve"> + 24,82 </t>
    </r>
    <r>
      <rPr>
        <i/>
        <sz val="12"/>
        <color theme="1"/>
        <rFont val="Times New Roman"/>
        <family val="1"/>
        <charset val="186"/>
      </rPr>
      <t>euro</t>
    </r>
    <r>
      <rPr>
        <sz val="12"/>
        <color theme="1"/>
        <rFont val="Times New Roman"/>
        <family val="1"/>
        <charset val="186"/>
      </rPr>
      <t xml:space="preserve"> + 22,33 </t>
    </r>
    <r>
      <rPr>
        <i/>
        <sz val="12"/>
        <color theme="1"/>
        <rFont val="Times New Roman"/>
        <family val="1"/>
        <charset val="186"/>
      </rPr>
      <t>euro</t>
    </r>
    <r>
      <rPr>
        <sz val="12"/>
        <color theme="1"/>
        <rFont val="Times New Roman"/>
        <family val="1"/>
        <charset val="186"/>
      </rPr>
      <t xml:space="preserve"> + 11,95 </t>
    </r>
    <r>
      <rPr>
        <i/>
        <sz val="12"/>
        <color theme="1"/>
        <rFont val="Times New Roman"/>
        <family val="1"/>
        <charset val="186"/>
      </rPr>
      <t>euro</t>
    </r>
    <r>
      <rPr>
        <sz val="12"/>
        <color theme="1"/>
        <rFont val="Times New Roman"/>
        <family val="1"/>
        <charset val="186"/>
      </rPr>
      <t xml:space="preserve">) = 106,60 </t>
    </r>
    <r>
      <rPr>
        <i/>
        <sz val="12"/>
        <color theme="1"/>
        <rFont val="Times New Roman"/>
        <family val="1"/>
        <charset val="186"/>
      </rPr>
      <t>euro</t>
    </r>
    <r>
      <rPr>
        <sz val="12"/>
        <color theme="1"/>
        <rFont val="Times New Roman"/>
        <family val="1"/>
        <charset val="186"/>
      </rPr>
      <t>.</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</si>
  <si>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0.072 (iznomātās platības koeficients) = 10,74 </t>
    </r>
    <r>
      <rPr>
        <i/>
        <sz val="12"/>
        <color theme="1"/>
        <rFont val="Times New Roman"/>
        <family val="1"/>
        <charset val="186"/>
      </rPr>
      <t>euro</t>
    </r>
    <r>
      <rPr>
        <sz val="12"/>
        <color theme="1"/>
        <rFont val="Times New Roman"/>
        <family val="1"/>
        <charset val="186"/>
      </rPr>
      <t>.</t>
    </r>
  </si>
  <si>
    <r>
      <t xml:space="preserve">Izdevumi par atļauju izmantot autoru darbus 57,00 </t>
    </r>
    <r>
      <rPr>
        <i/>
        <sz val="12"/>
        <color theme="1"/>
        <rFont val="Times New Roman"/>
        <family val="1"/>
        <charset val="186"/>
      </rPr>
      <t>euro</t>
    </r>
    <r>
      <rPr>
        <sz val="12"/>
        <color theme="1"/>
        <rFont val="Times New Roman"/>
        <family val="1"/>
        <charset val="186"/>
      </rPr>
      <t xml:space="preserve"> gadā * 0.072 (iznomātās platības koeficients) = 4,10 </t>
    </r>
    <r>
      <rPr>
        <i/>
        <sz val="12"/>
        <color theme="1"/>
        <rFont val="Times New Roman"/>
        <family val="1"/>
        <charset val="186"/>
      </rPr>
      <t>euro</t>
    </r>
    <r>
      <rPr>
        <sz val="12"/>
        <color theme="1"/>
        <rFont val="Times New Roman"/>
        <family val="1"/>
        <charset val="186"/>
      </rPr>
      <t>.</t>
    </r>
  </si>
  <si>
    <r>
      <t xml:space="preserve">Kārtējā remonta izdevumi 1 875,92 </t>
    </r>
    <r>
      <rPr>
        <i/>
        <sz val="12"/>
        <color theme="1"/>
        <rFont val="Times New Roman"/>
        <family val="1"/>
        <charset val="186"/>
      </rPr>
      <t>euro</t>
    </r>
    <r>
      <rPr>
        <sz val="12"/>
        <color theme="1"/>
        <rFont val="Times New Roman"/>
        <family val="1"/>
        <charset val="186"/>
      </rPr>
      <t xml:space="preserve"> gadā * 0.072 (iznomātās platības koeficients) = 135,07 </t>
    </r>
    <r>
      <rPr>
        <i/>
        <sz val="12"/>
        <color theme="1"/>
        <rFont val="Times New Roman"/>
        <family val="1"/>
        <charset val="186"/>
      </rPr>
      <t>euro</t>
    </r>
    <r>
      <rPr>
        <sz val="12"/>
        <color theme="1"/>
        <rFont val="Times New Roman"/>
        <family val="1"/>
        <charset val="186"/>
      </rPr>
      <t>.</t>
    </r>
  </si>
  <si>
    <r>
      <t xml:space="preserve">Izdevumi par apkuri 82 944.32 </t>
    </r>
    <r>
      <rPr>
        <i/>
        <sz val="12"/>
        <color theme="1"/>
        <rFont val="Times New Roman"/>
        <family val="1"/>
        <charset val="186"/>
      </rPr>
      <t>euro</t>
    </r>
    <r>
      <rPr>
        <sz val="12"/>
        <color theme="1"/>
        <rFont val="Times New Roman"/>
        <family val="1"/>
        <charset val="186"/>
      </rPr>
      <t xml:space="preserve"> gadā * 0.072 (iznomātās platības koeficients) = 5 971,99 </t>
    </r>
    <r>
      <rPr>
        <i/>
        <sz val="12"/>
        <color theme="1"/>
        <rFont val="Times New Roman"/>
        <family val="1"/>
        <charset val="186"/>
      </rPr>
      <t>euro</t>
    </r>
    <r>
      <rPr>
        <sz val="12"/>
        <color theme="1"/>
        <rFont val="Times New Roman"/>
        <family val="1"/>
        <charset val="186"/>
      </rPr>
      <t>.</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</si>
  <si>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0.072 (iznomātās platības koeficients) = 302,67 </t>
    </r>
    <r>
      <rPr>
        <i/>
        <sz val="12"/>
        <color theme="1"/>
        <rFont val="Times New Roman"/>
        <family val="1"/>
        <charset val="186"/>
      </rPr>
      <t>euro</t>
    </r>
    <r>
      <rPr>
        <sz val="12"/>
        <color theme="1"/>
        <rFont val="Times New Roman"/>
        <family val="1"/>
        <charset val="186"/>
      </rPr>
      <t>.</t>
    </r>
  </si>
  <si>
    <r>
      <t xml:space="preserve">Izdevumi par elektroenerģiju 7 807,39 </t>
    </r>
    <r>
      <rPr>
        <i/>
        <sz val="12"/>
        <color theme="1"/>
        <rFont val="Times New Roman"/>
        <family val="1"/>
        <charset val="186"/>
      </rPr>
      <t>euro</t>
    </r>
    <r>
      <rPr>
        <sz val="12"/>
        <color theme="1"/>
        <rFont val="Times New Roman"/>
        <family val="1"/>
        <charset val="186"/>
      </rPr>
      <t xml:space="preserve"> gadā * 0.072 (iznomātās platības koeficients) = 562,13 </t>
    </r>
    <r>
      <rPr>
        <i/>
        <sz val="12"/>
        <color theme="1"/>
        <rFont val="Times New Roman"/>
        <family val="1"/>
        <charset val="186"/>
      </rPr>
      <t>euro</t>
    </r>
    <r>
      <rPr>
        <sz val="12"/>
        <color theme="1"/>
        <rFont val="Times New Roman"/>
        <family val="1"/>
        <charset val="186"/>
      </rPr>
      <t>.</t>
    </r>
  </si>
  <si>
    <r>
      <t xml:space="preserve">Izdevumi par atkritumu izvešanu 275,91 </t>
    </r>
    <r>
      <rPr>
        <i/>
        <sz val="12"/>
        <color theme="1"/>
        <rFont val="Times New Roman"/>
        <family val="1"/>
        <charset val="186"/>
      </rPr>
      <t>euro</t>
    </r>
    <r>
      <rPr>
        <sz val="12"/>
        <color theme="1"/>
        <rFont val="Times New Roman"/>
        <family val="1"/>
        <charset val="186"/>
      </rPr>
      <t xml:space="preserve"> gadā * 0.072 (iznomātās platības koeficients) = 19,87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</si>
  <si>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956,50 </t>
    </r>
    <r>
      <rPr>
        <i/>
        <sz val="12"/>
        <color theme="1"/>
        <rFont val="Times New Roman"/>
        <family val="1"/>
        <charset val="186"/>
      </rPr>
      <t>euro</t>
    </r>
    <r>
      <rPr>
        <sz val="12"/>
        <color theme="1"/>
        <rFont val="Times New Roman"/>
        <family val="1"/>
        <charset val="186"/>
      </rPr>
      <t xml:space="preserve"> gadā * 0.072 (iznomātās platības koeficients) = 68,87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</si>
  <si>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0.072 (iznomātās platības koeficients) = 243,26 </t>
    </r>
    <r>
      <rPr>
        <i/>
        <sz val="12"/>
        <color theme="1"/>
        <rFont val="Times New Roman"/>
        <family val="1"/>
        <charset val="186"/>
      </rPr>
      <t>euro</t>
    </r>
    <r>
      <rPr>
        <sz val="12"/>
        <color theme="1"/>
        <rFont val="Times New Roman"/>
        <family val="1"/>
        <charset val="186"/>
      </rPr>
      <t>.</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</si>
  <si>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0.072 (iznomātās platības koeficients) = 266,83 </t>
    </r>
    <r>
      <rPr>
        <i/>
        <sz val="12"/>
        <color theme="1"/>
        <rFont val="Times New Roman"/>
        <family val="1"/>
        <charset val="186"/>
      </rPr>
      <t>euro</t>
    </r>
    <r>
      <rPr>
        <sz val="12"/>
        <color theme="1"/>
        <rFont val="Times New Roman"/>
        <family val="1"/>
        <charset val="186"/>
      </rPr>
      <t>.</t>
    </r>
  </si>
  <si>
    <r>
      <t xml:space="preserve">Inventāra iegādes izdevumi 856,97 </t>
    </r>
    <r>
      <rPr>
        <i/>
        <sz val="12"/>
        <color theme="1"/>
        <rFont val="Times New Roman"/>
        <family val="1"/>
        <charset val="186"/>
      </rPr>
      <t>euro</t>
    </r>
    <r>
      <rPr>
        <sz val="12"/>
        <color theme="1"/>
        <rFont val="Times New Roman"/>
        <family val="1"/>
        <charset val="186"/>
      </rPr>
      <t xml:space="preserve"> gadā * 0.072 (iznomātās platības koeficients) = 61,70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</si>
  <si>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1 711,80 </t>
    </r>
    <r>
      <rPr>
        <i/>
        <sz val="12"/>
        <color theme="1"/>
        <rFont val="Times New Roman"/>
        <family val="1"/>
        <charset val="186"/>
      </rPr>
      <t>euro</t>
    </r>
    <r>
      <rPr>
        <sz val="12"/>
        <color theme="1"/>
        <rFont val="Times New Roman"/>
        <family val="1"/>
        <charset val="186"/>
      </rPr>
      <t xml:space="preserve"> gadā * 0.072 (iznomātās platības koeficients) = 123.25 </t>
    </r>
    <r>
      <rPr>
        <i/>
        <sz val="12"/>
        <color theme="1"/>
        <rFont val="Times New Roman"/>
        <family val="1"/>
        <charset val="186"/>
      </rPr>
      <t>euro</t>
    </r>
    <r>
      <rPr>
        <sz val="12"/>
        <color theme="1"/>
        <rFont val="Times New Roman"/>
        <family val="1"/>
        <charset val="186"/>
      </rPr>
      <t>.</t>
    </r>
  </si>
  <si>
    <r>
      <t xml:space="preserve">Nekustamā īpašuma nodoklis 8 084,39 </t>
    </r>
    <r>
      <rPr>
        <i/>
        <sz val="12"/>
        <color theme="1"/>
        <rFont val="Times New Roman"/>
        <family val="1"/>
        <charset val="186"/>
      </rPr>
      <t>euro</t>
    </r>
    <r>
      <rPr>
        <sz val="12"/>
        <color theme="1"/>
        <rFont val="Times New Roman"/>
        <family val="1"/>
        <charset val="186"/>
      </rPr>
      <t xml:space="preserve"> gadā * 0.072 (iznomātās platības koeficients) = 582,08 </t>
    </r>
    <r>
      <rPr>
        <i/>
        <sz val="12"/>
        <color theme="1"/>
        <rFont val="Times New Roman"/>
        <family val="1"/>
        <charset val="186"/>
      </rPr>
      <t>euro</t>
    </r>
    <r>
      <rPr>
        <sz val="12"/>
        <color theme="1"/>
        <rFont val="Times New Roman"/>
        <family val="1"/>
        <charset val="186"/>
      </rPr>
      <t>.</t>
    </r>
  </si>
  <si>
    <r>
      <t xml:space="preserve">Dabas resursu nodoklis 1 920,89 </t>
    </r>
    <r>
      <rPr>
        <i/>
        <sz val="12"/>
        <color theme="1"/>
        <rFont val="Times New Roman"/>
        <family val="1"/>
        <charset val="186"/>
      </rPr>
      <t>euro</t>
    </r>
    <r>
      <rPr>
        <sz val="12"/>
        <color theme="1"/>
        <rFont val="Times New Roman"/>
        <family val="1"/>
        <charset val="186"/>
      </rPr>
      <t xml:space="preserve"> gadā * 0.072 (iznomātās platības koeficients) = 138,30 </t>
    </r>
    <r>
      <rPr>
        <i/>
        <sz val="12"/>
        <color theme="1"/>
        <rFont val="Times New Roman"/>
        <family val="1"/>
        <charset val="186"/>
      </rPr>
      <t>euro</t>
    </r>
    <r>
      <rPr>
        <sz val="12"/>
        <color theme="1"/>
        <rFont val="Times New Roman"/>
        <family val="1"/>
        <charset val="186"/>
      </rPr>
      <t>.</t>
    </r>
  </si>
  <si>
    <r>
      <t xml:space="preserve">Pamatlīdzekļu amortizācija 251,64 </t>
    </r>
    <r>
      <rPr>
        <i/>
        <sz val="12"/>
        <color theme="1"/>
        <rFont val="Times New Roman"/>
        <family val="1"/>
        <charset val="186"/>
      </rPr>
      <t>euro</t>
    </r>
    <r>
      <rPr>
        <sz val="12"/>
        <color theme="1"/>
        <rFont val="Times New Roman"/>
        <family val="1"/>
        <charset val="186"/>
      </rPr>
      <t xml:space="preserve"> gadā * 0.072 (iznomātās platības koeficients) = 18,12 </t>
    </r>
    <r>
      <rPr>
        <i/>
        <sz val="12"/>
        <color theme="1"/>
        <rFont val="Times New Roman"/>
        <family val="1"/>
        <charset val="186"/>
      </rPr>
      <t>euro</t>
    </r>
    <r>
      <rPr>
        <sz val="12"/>
        <color theme="1"/>
        <rFont val="Times New Roman"/>
        <family val="1"/>
        <charset val="186"/>
      </rPr>
      <t>.</t>
    </r>
  </si>
  <si>
    <r>
      <t xml:space="preserve">Pamatlīdzekļu amortizācija 1 134,21 </t>
    </r>
    <r>
      <rPr>
        <i/>
        <sz val="12"/>
        <color theme="1"/>
        <rFont val="Times New Roman"/>
        <family val="1"/>
        <charset val="186"/>
      </rPr>
      <t>euro</t>
    </r>
    <r>
      <rPr>
        <sz val="12"/>
        <color theme="1"/>
        <rFont val="Times New Roman"/>
        <family val="1"/>
        <charset val="186"/>
      </rPr>
      <t xml:space="preserve"> gadā * 0.072 (iznomātās platības koeficients) = 81,66 </t>
    </r>
    <r>
      <rPr>
        <i/>
        <sz val="12"/>
        <color theme="1"/>
        <rFont val="Times New Roman"/>
        <family val="1"/>
        <charset val="186"/>
      </rPr>
      <t>euro</t>
    </r>
    <r>
      <rPr>
        <sz val="12"/>
        <color theme="1"/>
        <rFont val="Times New Roman"/>
        <family val="1"/>
        <charset val="186"/>
      </rPr>
      <t>.</t>
    </r>
  </si>
  <si>
    <r>
      <t xml:space="preserve">Pamatlīdzekļu amortizācija 2 748,15 </t>
    </r>
    <r>
      <rPr>
        <i/>
        <sz val="12"/>
        <color theme="1"/>
        <rFont val="Times New Roman"/>
        <family val="1"/>
        <charset val="186"/>
      </rPr>
      <t>euro</t>
    </r>
    <r>
      <rPr>
        <sz val="12"/>
        <color theme="1"/>
        <rFont val="Times New Roman"/>
        <family val="1"/>
        <charset val="186"/>
      </rPr>
      <t xml:space="preserve"> gadā * 0.072 (iznomātās platības koeficients) = 197,87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</si>
  <si>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88,37 </t>
    </r>
    <r>
      <rPr>
        <i/>
        <sz val="12"/>
        <color theme="1"/>
        <rFont val="Times New Roman"/>
        <family val="1"/>
        <charset val="186"/>
      </rPr>
      <t>euro</t>
    </r>
    <r>
      <rPr>
        <sz val="12"/>
        <color theme="1"/>
        <rFont val="Times New Roman"/>
        <family val="1"/>
        <charset val="186"/>
      </rPr>
      <t xml:space="preserve">. Veselības apdrošināšana 17,03 </t>
    </r>
    <r>
      <rPr>
        <i/>
        <sz val="12"/>
        <color theme="1"/>
        <rFont val="Times New Roman"/>
        <family val="1"/>
        <charset val="186"/>
      </rPr>
      <t>euro</t>
    </r>
    <r>
      <rPr>
        <sz val="12"/>
        <color theme="1"/>
        <rFont val="Times New Roman"/>
        <family val="1"/>
        <charset val="186"/>
      </rPr>
      <t xml:space="preserve">. Kopā 105,40 </t>
    </r>
    <r>
      <rPr>
        <i/>
        <sz val="12"/>
        <color theme="1"/>
        <rFont val="Times New Roman"/>
        <family val="1"/>
        <charset val="186"/>
      </rPr>
      <t>euro</t>
    </r>
    <r>
      <rPr>
        <sz val="12"/>
        <color theme="1"/>
        <rFont val="Times New Roman"/>
        <family val="1"/>
        <charset val="186"/>
      </rPr>
      <t>.</t>
    </r>
  </si>
  <si>
    <r>
      <t xml:space="preserve">Pamatlīdzekļu amortizācija 2 748,15 </t>
    </r>
    <r>
      <rPr>
        <i/>
        <sz val="12"/>
        <color theme="1"/>
        <rFont val="Times New Roman"/>
        <family val="1"/>
        <charset val="186"/>
      </rPr>
      <t>euro</t>
    </r>
    <r>
      <rPr>
        <sz val="12"/>
        <color theme="1"/>
        <rFont val="Times New Roman"/>
        <family val="1"/>
        <charset val="186"/>
      </rPr>
      <t xml:space="preserve"> gadā * 0.0115 (iznomātās platības koeficients) = 31,60 </t>
    </r>
    <r>
      <rPr>
        <i/>
        <sz val="12"/>
        <color theme="1"/>
        <rFont val="Times New Roman"/>
        <family val="1"/>
        <charset val="186"/>
      </rPr>
      <t>euro.</t>
    </r>
  </si>
  <si>
    <r>
      <t xml:space="preserve">Pamatlīdzekļu amortizācija 1 134,21 </t>
    </r>
    <r>
      <rPr>
        <i/>
        <sz val="12"/>
        <color theme="1"/>
        <rFont val="Times New Roman"/>
        <family val="1"/>
        <charset val="186"/>
      </rPr>
      <t>euro</t>
    </r>
    <r>
      <rPr>
        <sz val="12"/>
        <color theme="1"/>
        <rFont val="Times New Roman"/>
        <family val="1"/>
        <charset val="186"/>
      </rPr>
      <t xml:space="preserve"> gadā * 0.0115 (iznomātās platības koeficients) = 13,04 </t>
    </r>
    <r>
      <rPr>
        <i/>
        <sz val="12"/>
        <color theme="1"/>
        <rFont val="Times New Roman"/>
        <family val="1"/>
        <charset val="186"/>
      </rPr>
      <t>euro.</t>
    </r>
  </si>
  <si>
    <r>
      <t xml:space="preserve">Pamatlīdzekļu amortizācija 251,64 </t>
    </r>
    <r>
      <rPr>
        <i/>
        <sz val="12"/>
        <color theme="1"/>
        <rFont val="Times New Roman"/>
        <family val="1"/>
        <charset val="186"/>
      </rPr>
      <t>euro</t>
    </r>
    <r>
      <rPr>
        <sz val="12"/>
        <color theme="1"/>
        <rFont val="Times New Roman"/>
        <family val="1"/>
        <charset val="186"/>
      </rPr>
      <t xml:space="preserve"> gadā * 0.0115 (iznomātās platības koeficients) = 2,89 </t>
    </r>
    <r>
      <rPr>
        <i/>
        <sz val="12"/>
        <color theme="1"/>
        <rFont val="Times New Roman"/>
        <family val="1"/>
        <charset val="186"/>
      </rPr>
      <t>euro.</t>
    </r>
  </si>
  <si>
    <r>
      <t xml:space="preserve">Dabas resursu nodoklis 1 920,89 </t>
    </r>
    <r>
      <rPr>
        <i/>
        <sz val="12"/>
        <color theme="1"/>
        <rFont val="Times New Roman"/>
        <family val="1"/>
        <charset val="186"/>
      </rPr>
      <t>euro</t>
    </r>
    <r>
      <rPr>
        <sz val="12"/>
        <color theme="1"/>
        <rFont val="Times New Roman"/>
        <family val="1"/>
        <charset val="186"/>
      </rPr>
      <t xml:space="preserve"> gadā * 0.0115 (iznomātās platības koeficients) = 22,09 </t>
    </r>
    <r>
      <rPr>
        <i/>
        <sz val="12"/>
        <color theme="1"/>
        <rFont val="Times New Roman"/>
        <family val="1"/>
        <charset val="186"/>
      </rPr>
      <t>euro</t>
    </r>
    <r>
      <rPr>
        <sz val="12"/>
        <color theme="1"/>
        <rFont val="Times New Roman"/>
        <family val="1"/>
        <charset val="186"/>
      </rPr>
      <t>.</t>
    </r>
  </si>
  <si>
    <r>
      <t xml:space="preserve">Nekustamā īpašuma nodoklis 8 084,39 </t>
    </r>
    <r>
      <rPr>
        <i/>
        <sz val="12"/>
        <color theme="1"/>
        <rFont val="Times New Roman"/>
        <family val="1"/>
        <charset val="186"/>
      </rPr>
      <t>euro</t>
    </r>
    <r>
      <rPr>
        <sz val="12"/>
        <color theme="1"/>
        <rFont val="Times New Roman"/>
        <family val="1"/>
        <charset val="186"/>
      </rPr>
      <t xml:space="preserve"> gadā * 0.0115 (iznomātās platības koeficients) = 92,97 </t>
    </r>
    <r>
      <rPr>
        <i/>
        <sz val="12"/>
        <color theme="1"/>
        <rFont val="Times New Roman"/>
        <family val="1"/>
        <charset val="186"/>
      </rPr>
      <t>euro.</t>
    </r>
  </si>
  <si>
    <r>
      <t xml:space="preserve">Saimniecības, remonta materiālu un transportlīdzekļu uzturēšanas materiālu iegādes izdevumi 1 711,80 </t>
    </r>
    <r>
      <rPr>
        <i/>
        <sz val="12"/>
        <color theme="1"/>
        <rFont val="Times New Roman"/>
        <family val="1"/>
        <charset val="186"/>
      </rPr>
      <t>euro</t>
    </r>
    <r>
      <rPr>
        <sz val="12"/>
        <color theme="1"/>
        <rFont val="Times New Roman"/>
        <family val="1"/>
        <charset val="186"/>
      </rPr>
      <t xml:space="preserve"> gadā * 0.0115 (iznomātās platības koeficients) = 19,69 </t>
    </r>
    <r>
      <rPr>
        <i/>
        <sz val="12"/>
        <color theme="1"/>
        <rFont val="Times New Roman"/>
        <family val="1"/>
        <charset val="186"/>
      </rPr>
      <t>euro.</t>
    </r>
  </si>
  <si>
    <r>
      <t xml:space="preserve">Inventāra iegādes izdevumi 856,97 </t>
    </r>
    <r>
      <rPr>
        <i/>
        <sz val="12"/>
        <color theme="1"/>
        <rFont val="Times New Roman"/>
        <family val="1"/>
        <charset val="186"/>
      </rPr>
      <t>euro</t>
    </r>
    <r>
      <rPr>
        <sz val="12"/>
        <color theme="1"/>
        <rFont val="Times New Roman"/>
        <family val="1"/>
        <charset val="186"/>
      </rPr>
      <t xml:space="preserve"> gadā * 0.0115 (iznomātās platības koeficients) = 9,86 </t>
    </r>
    <r>
      <rPr>
        <i/>
        <sz val="12"/>
        <color theme="1"/>
        <rFont val="Times New Roman"/>
        <family val="1"/>
        <charset val="186"/>
      </rPr>
      <t>euro.</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</si>
  <si>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0.0115 (iznomātās platības koeficients) = 42,62 </t>
    </r>
    <r>
      <rPr>
        <i/>
        <sz val="12"/>
        <color theme="1"/>
        <rFont val="Times New Roman"/>
        <family val="1"/>
        <charset val="186"/>
      </rPr>
      <t>euro.</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</si>
  <si>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0.0115 (iznomātās platības koeficients) = 38,85 </t>
    </r>
    <r>
      <rPr>
        <i/>
        <sz val="12"/>
        <color theme="1"/>
        <rFont val="Times New Roman"/>
        <family val="1"/>
        <charset val="186"/>
      </rPr>
      <t>euro.</t>
    </r>
  </si>
  <si>
    <r>
      <t xml:space="preserve">Kārtējā remonta izdevumi 1 875,92 </t>
    </r>
    <r>
      <rPr>
        <i/>
        <sz val="12"/>
        <color theme="1"/>
        <rFont val="Times New Roman"/>
        <family val="1"/>
        <charset val="186"/>
      </rPr>
      <t>euro</t>
    </r>
    <r>
      <rPr>
        <sz val="12"/>
        <color theme="1"/>
        <rFont val="Times New Roman"/>
        <family val="1"/>
        <charset val="186"/>
      </rPr>
      <t xml:space="preserve"> gadā * 0.0115 (iznomātās platības koeficients) = 21,57 </t>
    </r>
    <r>
      <rPr>
        <i/>
        <sz val="12"/>
        <color theme="1"/>
        <rFont val="Times New Roman"/>
        <family val="1"/>
        <charset val="186"/>
      </rPr>
      <t>euro</t>
    </r>
    <r>
      <rPr>
        <sz val="12"/>
        <color theme="1"/>
        <rFont val="Times New Roman"/>
        <family val="1"/>
        <charset val="186"/>
      </rPr>
      <t>.</t>
    </r>
  </si>
  <si>
    <r>
      <t xml:space="preserve">Izdevumi par atļauju izmantot autoru darbus 57,00 </t>
    </r>
    <r>
      <rPr>
        <i/>
        <sz val="12"/>
        <color theme="1"/>
        <rFont val="Times New Roman"/>
        <family val="1"/>
        <charset val="186"/>
      </rPr>
      <t>euro</t>
    </r>
    <r>
      <rPr>
        <sz val="12"/>
        <color theme="1"/>
        <rFont val="Times New Roman"/>
        <family val="1"/>
        <charset val="186"/>
      </rPr>
      <t xml:space="preserve"> gadā * 0.0115 (iznomātās platības koeficients) = 0,66 </t>
    </r>
    <r>
      <rPr>
        <i/>
        <sz val="12"/>
        <color theme="1"/>
        <rFont val="Times New Roman"/>
        <family val="1"/>
        <charset val="186"/>
      </rPr>
      <t>euro</t>
    </r>
    <r>
      <rPr>
        <sz val="12"/>
        <color theme="1"/>
        <rFont val="Times New Roman"/>
        <family val="1"/>
        <charset val="186"/>
      </rPr>
      <t>.</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</si>
  <si>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0.0115 (iznomātās platības koeficients) = 1,71 </t>
    </r>
    <r>
      <rPr>
        <i/>
        <sz val="12"/>
        <color theme="1"/>
        <rFont val="Times New Roman"/>
        <family val="1"/>
        <charset val="186"/>
      </rPr>
      <t>euro</t>
    </r>
    <r>
      <rPr>
        <sz val="12"/>
        <color theme="1"/>
        <rFont val="Times New Roman"/>
        <family val="1"/>
        <charset val="186"/>
      </rPr>
      <t>.</t>
    </r>
  </si>
  <si>
    <r>
      <t xml:space="preserve">Izdevumi par atkritumu izvešanu 275,91 </t>
    </r>
    <r>
      <rPr>
        <i/>
        <sz val="12"/>
        <color theme="1"/>
        <rFont val="Times New Roman"/>
        <family val="1"/>
        <charset val="186"/>
      </rPr>
      <t>euro</t>
    </r>
    <r>
      <rPr>
        <sz val="12"/>
        <color theme="1"/>
        <rFont val="Times New Roman"/>
        <family val="1"/>
        <charset val="186"/>
      </rPr>
      <t xml:space="preserve"> gadā * 0.0115 (iznomātās platības koeficients) = 3,17 </t>
    </r>
    <r>
      <rPr>
        <i/>
        <sz val="12"/>
        <color theme="1"/>
        <rFont val="Times New Roman"/>
        <family val="1"/>
        <charset val="186"/>
      </rPr>
      <t>euro.</t>
    </r>
  </si>
  <si>
    <r>
      <t xml:space="preserve">Izdevumi par elektroenerģiju 7 807,39 </t>
    </r>
    <r>
      <rPr>
        <i/>
        <sz val="12"/>
        <color theme="1"/>
        <rFont val="Times New Roman"/>
        <family val="1"/>
        <charset val="186"/>
      </rPr>
      <t>euro</t>
    </r>
    <r>
      <rPr>
        <sz val="12"/>
        <color theme="1"/>
        <rFont val="Times New Roman"/>
        <family val="1"/>
        <charset val="186"/>
      </rPr>
      <t xml:space="preserve"> gadā * 0.072 (iznomātās platības koeficients) = 89,78 </t>
    </r>
    <r>
      <rPr>
        <i/>
        <sz val="12"/>
        <color theme="1"/>
        <rFont val="Times New Roman"/>
        <family val="1"/>
        <charset val="186"/>
      </rPr>
      <t>euro.</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</si>
  <si>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0.0115 (iznomātās platības koeficients) = 48,34 </t>
    </r>
    <r>
      <rPr>
        <i/>
        <sz val="12"/>
        <color theme="1"/>
        <rFont val="Times New Roman"/>
        <family val="1"/>
        <charset val="186"/>
      </rPr>
      <t>euro.</t>
    </r>
  </si>
  <si>
    <r>
      <t xml:space="preserve">Izdevumi par apkuri 82 944,32 </t>
    </r>
    <r>
      <rPr>
        <i/>
        <sz val="12"/>
        <color theme="1"/>
        <rFont val="Times New Roman"/>
        <family val="1"/>
        <charset val="186"/>
      </rPr>
      <t>euro</t>
    </r>
    <r>
      <rPr>
        <sz val="12"/>
        <color theme="1"/>
        <rFont val="Times New Roman"/>
        <family val="1"/>
        <charset val="186"/>
      </rPr>
      <t xml:space="preserve"> gadā * 0.0115 (iznomātās platības koeficients) = 953,86 </t>
    </r>
    <r>
      <rPr>
        <i/>
        <sz val="12"/>
        <color theme="1"/>
        <rFont val="Times New Roman"/>
        <family val="1"/>
        <charset val="186"/>
      </rPr>
      <t>euro.</t>
    </r>
  </si>
  <si>
    <r>
      <t xml:space="preserve">Darba devēja valsts sociālās apdrošināšanas obligātās iemaksas 64,13 </t>
    </r>
    <r>
      <rPr>
        <i/>
        <sz val="12"/>
        <color theme="1"/>
        <rFont val="Times New Roman"/>
        <family val="1"/>
        <charset val="186"/>
      </rPr>
      <t>euro</t>
    </r>
    <r>
      <rPr>
        <sz val="12"/>
        <color theme="1"/>
        <rFont val="Times New Roman"/>
        <family val="1"/>
        <charset val="186"/>
      </rPr>
      <t xml:space="preserve"> * 23,59 % = 15,13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</si>
  <si>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t>
    </r>
    <r>
      <rPr>
        <i/>
        <sz val="12"/>
        <color theme="1"/>
        <rFont val="Times New Roman"/>
        <family val="1"/>
        <charset val="186"/>
      </rPr>
      <t>euro</t>
    </r>
    <r>
      <rPr>
        <sz val="12"/>
        <color theme="1"/>
        <rFont val="Times New Roman"/>
        <family val="1"/>
        <charset val="186"/>
      </rPr>
      <t xml:space="preserve">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0.0115 (iznomātās platības koeficients) = 4,02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</si>
  <si>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0.0115 (iznomātās platības koeficients) = 15,85 </t>
    </r>
    <r>
      <rPr>
        <i/>
        <sz val="12"/>
        <color theme="1"/>
        <rFont val="Times New Roman"/>
        <family val="1"/>
        <charset val="186"/>
      </rPr>
      <t>euro.</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</si>
  <si>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0.0115 (iznomātās platības koeficients) = 1,94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</si>
  <si>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0.0115 (iznomātās platības koeficients) = 1,29 </t>
    </r>
    <r>
      <rPr>
        <i/>
        <sz val="12"/>
        <color theme="1"/>
        <rFont val="Times New Roman"/>
        <family val="1"/>
        <charset val="186"/>
      </rPr>
      <t>euro.</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</si>
  <si>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t>
    </r>
    <r>
      <rPr>
        <i/>
        <sz val="12"/>
        <color theme="1"/>
        <rFont val="Times New Roman"/>
        <family val="1"/>
        <charset val="186"/>
      </rPr>
      <t>euro</t>
    </r>
    <r>
      <rPr>
        <sz val="12"/>
        <color theme="1"/>
        <rFont val="Times New Roman"/>
        <family val="1"/>
        <charset val="186"/>
      </rPr>
      <t xml:space="preserve">/mēn. * 12. mēn. = 161,52 </t>
    </r>
    <r>
      <rPr>
        <i/>
        <sz val="12"/>
        <color theme="1"/>
        <rFont val="Times New Roman"/>
        <family val="1"/>
        <charset val="186"/>
      </rPr>
      <t>euro</t>
    </r>
    <r>
      <rPr>
        <sz val="12"/>
        <color theme="1"/>
        <rFont val="Times New Roman"/>
        <family val="1"/>
        <charset val="186"/>
      </rPr>
      <t xml:space="preserve"> * 0.0115 (iznomātās platības koeficients) = 1,86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</si>
  <si>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1.24 stundas, (15,03 </t>
    </r>
    <r>
      <rPr>
        <i/>
        <sz val="12"/>
        <color theme="1"/>
        <rFont val="Times New Roman"/>
        <family val="1"/>
        <charset val="186"/>
      </rPr>
      <t>euro</t>
    </r>
    <r>
      <rPr>
        <sz val="12"/>
        <color theme="1"/>
        <rFont val="Times New Roman"/>
        <family val="1"/>
        <charset val="186"/>
      </rPr>
      <t xml:space="preserve"> * 1.24 h) = 18,64 </t>
    </r>
    <r>
      <rPr>
        <i/>
        <sz val="12"/>
        <color theme="1"/>
        <rFont val="Times New Roman"/>
        <family val="1"/>
        <charset val="186"/>
      </rPr>
      <t>euro</t>
    </r>
    <r>
      <rPr>
        <sz val="12"/>
        <color theme="1"/>
        <rFont val="Times New Roman"/>
        <family val="1"/>
        <charset val="186"/>
      </rPr>
      <t xml:space="preserve">/mēn. * 12. mēn. = 223,68 </t>
    </r>
    <r>
      <rPr>
        <i/>
        <sz val="12"/>
        <color theme="1"/>
        <rFont val="Times New Roman"/>
        <family val="1"/>
        <charset val="186"/>
      </rPr>
      <t>euro</t>
    </r>
    <r>
      <rPr>
        <sz val="12"/>
        <color theme="1"/>
        <rFont val="Times New Roman"/>
        <family val="1"/>
        <charset val="186"/>
      </rPr>
      <t xml:space="preserve"> * 0.0115 (iznomātās platības koeficients) = 2,57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</si>
  <si>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0.0115 (iznomātās platības koeficients) = 1,82 </t>
    </r>
    <r>
      <rPr>
        <i/>
        <sz val="12"/>
        <color theme="1"/>
        <rFont val="Times New Roman"/>
        <family val="1"/>
        <charset val="186"/>
      </rPr>
      <t>euro.</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</si>
  <si>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0.0115 (iznomātās platības koeficients) = 10,46 </t>
    </r>
    <r>
      <rPr>
        <i/>
        <sz val="12"/>
        <color theme="1"/>
        <rFont val="Times New Roman"/>
        <family val="1"/>
        <charset val="186"/>
      </rPr>
      <t>euro.</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</si>
  <si>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0.0115 (iznomātās platības koeficients) = 10,66 </t>
    </r>
    <r>
      <rPr>
        <i/>
        <sz val="12"/>
        <color theme="1"/>
        <rFont val="Times New Roman"/>
        <family val="1"/>
        <charset val="186"/>
      </rPr>
      <t>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</si>
  <si>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0.0115 (iznomātās platības koeficients) = 13,66 </t>
    </r>
    <r>
      <rPr>
        <i/>
        <sz val="12"/>
        <color theme="1"/>
        <rFont val="Times New Roman"/>
        <family val="1"/>
        <charset val="186"/>
      </rPr>
      <t>euro.</t>
    </r>
  </si>
  <si>
    <r>
      <t xml:space="preserve">Ēku kompleksa iekārtu, inventāra apkope un remonts, avāriju bojājumu novēršanas izdevumi 956,50 </t>
    </r>
    <r>
      <rPr>
        <i/>
        <sz val="12"/>
        <color theme="1"/>
        <rFont val="Times New Roman"/>
        <family val="1"/>
        <charset val="186"/>
      </rPr>
      <t>euro</t>
    </r>
    <r>
      <rPr>
        <sz val="12"/>
        <color theme="1"/>
        <rFont val="Times New Roman"/>
        <family val="1"/>
        <charset val="186"/>
      </rPr>
      <t xml:space="preserve"> gadā * 0.0115 (iznomātās platības koeficients) = 11,00 </t>
    </r>
    <r>
      <rPr>
        <i/>
        <sz val="12"/>
        <color theme="1"/>
        <rFont val="Times New Roman"/>
        <family val="1"/>
        <charset val="186"/>
      </rPr>
      <t>euro.</t>
    </r>
  </si>
  <si>
    <r>
      <rPr>
        <b/>
        <i/>
        <sz val="12"/>
        <color theme="1"/>
        <rFont val="Times New Roman"/>
        <family val="1"/>
        <charset val="186"/>
      </rPr>
      <t>euro</t>
    </r>
    <r>
      <rPr>
        <b/>
        <sz val="12"/>
        <color theme="1"/>
        <rFont val="Times New Roman"/>
        <family val="1"/>
        <charset val="186"/>
      </rPr>
      <t>, diennaktī par gultasvietu</t>
    </r>
  </si>
  <si>
    <r>
      <t xml:space="preserve">Pamatlīdzekļu amortizācija 2 748,15 </t>
    </r>
    <r>
      <rPr>
        <i/>
        <sz val="12"/>
        <color theme="1"/>
        <rFont val="Times New Roman"/>
        <family val="1"/>
        <charset val="186"/>
      </rPr>
      <t>euro</t>
    </r>
    <r>
      <rPr>
        <sz val="12"/>
        <color theme="1"/>
        <rFont val="Times New Roman"/>
        <family val="1"/>
        <charset val="186"/>
      </rPr>
      <t xml:space="preserve"> gadā * 0.0217 (iznomātās platības koeficients) = 59,63 </t>
    </r>
    <r>
      <rPr>
        <i/>
        <sz val="12"/>
        <color theme="1"/>
        <rFont val="Times New Roman"/>
        <family val="1"/>
        <charset val="186"/>
      </rPr>
      <t>euro.</t>
    </r>
  </si>
  <si>
    <r>
      <t xml:space="preserve">Pamatlīdzekļu amortizācija 251,64 </t>
    </r>
    <r>
      <rPr>
        <i/>
        <sz val="12"/>
        <color theme="1"/>
        <rFont val="Times New Roman"/>
        <family val="1"/>
        <charset val="186"/>
      </rPr>
      <t>euro</t>
    </r>
    <r>
      <rPr>
        <sz val="12"/>
        <color theme="1"/>
        <rFont val="Times New Roman"/>
        <family val="1"/>
        <charset val="186"/>
      </rPr>
      <t xml:space="preserve"> gadā * 0.0217 (iznomātās platības koeficients) = 5,46 </t>
    </r>
    <r>
      <rPr>
        <i/>
        <sz val="12"/>
        <color theme="1"/>
        <rFont val="Times New Roman"/>
        <family val="1"/>
        <charset val="186"/>
      </rPr>
      <t>euro.</t>
    </r>
  </si>
  <si>
    <r>
      <t xml:space="preserve">Dabas resursu nodoklis 1 920,89 </t>
    </r>
    <r>
      <rPr>
        <i/>
        <sz val="12"/>
        <color theme="1"/>
        <rFont val="Times New Roman"/>
        <family val="1"/>
        <charset val="186"/>
      </rPr>
      <t>euro</t>
    </r>
    <r>
      <rPr>
        <sz val="12"/>
        <color theme="1"/>
        <rFont val="Times New Roman"/>
        <family val="1"/>
        <charset val="186"/>
      </rPr>
      <t xml:space="preserve"> gadā * 0.0217 (iznomātās platības koeficients) = 41,68 </t>
    </r>
    <r>
      <rPr>
        <i/>
        <sz val="12"/>
        <color theme="1"/>
        <rFont val="Times New Roman"/>
        <family val="1"/>
        <charset val="186"/>
      </rPr>
      <t>euro.</t>
    </r>
  </si>
  <si>
    <r>
      <t xml:space="preserve">Nekustamā īpašuma nodoklis 8 084,39 </t>
    </r>
    <r>
      <rPr>
        <i/>
        <sz val="12"/>
        <color theme="1"/>
        <rFont val="Times New Roman"/>
        <family val="1"/>
        <charset val="186"/>
      </rPr>
      <t>euro</t>
    </r>
    <r>
      <rPr>
        <sz val="12"/>
        <color theme="1"/>
        <rFont val="Times New Roman"/>
        <family val="1"/>
        <charset val="186"/>
      </rPr>
      <t xml:space="preserve"> gadā * 0.0217 (iznomātās platības koeficients) = 175,43 </t>
    </r>
    <r>
      <rPr>
        <i/>
        <sz val="12"/>
        <color theme="1"/>
        <rFont val="Times New Roman"/>
        <family val="1"/>
        <charset val="186"/>
      </rPr>
      <t>euro.</t>
    </r>
  </si>
  <si>
    <r>
      <t xml:space="preserve">Saimniecības, remonta materiālu un transportlīdzekļu uzturēšanas materiālu iegādes izdevumi 1 711,80 </t>
    </r>
    <r>
      <rPr>
        <i/>
        <sz val="12"/>
        <color theme="1"/>
        <rFont val="Times New Roman"/>
        <family val="1"/>
        <charset val="186"/>
      </rPr>
      <t>euro</t>
    </r>
    <r>
      <rPr>
        <sz val="12"/>
        <color theme="1"/>
        <rFont val="Times New Roman"/>
        <family val="1"/>
        <charset val="186"/>
      </rPr>
      <t xml:space="preserve"> gadā * 0.0217 (iznomātās platības koeficients) = 37,15 </t>
    </r>
    <r>
      <rPr>
        <i/>
        <sz val="12"/>
        <color theme="1"/>
        <rFont val="Times New Roman"/>
        <family val="1"/>
        <charset val="186"/>
      </rPr>
      <t>euro.</t>
    </r>
  </si>
  <si>
    <r>
      <t xml:space="preserve">Inventāra iegādes izdevumi 856,97 </t>
    </r>
    <r>
      <rPr>
        <i/>
        <sz val="12"/>
        <color theme="1"/>
        <rFont val="Times New Roman"/>
        <family val="1"/>
        <charset val="186"/>
      </rPr>
      <t>euro</t>
    </r>
    <r>
      <rPr>
        <sz val="12"/>
        <color theme="1"/>
        <rFont val="Times New Roman"/>
        <family val="1"/>
        <charset val="186"/>
      </rPr>
      <t xml:space="preserve"> gadā * 0.0217 (iznomātās platības koeficients) = 18,60 </t>
    </r>
    <r>
      <rPr>
        <i/>
        <sz val="12"/>
        <color theme="1"/>
        <rFont val="Times New Roman"/>
        <family val="1"/>
        <charset val="186"/>
      </rPr>
      <t>euro.</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</si>
  <si>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0.0217 (iznomātās platības koeficients) = 80,42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</si>
  <si>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956,50 </t>
    </r>
    <r>
      <rPr>
        <i/>
        <sz val="12"/>
        <color theme="1"/>
        <rFont val="Times New Roman"/>
        <family val="1"/>
        <charset val="186"/>
      </rPr>
      <t>euro</t>
    </r>
    <r>
      <rPr>
        <sz val="12"/>
        <color theme="1"/>
        <rFont val="Times New Roman"/>
        <family val="1"/>
        <charset val="186"/>
      </rPr>
      <t xml:space="preserve"> gadā * 0.0217 (iznomātās platības koeficients) = 20,76 </t>
    </r>
    <r>
      <rPr>
        <i/>
        <sz val="12"/>
        <color theme="1"/>
        <rFont val="Times New Roman"/>
        <family val="1"/>
        <charset val="186"/>
      </rPr>
      <t>euro</t>
    </r>
    <r>
      <rPr>
        <sz val="12"/>
        <color theme="1"/>
        <rFont val="Times New Roman"/>
        <family val="1"/>
        <charset val="186"/>
      </rPr>
      <t>.</t>
    </r>
  </si>
  <si>
    <r>
      <t xml:space="preserve">Kārtējā remonta izdevumi 1 875,92 </t>
    </r>
    <r>
      <rPr>
        <i/>
        <sz val="12"/>
        <color theme="1"/>
        <rFont val="Times New Roman"/>
        <family val="1"/>
        <charset val="186"/>
      </rPr>
      <t>euro</t>
    </r>
    <r>
      <rPr>
        <sz val="12"/>
        <color theme="1"/>
        <rFont val="Times New Roman"/>
        <family val="1"/>
        <charset val="186"/>
      </rPr>
      <t xml:space="preserve"> gadā * 0.0217 (iznomātās platības koeficients) = 40,71 </t>
    </r>
    <r>
      <rPr>
        <i/>
        <sz val="12"/>
        <color theme="1"/>
        <rFont val="Times New Roman"/>
        <family val="1"/>
        <charset val="186"/>
      </rPr>
      <t>euro.</t>
    </r>
  </si>
  <si>
    <r>
      <t xml:space="preserve">Izdevumi par atļauju izmantot autoru darbus 57,00 </t>
    </r>
    <r>
      <rPr>
        <i/>
        <sz val="12"/>
        <color theme="1"/>
        <rFont val="Times New Roman"/>
        <family val="1"/>
        <charset val="186"/>
      </rPr>
      <t>euro</t>
    </r>
    <r>
      <rPr>
        <sz val="12"/>
        <color theme="1"/>
        <rFont val="Times New Roman"/>
        <family val="1"/>
        <charset val="186"/>
      </rPr>
      <t xml:space="preserve"> gadā * 0.0217 (iznomātās platības koeficients) = 1,24 </t>
    </r>
    <r>
      <rPr>
        <i/>
        <sz val="12"/>
        <color theme="1"/>
        <rFont val="Times New Roman"/>
        <family val="1"/>
        <charset val="186"/>
      </rPr>
      <t>euro</t>
    </r>
    <r>
      <rPr>
        <sz val="12"/>
        <color theme="1"/>
        <rFont val="Times New Roman"/>
        <family val="1"/>
        <charset val="186"/>
      </rPr>
      <t>.</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</si>
  <si>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0.0217 (iznomātās platības koeficients) = 3,24 </t>
    </r>
    <r>
      <rPr>
        <i/>
        <sz val="12"/>
        <color theme="1"/>
        <rFont val="Times New Roman"/>
        <family val="1"/>
        <charset val="186"/>
      </rPr>
      <t>euro.</t>
    </r>
  </si>
  <si>
    <r>
      <t xml:space="preserve">Izdevumi par atkritumu izvešanu 275,91 </t>
    </r>
    <r>
      <rPr>
        <i/>
        <sz val="12"/>
        <color theme="1"/>
        <rFont val="Times New Roman"/>
        <family val="1"/>
        <charset val="186"/>
      </rPr>
      <t>euro</t>
    </r>
    <r>
      <rPr>
        <sz val="12"/>
        <color theme="1"/>
        <rFont val="Times New Roman"/>
        <family val="1"/>
        <charset val="186"/>
      </rPr>
      <t xml:space="preserve"> gadā * 0.0217 (iznomātās platības koeficients) = 5,99 </t>
    </r>
    <r>
      <rPr>
        <i/>
        <sz val="12"/>
        <color theme="1"/>
        <rFont val="Times New Roman"/>
        <family val="1"/>
        <charset val="186"/>
      </rPr>
      <t>euro.</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</si>
  <si>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0.0217 (iznomātās platības koeficients) = 73,31 </t>
    </r>
    <r>
      <rPr>
        <i/>
        <sz val="12"/>
        <color theme="1"/>
        <rFont val="Times New Roman"/>
        <family val="1"/>
        <charset val="186"/>
      </rPr>
      <t>euro.</t>
    </r>
  </si>
  <si>
    <r>
      <t xml:space="preserve">Izdevumi par elektroenerģiju 7 807,39 </t>
    </r>
    <r>
      <rPr>
        <i/>
        <sz val="12"/>
        <color theme="1"/>
        <rFont val="Times New Roman"/>
        <family val="1"/>
        <charset val="186"/>
      </rPr>
      <t>euro</t>
    </r>
    <r>
      <rPr>
        <sz val="12"/>
        <color theme="1"/>
        <rFont val="Times New Roman"/>
        <family val="1"/>
        <charset val="186"/>
      </rPr>
      <t xml:space="preserve"> gadā * 0.0217 (iznomātās platības koeficients) = 169,42 </t>
    </r>
    <r>
      <rPr>
        <i/>
        <sz val="12"/>
        <color theme="1"/>
        <rFont val="Times New Roman"/>
        <family val="1"/>
        <charset val="186"/>
      </rPr>
      <t>euro</t>
    </r>
    <r>
      <rPr>
        <sz val="12"/>
        <color theme="1"/>
        <rFont val="Times New Roman"/>
        <family val="1"/>
        <charset val="186"/>
      </rPr>
      <t>.</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</si>
  <si>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0.0217 (iznomātās platības koeficients) = 91,22 </t>
    </r>
    <r>
      <rPr>
        <i/>
        <sz val="12"/>
        <color theme="1"/>
        <rFont val="Times New Roman"/>
        <family val="1"/>
        <charset val="186"/>
      </rPr>
      <t>euro.</t>
    </r>
  </si>
  <si>
    <r>
      <t xml:space="preserve">Izdevumi par apkuri 82 944.32 </t>
    </r>
    <r>
      <rPr>
        <i/>
        <sz val="12"/>
        <color theme="1"/>
        <rFont val="Times New Roman"/>
        <family val="1"/>
        <charset val="186"/>
      </rPr>
      <t>euro</t>
    </r>
    <r>
      <rPr>
        <sz val="12"/>
        <color theme="1"/>
        <rFont val="Times New Roman"/>
        <family val="1"/>
        <charset val="186"/>
      </rPr>
      <t xml:space="preserve"> gadā * 0.0217 (iznomātās platības koeficients) = 1 799,89 </t>
    </r>
    <r>
      <rPr>
        <i/>
        <sz val="12"/>
        <color theme="1"/>
        <rFont val="Times New Roman"/>
        <family val="1"/>
        <charset val="186"/>
      </rPr>
      <t>euro</t>
    </r>
    <r>
      <rPr>
        <sz val="12"/>
        <color theme="1"/>
        <rFont val="Times New Roman"/>
        <family val="1"/>
        <charset val="186"/>
      </rPr>
      <t xml:space="preserve">. </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</si>
  <si>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t>
    </r>
    <r>
      <rPr>
        <i/>
        <sz val="12"/>
        <color theme="1"/>
        <rFont val="Times New Roman"/>
        <family val="1"/>
        <charset val="186"/>
      </rPr>
      <t>euro</t>
    </r>
    <r>
      <rPr>
        <sz val="12"/>
        <color theme="1"/>
        <rFont val="Times New Roman"/>
        <family val="1"/>
        <charset val="186"/>
      </rPr>
      <t xml:space="preserve">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0.0217 (iznomātās platības koeficients) = 7,58 </t>
    </r>
    <r>
      <rPr>
        <i/>
        <sz val="12"/>
        <color theme="1"/>
        <rFont val="Times New Roman"/>
        <family val="1"/>
        <charset val="186"/>
      </rPr>
      <t>euro.</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</si>
  <si>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0.0217 (iznomātās platības koeficients) = 20,12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</si>
  <si>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0.0217 (iznomātās platības koeficients) = 25,77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</si>
  <si>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0.0217 (iznomātās platības koeficients) = 3,43 </t>
    </r>
    <r>
      <rPr>
        <i/>
        <sz val="12"/>
        <color theme="1"/>
        <rFont val="Times New Roman"/>
        <family val="1"/>
        <charset val="186"/>
      </rPr>
      <t>euro.</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</si>
  <si>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t>
    </r>
    <r>
      <rPr>
        <i/>
        <sz val="12"/>
        <color theme="1"/>
        <rFont val="Times New Roman"/>
        <family val="1"/>
        <charset val="186"/>
      </rPr>
      <t>euro</t>
    </r>
    <r>
      <rPr>
        <sz val="12"/>
        <color theme="1"/>
        <rFont val="Times New Roman"/>
        <family val="1"/>
        <charset val="186"/>
      </rPr>
      <t xml:space="preserve">/mēn. * 12. mēn. = 161,52 </t>
    </r>
    <r>
      <rPr>
        <i/>
        <sz val="12"/>
        <color theme="1"/>
        <rFont val="Times New Roman"/>
        <family val="1"/>
        <charset val="186"/>
      </rPr>
      <t>euro</t>
    </r>
    <r>
      <rPr>
        <sz val="12"/>
        <color theme="1"/>
        <rFont val="Times New Roman"/>
        <family val="1"/>
        <charset val="186"/>
      </rPr>
      <t xml:space="preserve"> * 0.0217 (iznomātās platības koeficients) = 3,50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</si>
  <si>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0.0217 (iznomātās platības koeficients) = 3,66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</si>
  <si>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0.0217 (iznomātās platības koeficients) = 19,74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</si>
  <si>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 xml:space="preserve">/mēn. * 12 mēn. = 5 834,40 </t>
    </r>
    <r>
      <rPr>
        <i/>
        <sz val="12"/>
        <color theme="1"/>
        <rFont val="Times New Roman"/>
        <family val="1"/>
        <charset val="186"/>
      </rPr>
      <t>euro</t>
    </r>
    <r>
      <rPr>
        <sz val="12"/>
        <color theme="1"/>
        <rFont val="Times New Roman"/>
        <family val="1"/>
        <charset val="186"/>
      </rPr>
      <t xml:space="preserve"> * 0.0217 (iznomātās platības koeficients) = 126,61 </t>
    </r>
    <r>
      <rPr>
        <i/>
        <sz val="12"/>
        <color theme="1"/>
        <rFont val="Times New Roman"/>
        <family val="1"/>
        <charset val="186"/>
      </rPr>
      <t>euro</t>
    </r>
    <r>
      <rPr>
        <sz val="12"/>
        <color theme="1"/>
        <rFont val="Times New Roman"/>
        <family val="1"/>
        <charset val="186"/>
      </rPr>
      <t xml:space="preserve">. </t>
    </r>
  </si>
  <si>
    <r>
      <t xml:space="preserve">Darba devēja valsts sociālās apdrošināšanas obligātās iemaksas (706,83 </t>
    </r>
    <r>
      <rPr>
        <i/>
        <sz val="12"/>
        <color theme="1"/>
        <rFont val="Times New Roman"/>
        <family val="1"/>
        <charset val="186"/>
      </rPr>
      <t>euro</t>
    </r>
    <r>
      <rPr>
        <sz val="12"/>
        <color theme="1"/>
        <rFont val="Times New Roman"/>
        <family val="1"/>
        <charset val="186"/>
      </rPr>
      <t xml:space="preserve"> * 23,59 %) = 166,74 </t>
    </r>
    <r>
      <rPr>
        <i/>
        <sz val="12"/>
        <color theme="1"/>
        <rFont val="Times New Roman"/>
        <family val="1"/>
        <charset val="186"/>
      </rPr>
      <t xml:space="preserve">euro. </t>
    </r>
  </si>
  <si>
    <r>
      <t xml:space="preserve">Galv. nekust. īpaš. pārvaldnieks (126,61 </t>
    </r>
    <r>
      <rPr>
        <i/>
        <sz val="12"/>
        <color theme="1"/>
        <rFont val="Times New Roman"/>
        <family val="1"/>
        <charset val="186"/>
      </rPr>
      <t>euro</t>
    </r>
    <r>
      <rPr>
        <sz val="12"/>
        <color theme="1"/>
        <rFont val="Times New Roman"/>
        <family val="1"/>
        <charset val="186"/>
      </rPr>
      <t xml:space="preserve"> * 5%) = 6,33 </t>
    </r>
    <r>
      <rPr>
        <i/>
        <sz val="12"/>
        <color theme="1"/>
        <rFont val="Times New Roman"/>
        <family val="1"/>
        <charset val="186"/>
      </rPr>
      <t>euro</t>
    </r>
    <r>
      <rPr>
        <sz val="12"/>
        <color theme="1"/>
        <rFont val="Times New Roman"/>
        <family val="1"/>
        <charset val="186"/>
      </rPr>
      <t xml:space="preserve">, Saimniecības pārzinis (159,73 </t>
    </r>
    <r>
      <rPr>
        <i/>
        <sz val="12"/>
        <color theme="1"/>
        <rFont val="Times New Roman"/>
        <family val="1"/>
        <charset val="186"/>
      </rPr>
      <t>euro</t>
    </r>
    <r>
      <rPr>
        <sz val="12"/>
        <color theme="1"/>
        <rFont val="Times New Roman"/>
        <family val="1"/>
        <charset val="186"/>
      </rPr>
      <t xml:space="preserve"> * 5%) = 7,99 </t>
    </r>
    <r>
      <rPr>
        <i/>
        <sz val="12"/>
        <color theme="1"/>
        <rFont val="Times New Roman"/>
        <family val="1"/>
        <charset val="186"/>
      </rPr>
      <t>euro</t>
    </r>
    <r>
      <rPr>
        <sz val="12"/>
        <color theme="1"/>
        <rFont val="Times New Roman"/>
        <family val="1"/>
        <charset val="186"/>
      </rPr>
      <t xml:space="preserve">, Istabene (149,59 </t>
    </r>
    <r>
      <rPr>
        <i/>
        <sz val="12"/>
        <color theme="1"/>
        <rFont val="Times New Roman"/>
        <family val="1"/>
        <charset val="186"/>
      </rPr>
      <t>euro</t>
    </r>
    <r>
      <rPr>
        <sz val="12"/>
        <color theme="1"/>
        <rFont val="Times New Roman"/>
        <family val="1"/>
        <charset val="186"/>
      </rPr>
      <t xml:space="preserve"> * 5%) = 7,48 </t>
    </r>
    <r>
      <rPr>
        <i/>
        <sz val="12"/>
        <color theme="1"/>
        <rFont val="Times New Roman"/>
        <family val="1"/>
        <charset val="186"/>
      </rPr>
      <t>euro</t>
    </r>
    <r>
      <rPr>
        <sz val="12"/>
        <color theme="1"/>
        <rFont val="Times New Roman"/>
        <family val="1"/>
        <charset val="186"/>
      </rPr>
      <t xml:space="preserve">,  Apkopēja (134,59 </t>
    </r>
    <r>
      <rPr>
        <i/>
        <sz val="12"/>
        <color theme="1"/>
        <rFont val="Times New Roman"/>
        <family val="1"/>
        <charset val="186"/>
      </rPr>
      <t>euro</t>
    </r>
    <r>
      <rPr>
        <sz val="12"/>
        <color theme="1"/>
        <rFont val="Times New Roman"/>
        <family val="1"/>
        <charset val="186"/>
      </rPr>
      <t xml:space="preserve"> * 5%) = 6,73 </t>
    </r>
    <r>
      <rPr>
        <i/>
        <sz val="12"/>
        <color theme="1"/>
        <rFont val="Times New Roman"/>
        <family val="1"/>
        <charset val="186"/>
      </rPr>
      <t>euro</t>
    </r>
    <r>
      <rPr>
        <sz val="12"/>
        <color theme="1"/>
        <rFont val="Times New Roman"/>
        <family val="1"/>
        <charset val="186"/>
      </rPr>
      <t xml:space="preserve">, Sētnieks (72,05 </t>
    </r>
    <r>
      <rPr>
        <i/>
        <sz val="12"/>
        <color theme="1"/>
        <rFont val="Times New Roman"/>
        <family val="1"/>
        <charset val="186"/>
      </rPr>
      <t>euro</t>
    </r>
    <r>
      <rPr>
        <sz val="12"/>
        <color theme="1"/>
        <rFont val="Times New Roman"/>
        <family val="1"/>
        <charset val="186"/>
      </rPr>
      <t xml:space="preserve"> * 5%) = 3,60 </t>
    </r>
    <r>
      <rPr>
        <i/>
        <sz val="12"/>
        <color theme="1"/>
        <rFont val="Times New Roman"/>
        <family val="1"/>
        <charset val="186"/>
      </rPr>
      <t>euro</t>
    </r>
    <r>
      <rPr>
        <sz val="12"/>
        <color theme="1"/>
        <rFont val="Times New Roman"/>
        <family val="1"/>
        <charset val="186"/>
      </rPr>
      <t xml:space="preserve">. Kopā (6,33 </t>
    </r>
    <r>
      <rPr>
        <i/>
        <sz val="12"/>
        <color theme="1"/>
        <rFont val="Times New Roman"/>
        <family val="1"/>
        <charset val="186"/>
      </rPr>
      <t>euro</t>
    </r>
    <r>
      <rPr>
        <sz val="12"/>
        <color theme="1"/>
        <rFont val="Times New Roman"/>
        <family val="1"/>
        <charset val="186"/>
      </rPr>
      <t xml:space="preserve"> + 7,99 </t>
    </r>
    <r>
      <rPr>
        <i/>
        <sz val="12"/>
        <color theme="1"/>
        <rFont val="Times New Roman"/>
        <family val="1"/>
        <charset val="186"/>
      </rPr>
      <t>euro</t>
    </r>
    <r>
      <rPr>
        <sz val="12"/>
        <color theme="1"/>
        <rFont val="Times New Roman"/>
        <family val="1"/>
        <charset val="186"/>
      </rPr>
      <t xml:space="preserve"> + 7,48 </t>
    </r>
    <r>
      <rPr>
        <i/>
        <sz val="12"/>
        <color theme="1"/>
        <rFont val="Times New Roman"/>
        <family val="1"/>
        <charset val="186"/>
      </rPr>
      <t>euro</t>
    </r>
    <r>
      <rPr>
        <sz val="12"/>
        <color theme="1"/>
        <rFont val="Times New Roman"/>
        <family val="1"/>
        <charset val="186"/>
      </rPr>
      <t xml:space="preserve"> + 6,73 </t>
    </r>
    <r>
      <rPr>
        <i/>
        <sz val="12"/>
        <color theme="1"/>
        <rFont val="Times New Roman"/>
        <family val="1"/>
        <charset val="186"/>
      </rPr>
      <t>euro</t>
    </r>
    <r>
      <rPr>
        <sz val="12"/>
        <color theme="1"/>
        <rFont val="Times New Roman"/>
        <family val="1"/>
        <charset val="186"/>
      </rPr>
      <t xml:space="preserve"> + 3,60 </t>
    </r>
    <r>
      <rPr>
        <i/>
        <sz val="12"/>
        <color theme="1"/>
        <rFont val="Times New Roman"/>
        <family val="1"/>
        <charset val="186"/>
      </rPr>
      <t>euro</t>
    </r>
    <r>
      <rPr>
        <sz val="12"/>
        <color theme="1"/>
        <rFont val="Times New Roman"/>
        <family val="1"/>
        <charset val="186"/>
      </rPr>
      <t xml:space="preserve">) = 32,13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</si>
  <si>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166,74 </t>
    </r>
    <r>
      <rPr>
        <i/>
        <sz val="12"/>
        <color theme="1"/>
        <rFont val="Times New Roman"/>
        <family val="1"/>
        <charset val="186"/>
      </rPr>
      <t>euro</t>
    </r>
    <r>
      <rPr>
        <sz val="12"/>
        <color theme="1"/>
        <rFont val="Times New Roman"/>
        <family val="1"/>
        <charset val="186"/>
      </rPr>
      <t xml:space="preserve">. Veselības apdrošināšana 32,13 </t>
    </r>
    <r>
      <rPr>
        <i/>
        <sz val="12"/>
        <color theme="1"/>
        <rFont val="Times New Roman"/>
        <family val="1"/>
        <charset val="186"/>
      </rPr>
      <t>euro</t>
    </r>
    <r>
      <rPr>
        <sz val="12"/>
        <color theme="1"/>
        <rFont val="Times New Roman"/>
        <family val="1"/>
        <charset val="186"/>
      </rPr>
      <t xml:space="preserve">. Kopā 198,87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</si>
  <si>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0.0217 (iznomātās platības koeficients) = 2,43 </t>
    </r>
    <r>
      <rPr>
        <i/>
        <sz val="12"/>
        <color theme="1"/>
        <rFont val="Times New Roman"/>
        <family val="1"/>
        <charset val="186"/>
      </rPr>
      <t>euro.</t>
    </r>
  </si>
  <si>
    <r>
      <t xml:space="preserve">Pamatlīdzekļu amortizācija 1 134,21 </t>
    </r>
    <r>
      <rPr>
        <i/>
        <sz val="12"/>
        <color theme="1"/>
        <rFont val="Times New Roman"/>
        <family val="1"/>
        <charset val="186"/>
      </rPr>
      <t>euro</t>
    </r>
    <r>
      <rPr>
        <sz val="12"/>
        <color theme="1"/>
        <rFont val="Times New Roman"/>
        <family val="1"/>
        <charset val="186"/>
      </rPr>
      <t xml:space="preserve"> gadā * 0.0217 (iznomātās platības koeficients) = 24,61 </t>
    </r>
    <r>
      <rPr>
        <i/>
        <sz val="12"/>
        <color theme="1"/>
        <rFont val="Times New Roman"/>
        <family val="1"/>
        <charset val="186"/>
      </rPr>
      <t>euro.</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</si>
  <si>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0.0217 (iznomātās platības koeficients) = 134,59 </t>
    </r>
    <r>
      <rPr>
        <i/>
        <sz val="12"/>
        <color theme="1"/>
        <rFont val="Times New Roman"/>
        <family val="1"/>
        <charset val="186"/>
      </rPr>
      <t>euro</t>
    </r>
    <r>
      <rPr>
        <sz val="12"/>
        <color theme="1"/>
        <rFont val="Times New Roman"/>
        <family val="1"/>
        <charset val="186"/>
      </rPr>
      <t xml:space="preserve">. </t>
    </r>
  </si>
  <si>
    <r>
      <t xml:space="preserve">Darba devēja valsts sociālās apdrošināšanas obligātās iemaksas (1 830,60 </t>
    </r>
    <r>
      <rPr>
        <i/>
        <sz val="12"/>
        <color theme="1"/>
        <rFont val="Times New Roman"/>
        <family val="1"/>
        <charset val="186"/>
      </rPr>
      <t>euro</t>
    </r>
    <r>
      <rPr>
        <sz val="12"/>
        <color theme="1"/>
        <rFont val="Times New Roman"/>
        <family val="1"/>
        <charset val="186"/>
      </rPr>
      <t xml:space="preserve"> * 23,59 %) = 431,84 </t>
    </r>
    <r>
      <rPr>
        <i/>
        <sz val="12"/>
        <color theme="1"/>
        <rFont val="Times New Roman"/>
        <family val="1"/>
        <charset val="186"/>
      </rPr>
      <t xml:space="preserve">euro. </t>
    </r>
  </si>
  <si>
    <r>
      <t xml:space="preserve">Darba devēja valsts sociālās apdrošināšanas obligātās iemaksas 431,84 </t>
    </r>
    <r>
      <rPr>
        <i/>
        <sz val="12"/>
        <color theme="1"/>
        <rFont val="Times New Roman"/>
        <family val="1"/>
        <charset val="186"/>
      </rPr>
      <t>euro</t>
    </r>
    <r>
      <rPr>
        <sz val="12"/>
        <color theme="1"/>
        <rFont val="Times New Roman"/>
        <family val="1"/>
        <charset val="186"/>
      </rPr>
      <t xml:space="preserve">. Veselības apdrošināšana 83,21 </t>
    </r>
    <r>
      <rPr>
        <i/>
        <sz val="12"/>
        <color theme="1"/>
        <rFont val="Times New Roman"/>
        <family val="1"/>
        <charset val="186"/>
      </rPr>
      <t>euro</t>
    </r>
    <r>
      <rPr>
        <sz val="12"/>
        <color theme="1"/>
        <rFont val="Times New Roman"/>
        <family val="1"/>
        <charset val="186"/>
      </rPr>
      <t xml:space="preserve">. Kopā 515,05 </t>
    </r>
    <r>
      <rPr>
        <i/>
        <sz val="12"/>
        <color theme="1"/>
        <rFont val="Times New Roman"/>
        <family val="1"/>
        <charset val="186"/>
      </rPr>
      <t>euro</t>
    </r>
    <r>
      <rPr>
        <sz val="12"/>
        <color theme="1"/>
        <rFont val="Times New Roman"/>
        <family val="1"/>
        <charset val="186"/>
      </rPr>
      <t>.</t>
    </r>
  </si>
  <si>
    <r>
      <t xml:space="preserve">Pamatlīdzekļu amortizācija 2 748,15 </t>
    </r>
    <r>
      <rPr>
        <i/>
        <sz val="12"/>
        <color theme="1"/>
        <rFont val="Times New Roman"/>
        <family val="1"/>
        <charset val="186"/>
      </rPr>
      <t>euro</t>
    </r>
    <r>
      <rPr>
        <sz val="12"/>
        <color theme="1"/>
        <rFont val="Times New Roman"/>
        <family val="1"/>
        <charset val="186"/>
      </rPr>
      <t xml:space="preserve"> gadā * 0.0562 (iznomātās platības koeficients) = 154,45 </t>
    </r>
    <r>
      <rPr>
        <i/>
        <sz val="12"/>
        <color theme="1"/>
        <rFont val="Times New Roman"/>
        <family val="1"/>
        <charset val="186"/>
      </rPr>
      <t>euro.</t>
    </r>
  </si>
  <si>
    <r>
      <t xml:space="preserve">Nekustamā īpašuma nodoklis 8 084,39 </t>
    </r>
    <r>
      <rPr>
        <i/>
        <sz val="12"/>
        <color theme="1"/>
        <rFont val="Times New Roman"/>
        <family val="1"/>
        <charset val="186"/>
      </rPr>
      <t>euro</t>
    </r>
    <r>
      <rPr>
        <sz val="12"/>
        <color theme="1"/>
        <rFont val="Times New Roman"/>
        <family val="1"/>
        <charset val="186"/>
      </rPr>
      <t xml:space="preserve"> gadā * 0.0562 (iznomātās platības koeficients) = 454,34 </t>
    </r>
    <r>
      <rPr>
        <i/>
        <sz val="12"/>
        <color theme="1"/>
        <rFont val="Times New Roman"/>
        <family val="1"/>
        <charset val="186"/>
      </rPr>
      <t>euro</t>
    </r>
    <r>
      <rPr>
        <sz val="12"/>
        <color theme="1"/>
        <rFont val="Times New Roman"/>
        <family val="1"/>
        <charset val="186"/>
      </rPr>
      <t>.</t>
    </r>
  </si>
  <si>
    <r>
      <t xml:space="preserve">Dabas resursu nodoklis 1 920,89 </t>
    </r>
    <r>
      <rPr>
        <i/>
        <sz val="12"/>
        <color theme="1"/>
        <rFont val="Times New Roman"/>
        <family val="1"/>
        <charset val="186"/>
      </rPr>
      <t>euro</t>
    </r>
    <r>
      <rPr>
        <sz val="12"/>
        <color theme="1"/>
        <rFont val="Times New Roman"/>
        <family val="1"/>
        <charset val="186"/>
      </rPr>
      <t xml:space="preserve"> gadā * 0.0562 (iznomātās platības koeficients) = 107,95 </t>
    </r>
    <r>
      <rPr>
        <i/>
        <sz val="12"/>
        <color theme="1"/>
        <rFont val="Times New Roman"/>
        <family val="1"/>
        <charset val="186"/>
      </rPr>
      <t>euro.</t>
    </r>
  </si>
  <si>
    <r>
      <t xml:space="preserve">Pamatlīdzekļu amortizācija 251,64 </t>
    </r>
    <r>
      <rPr>
        <i/>
        <sz val="12"/>
        <color theme="1"/>
        <rFont val="Times New Roman"/>
        <family val="1"/>
        <charset val="186"/>
      </rPr>
      <t>euro</t>
    </r>
    <r>
      <rPr>
        <sz val="12"/>
        <color theme="1"/>
        <rFont val="Times New Roman"/>
        <family val="1"/>
        <charset val="186"/>
      </rPr>
      <t xml:space="preserve"> gadā * 0.0562 (iznomātās platības koeficients) = 14,14 </t>
    </r>
    <r>
      <rPr>
        <i/>
        <sz val="12"/>
        <color theme="1"/>
        <rFont val="Times New Roman"/>
        <family val="1"/>
        <charset val="186"/>
      </rPr>
      <t>euro.</t>
    </r>
  </si>
  <si>
    <r>
      <t xml:space="preserve">Pamatlīdzekļu amortizācija 1 134,21 </t>
    </r>
    <r>
      <rPr>
        <i/>
        <sz val="12"/>
        <color theme="1"/>
        <rFont val="Times New Roman"/>
        <family val="1"/>
        <charset val="186"/>
      </rPr>
      <t>euro</t>
    </r>
    <r>
      <rPr>
        <sz val="12"/>
        <color theme="1"/>
        <rFont val="Times New Roman"/>
        <family val="1"/>
        <charset val="186"/>
      </rPr>
      <t xml:space="preserve"> gadā * 0.0562 (iznomātās platības koeficients) = 63,74 </t>
    </r>
    <r>
      <rPr>
        <i/>
        <sz val="12"/>
        <color theme="1"/>
        <rFont val="Times New Roman"/>
        <family val="1"/>
        <charset val="186"/>
      </rPr>
      <t>euro.</t>
    </r>
  </si>
  <si>
    <r>
      <t xml:space="preserve">Saimniecības, remonta materiālu un transportlīdzekļu uzturēšanas materiālu iegādes izdevumi 1 711,80 </t>
    </r>
    <r>
      <rPr>
        <i/>
        <sz val="12"/>
        <color theme="1"/>
        <rFont val="Times New Roman"/>
        <family val="1"/>
        <charset val="186"/>
      </rPr>
      <t>euro</t>
    </r>
    <r>
      <rPr>
        <sz val="12"/>
        <color theme="1"/>
        <rFont val="Times New Roman"/>
        <family val="1"/>
        <charset val="186"/>
      </rPr>
      <t xml:space="preserve"> gadā * 0.0562 (iznomātās platības koeficients) = 96,20 </t>
    </r>
    <r>
      <rPr>
        <i/>
        <sz val="12"/>
        <color theme="1"/>
        <rFont val="Times New Roman"/>
        <family val="1"/>
        <charset val="186"/>
      </rPr>
      <t>euro</t>
    </r>
    <r>
      <rPr>
        <sz val="12"/>
        <color theme="1"/>
        <rFont val="Times New Roman"/>
        <family val="1"/>
        <charset val="186"/>
      </rPr>
      <t>.</t>
    </r>
  </si>
  <si>
    <r>
      <t xml:space="preserve">Inventāra iegādes izdevumi 856,97 </t>
    </r>
    <r>
      <rPr>
        <i/>
        <sz val="12"/>
        <color theme="1"/>
        <rFont val="Times New Roman"/>
        <family val="1"/>
        <charset val="186"/>
      </rPr>
      <t>euro</t>
    </r>
    <r>
      <rPr>
        <sz val="12"/>
        <color theme="1"/>
        <rFont val="Times New Roman"/>
        <family val="1"/>
        <charset val="186"/>
      </rPr>
      <t xml:space="preserve"> gadā * 0.0562 (iznomātās platības koeficients) = 48,16 </t>
    </r>
    <r>
      <rPr>
        <i/>
        <sz val="12"/>
        <color theme="1"/>
        <rFont val="Times New Roman"/>
        <family val="1"/>
        <charset val="186"/>
      </rPr>
      <t>euro.</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</si>
  <si>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0.0562 (iznomātās platības koeficients) = 208,27 </t>
    </r>
    <r>
      <rPr>
        <i/>
        <sz val="12"/>
        <color theme="1"/>
        <rFont val="Times New Roman"/>
        <family val="1"/>
        <charset val="186"/>
      </rPr>
      <t>euro.</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</si>
  <si>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0.0562 (iznomātās platības koeficients) = 189,88 </t>
    </r>
    <r>
      <rPr>
        <i/>
        <sz val="12"/>
        <color theme="1"/>
        <rFont val="Times New Roman"/>
        <family val="1"/>
        <charset val="186"/>
      </rPr>
      <t>euro.</t>
    </r>
  </si>
  <si>
    <r>
      <t xml:space="preserve">Ēku kompleksa iekārtu, inventāra apkope un remonts, avāriju bojājumu novēršanas izdevumi 956,50 </t>
    </r>
    <r>
      <rPr>
        <i/>
        <sz val="12"/>
        <color theme="1"/>
        <rFont val="Times New Roman"/>
        <family val="1"/>
        <charset val="186"/>
      </rPr>
      <t>euro</t>
    </r>
    <r>
      <rPr>
        <sz val="12"/>
        <color theme="1"/>
        <rFont val="Times New Roman"/>
        <family val="1"/>
        <charset val="186"/>
      </rPr>
      <t xml:space="preserve"> gadā * 0.0562 (iznomātās platības koeficients) = 53,76 </t>
    </r>
    <r>
      <rPr>
        <i/>
        <sz val="12"/>
        <color theme="1"/>
        <rFont val="Times New Roman"/>
        <family val="1"/>
        <charset val="186"/>
      </rPr>
      <t>euro.</t>
    </r>
  </si>
  <si>
    <r>
      <t xml:space="preserve">Izdevumi par atkritumu izvešanu 275,91 </t>
    </r>
    <r>
      <rPr>
        <i/>
        <sz val="12"/>
        <color theme="1"/>
        <rFont val="Times New Roman"/>
        <family val="1"/>
        <charset val="186"/>
      </rPr>
      <t>euro</t>
    </r>
    <r>
      <rPr>
        <sz val="12"/>
        <color theme="1"/>
        <rFont val="Times New Roman"/>
        <family val="1"/>
        <charset val="186"/>
      </rPr>
      <t xml:space="preserve"> gadā * 0.0562 (iznomātās platības koeficients) = 15,51 </t>
    </r>
    <r>
      <rPr>
        <i/>
        <sz val="12"/>
        <color theme="1"/>
        <rFont val="Times New Roman"/>
        <family val="1"/>
        <charset val="186"/>
      </rPr>
      <t>euro.</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</si>
  <si>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0.0562 (iznomātās platības koeficients) = 8,38 </t>
    </r>
    <r>
      <rPr>
        <i/>
        <sz val="12"/>
        <color theme="1"/>
        <rFont val="Times New Roman"/>
        <family val="1"/>
        <charset val="186"/>
      </rPr>
      <t>euro</t>
    </r>
    <r>
      <rPr>
        <sz val="12"/>
        <color theme="1"/>
        <rFont val="Times New Roman"/>
        <family val="1"/>
        <charset val="186"/>
      </rPr>
      <t>.</t>
    </r>
  </si>
  <si>
    <r>
      <t xml:space="preserve">Izdevumi atļauju izmantot autoru darbus 57,00 </t>
    </r>
    <r>
      <rPr>
        <i/>
        <sz val="12"/>
        <color theme="1"/>
        <rFont val="Times New Roman"/>
        <family val="1"/>
        <charset val="186"/>
      </rPr>
      <t>euro</t>
    </r>
    <r>
      <rPr>
        <sz val="12"/>
        <color theme="1"/>
        <rFont val="Times New Roman"/>
        <family val="1"/>
        <charset val="186"/>
      </rPr>
      <t xml:space="preserve"> gadā * 0.0562 (iznomātās platības koeficients) = 3,20 </t>
    </r>
    <r>
      <rPr>
        <i/>
        <sz val="12"/>
        <color theme="1"/>
        <rFont val="Times New Roman"/>
        <family val="1"/>
        <charset val="186"/>
      </rPr>
      <t>euro</t>
    </r>
    <r>
      <rPr>
        <sz val="12"/>
        <color theme="1"/>
        <rFont val="Times New Roman"/>
        <family val="1"/>
        <charset val="186"/>
      </rPr>
      <t>.</t>
    </r>
  </si>
  <si>
    <r>
      <t xml:space="preserve">Kārtējā remonta izdevumi 1 875,92 </t>
    </r>
    <r>
      <rPr>
        <i/>
        <sz val="12"/>
        <color theme="1"/>
        <rFont val="Times New Roman"/>
        <family val="1"/>
        <charset val="186"/>
      </rPr>
      <t>euro</t>
    </r>
    <r>
      <rPr>
        <sz val="12"/>
        <color theme="1"/>
        <rFont val="Times New Roman"/>
        <family val="1"/>
        <charset val="186"/>
      </rPr>
      <t xml:space="preserve"> gadā * 0.0562 (iznomātās platības koeficients) = 105,43 </t>
    </r>
    <r>
      <rPr>
        <i/>
        <sz val="12"/>
        <color theme="1"/>
        <rFont val="Times New Roman"/>
        <family val="1"/>
        <charset val="186"/>
      </rPr>
      <t>euro</t>
    </r>
    <r>
      <rPr>
        <sz val="12"/>
        <color theme="1"/>
        <rFont val="Times New Roman"/>
        <family val="1"/>
        <charset val="186"/>
      </rPr>
      <t>.</t>
    </r>
  </si>
  <si>
    <r>
      <t xml:space="preserve">Izdevumi par elektroenerģiju 7 807,39 </t>
    </r>
    <r>
      <rPr>
        <i/>
        <sz val="12"/>
        <color theme="1"/>
        <rFont val="Times New Roman"/>
        <family val="1"/>
        <charset val="186"/>
      </rPr>
      <t>euro</t>
    </r>
    <r>
      <rPr>
        <sz val="12"/>
        <color theme="1"/>
        <rFont val="Times New Roman"/>
        <family val="1"/>
        <charset val="186"/>
      </rPr>
      <t xml:space="preserve"> gadā * 0.0562 (iznomātās platības koeficients) = 438,78 </t>
    </r>
    <r>
      <rPr>
        <i/>
        <sz val="12"/>
        <color theme="1"/>
        <rFont val="Times New Roman"/>
        <family val="1"/>
        <charset val="186"/>
      </rPr>
      <t>euro.</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</si>
  <si>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0.0562 (iznomātās platības koeficients) = 236,25 </t>
    </r>
    <r>
      <rPr>
        <i/>
        <sz val="12"/>
        <color theme="1"/>
        <rFont val="Times New Roman"/>
        <family val="1"/>
        <charset val="186"/>
      </rPr>
      <t>euro</t>
    </r>
    <r>
      <rPr>
        <sz val="12"/>
        <color theme="1"/>
        <rFont val="Times New Roman"/>
        <family val="1"/>
        <charset val="186"/>
      </rPr>
      <t>.</t>
    </r>
  </si>
  <si>
    <r>
      <t xml:space="preserve">Izdevumi par apkuri 82 944,32 </t>
    </r>
    <r>
      <rPr>
        <i/>
        <sz val="12"/>
        <color theme="1"/>
        <rFont val="Times New Roman"/>
        <family val="1"/>
        <charset val="186"/>
      </rPr>
      <t>euro</t>
    </r>
    <r>
      <rPr>
        <sz val="12"/>
        <color theme="1"/>
        <rFont val="Times New Roman"/>
        <family val="1"/>
        <charset val="186"/>
      </rPr>
      <t xml:space="preserve"> gadā * 0.0562 (iznomātās platības koeficients) = 4 661,47 </t>
    </r>
    <r>
      <rPr>
        <i/>
        <sz val="12"/>
        <color theme="1"/>
        <rFont val="Times New Roman"/>
        <family val="1"/>
        <charset val="186"/>
      </rPr>
      <t>euro.</t>
    </r>
  </si>
  <si>
    <r>
      <t xml:space="preserve">Darba devēja valsts sociālās apdrošināšanas obligātās iemaksas 313,38 </t>
    </r>
    <r>
      <rPr>
        <i/>
        <sz val="12"/>
        <color theme="1"/>
        <rFont val="Times New Roman"/>
        <family val="1"/>
        <charset val="186"/>
      </rPr>
      <t>euro</t>
    </r>
    <r>
      <rPr>
        <sz val="12"/>
        <color theme="1"/>
        <rFont val="Times New Roman"/>
        <family val="1"/>
        <charset val="186"/>
      </rPr>
      <t xml:space="preserve"> * 23,59 % = 73,93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</si>
  <si>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0.0562 (iznomātās platības koeficients) = 9,48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</si>
  <si>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0.0562 (iznomātās platības koeficients) = 6,29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</si>
  <si>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t>
    </r>
    <r>
      <rPr>
        <i/>
        <sz val="12"/>
        <color theme="1"/>
        <rFont val="Times New Roman"/>
        <family val="1"/>
        <charset val="186"/>
      </rPr>
      <t>euro</t>
    </r>
    <r>
      <rPr>
        <sz val="12"/>
        <color theme="1"/>
        <rFont val="Times New Roman"/>
        <family val="1"/>
        <charset val="186"/>
      </rPr>
      <t xml:space="preserve">/mēn. * 12. mēn. = 161,52 </t>
    </r>
    <r>
      <rPr>
        <i/>
        <sz val="12"/>
        <color theme="1"/>
        <rFont val="Times New Roman"/>
        <family val="1"/>
        <charset val="186"/>
      </rPr>
      <t>euro</t>
    </r>
    <r>
      <rPr>
        <sz val="12"/>
        <color theme="1"/>
        <rFont val="Times New Roman"/>
        <family val="1"/>
        <charset val="186"/>
      </rPr>
      <t xml:space="preserve"> * 0.0562 (iznomātās platības koeficients) = 9,08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</si>
  <si>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0.0562 (iznomātās platības koeficients) = 8,88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</si>
  <si>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0.0562 (iznomātās platības koeficients) = 51,11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</si>
  <si>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0.0562 (iznomātās platības koeficients) = 52,10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</si>
  <si>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0.0562 (iznomātās platības koeficients) = 66,75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</si>
  <si>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euro).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0.0562 (iznomātās platības koeficients) = 77,48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</si>
  <si>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t>
    </r>
    <r>
      <rPr>
        <i/>
        <sz val="12"/>
        <color theme="1"/>
        <rFont val="Times New Roman"/>
        <family val="1"/>
        <charset val="186"/>
      </rPr>
      <t>euro</t>
    </r>
    <r>
      <rPr>
        <sz val="12"/>
        <color theme="1"/>
        <rFont val="Times New Roman"/>
        <family val="1"/>
        <charset val="186"/>
      </rPr>
      <t xml:space="preserve">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0.0562 (iznomātās platības koeficients) = 19,64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</si>
  <si>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886,53 </t>
    </r>
    <r>
      <rPr>
        <i/>
        <sz val="12"/>
        <color theme="1"/>
        <rFont val="Times New Roman"/>
        <family val="1"/>
        <charset val="186"/>
      </rPr>
      <t>euro</t>
    </r>
    <r>
      <rPr>
        <sz val="12"/>
        <color theme="1"/>
        <rFont val="Times New Roman"/>
        <family val="1"/>
        <charset val="186"/>
      </rPr>
      <t xml:space="preserve"> * 23,59 % = 209,13 </t>
    </r>
    <r>
      <rPr>
        <i/>
        <sz val="12"/>
        <color theme="1"/>
        <rFont val="Times New Roman"/>
        <family val="1"/>
        <charset val="186"/>
      </rPr>
      <t>euro.</t>
    </r>
  </si>
  <si>
    <r>
      <t xml:space="preserve">Darba devēja valsts sociālās apdrošināšanas obligātās iemaksas (5 179,11 </t>
    </r>
    <r>
      <rPr>
        <i/>
        <sz val="12"/>
        <color theme="1"/>
        <rFont val="Times New Roman"/>
        <family val="1"/>
        <charset val="186"/>
      </rPr>
      <t>euro</t>
    </r>
    <r>
      <rPr>
        <sz val="12"/>
        <color theme="1"/>
        <rFont val="Times New Roman"/>
        <family val="1"/>
        <charset val="186"/>
      </rPr>
      <t xml:space="preserve"> * 23,59 %) = 1 221,75 </t>
    </r>
    <r>
      <rPr>
        <i/>
        <sz val="12"/>
        <color theme="1"/>
        <rFont val="Times New Roman"/>
        <family val="1"/>
        <charset val="186"/>
      </rPr>
      <t xml:space="preserve">euro. </t>
    </r>
  </si>
  <si>
    <r>
      <t xml:space="preserve">Darba devēja valsts sociālās apdrošināšanas obligātās iemaksas 1 221,75 </t>
    </r>
    <r>
      <rPr>
        <i/>
        <sz val="12"/>
        <color theme="1"/>
        <rFont val="Times New Roman"/>
        <family val="1"/>
        <charset val="186"/>
      </rPr>
      <t>euro</t>
    </r>
    <r>
      <rPr>
        <sz val="12"/>
        <color theme="1"/>
        <rFont val="Times New Roman"/>
        <family val="1"/>
        <charset val="186"/>
      </rPr>
      <t xml:space="preserve">. Veselības apdrošināšana 235,42 </t>
    </r>
    <r>
      <rPr>
        <i/>
        <sz val="12"/>
        <color theme="1"/>
        <rFont val="Times New Roman"/>
        <family val="1"/>
        <charset val="186"/>
      </rPr>
      <t>euro</t>
    </r>
    <r>
      <rPr>
        <sz val="12"/>
        <color theme="1"/>
        <rFont val="Times New Roman"/>
        <family val="1"/>
        <charset val="186"/>
      </rPr>
      <t xml:space="preserve">. Kopā 1 457,17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</si>
  <si>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 xml:space="preserve">/mēn. * 12 mēn. = 5 834,40 </t>
    </r>
    <r>
      <rPr>
        <i/>
        <sz val="12"/>
        <color theme="1"/>
        <rFont val="Times New Roman"/>
        <family val="1"/>
        <charset val="186"/>
      </rPr>
      <t>euro</t>
    </r>
    <r>
      <rPr>
        <sz val="12"/>
        <color theme="1"/>
        <rFont val="Times New Roman"/>
        <family val="1"/>
        <charset val="186"/>
      </rPr>
      <t xml:space="preserve">  * 0.159 (iznomātās platības koeficients) = 927,67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</si>
  <si>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0.159 (iznomātās platības koeficients) = 986,15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</si>
  <si>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0.159 (iznomātās platības koeficients) = 26,81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</si>
  <si>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0.159 (iznomātās platības koeficients) = 17,78 </t>
    </r>
    <r>
      <rPr>
        <i/>
        <sz val="12"/>
        <color theme="1"/>
        <rFont val="Times New Roman"/>
        <family val="1"/>
        <charset val="186"/>
      </rPr>
      <t>euro.</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</si>
  <si>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t>
    </r>
    <r>
      <rPr>
        <i/>
        <sz val="12"/>
        <color theme="1"/>
        <rFont val="Times New Roman"/>
        <family val="1"/>
        <charset val="186"/>
      </rPr>
      <t>euro</t>
    </r>
    <r>
      <rPr>
        <sz val="12"/>
        <color theme="1"/>
        <rFont val="Times New Roman"/>
        <family val="1"/>
        <charset val="186"/>
      </rPr>
      <t xml:space="preserve">/mēn. * 12. mēn. = 161,52 </t>
    </r>
    <r>
      <rPr>
        <i/>
        <sz val="12"/>
        <color theme="1"/>
        <rFont val="Times New Roman"/>
        <family val="1"/>
        <charset val="186"/>
      </rPr>
      <t>euro</t>
    </r>
    <r>
      <rPr>
        <sz val="12"/>
        <color theme="1"/>
        <rFont val="Times New Roman"/>
        <family val="1"/>
        <charset val="186"/>
      </rPr>
      <t xml:space="preserve"> * 0.159 (iznomātās platības koeficients) = 25,68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</si>
  <si>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1.24 stundas, (15,03 </t>
    </r>
    <r>
      <rPr>
        <i/>
        <sz val="12"/>
        <color theme="1"/>
        <rFont val="Times New Roman"/>
        <family val="1"/>
        <charset val="186"/>
      </rPr>
      <t>euro</t>
    </r>
    <r>
      <rPr>
        <sz val="12"/>
        <color theme="1"/>
        <rFont val="Times New Roman"/>
        <family val="1"/>
        <charset val="186"/>
      </rPr>
      <t xml:space="preserve"> * 1.24 h) = 18,64 </t>
    </r>
    <r>
      <rPr>
        <i/>
        <sz val="12"/>
        <color theme="1"/>
        <rFont val="Times New Roman"/>
        <family val="1"/>
        <charset val="186"/>
      </rPr>
      <t>euro</t>
    </r>
    <r>
      <rPr>
        <sz val="12"/>
        <color theme="1"/>
        <rFont val="Times New Roman"/>
        <family val="1"/>
        <charset val="186"/>
      </rPr>
      <t xml:space="preserve">/mēn. * 12. mēn. = 223,68 </t>
    </r>
    <r>
      <rPr>
        <i/>
        <sz val="12"/>
        <color theme="1"/>
        <rFont val="Times New Roman"/>
        <family val="1"/>
        <charset val="186"/>
      </rPr>
      <t>euro</t>
    </r>
    <r>
      <rPr>
        <sz val="12"/>
        <color theme="1"/>
        <rFont val="Times New Roman"/>
        <family val="1"/>
        <charset val="186"/>
      </rPr>
      <t xml:space="preserve"> * 0.159 (iznomātās platības koeficients) = 35,57 </t>
    </r>
    <r>
      <rPr>
        <i/>
        <sz val="12"/>
        <color theme="1"/>
        <rFont val="Times New Roman"/>
        <family val="1"/>
        <charset val="186"/>
      </rPr>
      <t>euro</t>
    </r>
    <r>
      <rPr>
        <sz val="12"/>
        <color theme="1"/>
        <rFont val="Times New Roman"/>
        <family val="1"/>
        <charset val="186"/>
      </rPr>
      <t>.</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</si>
  <si>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euro/mēn.</t>
    </r>
    <r>
      <rPr>
        <sz val="12"/>
        <color theme="1"/>
        <rFont val="Times New Roman"/>
        <family val="1"/>
        <charset val="186"/>
      </rPr>
      <t xml:space="preserve"> * 12 mēn. = 7 361,04 </t>
    </r>
    <r>
      <rPr>
        <i/>
        <sz val="12"/>
        <color theme="1"/>
        <rFont val="Times New Roman"/>
        <family val="1"/>
        <charset val="186"/>
      </rPr>
      <t>euro</t>
    </r>
    <r>
      <rPr>
        <sz val="12"/>
        <color theme="1"/>
        <rFont val="Times New Roman"/>
        <family val="1"/>
        <charset val="186"/>
      </rPr>
      <t xml:space="preserve"> * 0.159 (iznomātās platības koeficients) = 1 170,41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</si>
  <si>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euro/mēn.</t>
    </r>
    <r>
      <rPr>
        <sz val="12"/>
        <color theme="1"/>
        <rFont val="Times New Roman"/>
        <family val="1"/>
        <charset val="186"/>
      </rPr>
      <t xml:space="preserve"> * 12 mēn. = 6 893,76 </t>
    </r>
    <r>
      <rPr>
        <i/>
        <sz val="12"/>
        <color theme="1"/>
        <rFont val="Times New Roman"/>
        <family val="1"/>
        <charset val="186"/>
      </rPr>
      <t>euro</t>
    </r>
    <r>
      <rPr>
        <sz val="12"/>
        <color theme="1"/>
        <rFont val="Times New Roman"/>
        <family val="1"/>
        <charset val="186"/>
      </rPr>
      <t xml:space="preserve"> * 0.159 (iznomātās platības koeficients) = 1 096,11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</si>
  <si>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t>
    </r>
    <r>
      <rPr>
        <sz val="12"/>
        <color theme="1"/>
        <rFont val="Times New Roman"/>
        <family val="1"/>
        <charset val="186"/>
      </rPr>
      <t xml:space="preserve">/mēn. * 12 mēn. = 6 893,76 </t>
    </r>
    <r>
      <rPr>
        <i/>
        <sz val="12"/>
        <color theme="1"/>
        <rFont val="Times New Roman"/>
        <family val="1"/>
        <charset val="186"/>
      </rPr>
      <t>euro</t>
    </r>
    <r>
      <rPr>
        <sz val="12"/>
        <color theme="1"/>
        <rFont val="Times New Roman"/>
        <family val="1"/>
        <charset val="186"/>
      </rPr>
      <t xml:space="preserve"> * 0.0562 (iznomātās platības koeficients) = 387,43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</si>
  <si>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t>
    </r>
    <r>
      <rPr>
        <sz val="12"/>
        <color theme="1"/>
        <rFont val="Times New Roman"/>
        <family val="1"/>
        <charset val="186"/>
      </rPr>
      <t xml:space="preserve">/mēn. * 12 mēn. = 7 361,04 </t>
    </r>
    <r>
      <rPr>
        <i/>
        <sz val="12"/>
        <color theme="1"/>
        <rFont val="Times New Roman"/>
        <family val="1"/>
        <charset val="186"/>
      </rPr>
      <t>euro</t>
    </r>
    <r>
      <rPr>
        <sz val="12"/>
        <color theme="1"/>
        <rFont val="Times New Roman"/>
        <family val="1"/>
        <charset val="186"/>
      </rPr>
      <t xml:space="preserve"> * 0.0562 (iznomātās platības koeficients) = 413,69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</si>
  <si>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 xml:space="preserve">/mēn. * 12 mēn. = 5 834,40 </t>
    </r>
    <r>
      <rPr>
        <i/>
        <sz val="12"/>
        <color theme="1"/>
        <rFont val="Times New Roman"/>
        <family val="1"/>
        <charset val="186"/>
      </rPr>
      <t>euro</t>
    </r>
    <r>
      <rPr>
        <sz val="12"/>
        <color theme="1"/>
        <rFont val="Times New Roman"/>
        <family val="1"/>
        <charset val="186"/>
      </rPr>
      <t xml:space="preserve">  * 0.0562 (iznomātās platības koeficients) = 327,89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</si>
  <si>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0.0562 (iznomātās platības koeficients) = 348,56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</si>
  <si>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euro/mēn.</t>
    </r>
    <r>
      <rPr>
        <sz val="12"/>
        <color theme="1"/>
        <rFont val="Times New Roman"/>
        <family val="1"/>
        <charset val="186"/>
      </rPr>
      <t xml:space="preserve"> * 12 mēn. = 6 893,76 </t>
    </r>
    <r>
      <rPr>
        <i/>
        <sz val="12"/>
        <color theme="1"/>
        <rFont val="Times New Roman"/>
        <family val="1"/>
        <charset val="186"/>
      </rPr>
      <t>euro</t>
    </r>
    <r>
      <rPr>
        <sz val="12"/>
        <color theme="1"/>
        <rFont val="Times New Roman"/>
        <family val="1"/>
        <charset val="186"/>
      </rPr>
      <t xml:space="preserve"> * 0.0217 (iznomātās platības koeficients) = 149,59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</si>
  <si>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euro/mēn.</t>
    </r>
    <r>
      <rPr>
        <sz val="12"/>
        <color theme="1"/>
        <rFont val="Times New Roman"/>
        <family val="1"/>
        <charset val="186"/>
      </rPr>
      <t xml:space="preserve"> * 12 mēn. = 7 361,04 </t>
    </r>
    <r>
      <rPr>
        <i/>
        <sz val="12"/>
        <color theme="1"/>
        <rFont val="Times New Roman"/>
        <family val="1"/>
        <charset val="186"/>
      </rPr>
      <t>euro</t>
    </r>
    <r>
      <rPr>
        <sz val="12"/>
        <color theme="1"/>
        <rFont val="Times New Roman"/>
        <family val="1"/>
        <charset val="186"/>
      </rPr>
      <t xml:space="preserve"> * 0.0217 (iznomātās platības koeficients) = 159,73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</si>
  <si>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0.0115 (iznomātās platības koeficients) = 71,33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</si>
  <si>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 xml:space="preserve">/mēn. * 12 mēn. = 5 834,40 </t>
    </r>
    <r>
      <rPr>
        <i/>
        <sz val="12"/>
        <color theme="1"/>
        <rFont val="Times New Roman"/>
        <family val="1"/>
        <charset val="186"/>
      </rPr>
      <t>euro</t>
    </r>
    <r>
      <rPr>
        <sz val="12"/>
        <color theme="1"/>
        <rFont val="Times New Roman"/>
        <family val="1"/>
        <charset val="186"/>
      </rPr>
      <t xml:space="preserve"> * 0.0115 (iznomātās platības koeficients) = 67,10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</si>
  <si>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euro/mēn.</t>
    </r>
    <r>
      <rPr>
        <sz val="12"/>
        <color theme="1"/>
        <rFont val="Times New Roman"/>
        <family val="1"/>
        <charset val="186"/>
      </rPr>
      <t xml:space="preserve"> * 12 mēn. = 7 361,04 </t>
    </r>
    <r>
      <rPr>
        <i/>
        <sz val="12"/>
        <color theme="1"/>
        <rFont val="Times New Roman"/>
        <family val="1"/>
        <charset val="186"/>
      </rPr>
      <t>euro</t>
    </r>
    <r>
      <rPr>
        <sz val="12"/>
        <color theme="1"/>
        <rFont val="Times New Roman"/>
        <family val="1"/>
        <charset val="186"/>
      </rPr>
      <t xml:space="preserve"> * 0.0115 (iznomātās platības koeficients) = 84,65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</si>
  <si>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euro/mēn.</t>
    </r>
    <r>
      <rPr>
        <sz val="12"/>
        <color theme="1"/>
        <rFont val="Times New Roman"/>
        <family val="1"/>
        <charset val="186"/>
      </rPr>
      <t xml:space="preserve"> * 12 mēn. = 6 893,76 </t>
    </r>
    <r>
      <rPr>
        <i/>
        <sz val="12"/>
        <color theme="1"/>
        <rFont val="Times New Roman"/>
        <family val="1"/>
        <charset val="186"/>
      </rPr>
      <t>euro</t>
    </r>
    <r>
      <rPr>
        <sz val="12"/>
        <color theme="1"/>
        <rFont val="Times New Roman"/>
        <family val="1"/>
        <charset val="186"/>
      </rPr>
      <t xml:space="preserve"> * 0.0115 (iznomātās platības koeficients) = 79,28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</si>
  <si>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t>
    </r>
    <r>
      <rPr>
        <sz val="12"/>
        <color theme="1"/>
        <rFont val="Times New Roman"/>
        <family val="1"/>
        <charset val="186"/>
      </rPr>
      <t xml:space="preserve">/mēn. * 12 mēn. = 7 361,04 </t>
    </r>
    <r>
      <rPr>
        <i/>
        <sz val="12"/>
        <color theme="1"/>
        <rFont val="Times New Roman"/>
        <family val="1"/>
        <charset val="186"/>
      </rPr>
      <t>euro</t>
    </r>
    <r>
      <rPr>
        <sz val="12"/>
        <color theme="1"/>
        <rFont val="Times New Roman"/>
        <family val="1"/>
        <charset val="186"/>
      </rPr>
      <t xml:space="preserve"> * 0.072 (iznomātās platības koeficients) = 529,99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</si>
  <si>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euro/mēn.</t>
    </r>
    <r>
      <rPr>
        <sz val="12"/>
        <color theme="1"/>
        <rFont val="Times New Roman"/>
        <family val="1"/>
        <charset val="186"/>
      </rPr>
      <t xml:space="preserve"> * 12 mēn. = 6 893,76 </t>
    </r>
    <r>
      <rPr>
        <i/>
        <sz val="12"/>
        <color theme="1"/>
        <rFont val="Times New Roman"/>
        <family val="1"/>
        <charset val="186"/>
      </rPr>
      <t>euro</t>
    </r>
    <r>
      <rPr>
        <sz val="12"/>
        <color theme="1"/>
        <rFont val="Times New Roman"/>
        <family val="1"/>
        <charset val="186"/>
      </rPr>
      <t xml:space="preserve"> * 0.072 (iznomātās platības koeficients) = 496,35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</si>
  <si>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0.072 (iznomātās platības koeficients) = 12,14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</si>
  <si>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0.072 (iznomātās platības koeficients) = 8,05 </t>
    </r>
    <r>
      <rPr>
        <i/>
        <sz val="12"/>
        <color theme="1"/>
        <rFont val="Times New Roman"/>
        <family val="1"/>
        <charset val="186"/>
      </rPr>
      <t>euro.</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</si>
  <si>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t>
    </r>
    <r>
      <rPr>
        <i/>
        <sz val="12"/>
        <color theme="1"/>
        <rFont val="Times New Roman"/>
        <family val="1"/>
        <charset val="186"/>
      </rPr>
      <t>euro</t>
    </r>
    <r>
      <rPr>
        <sz val="12"/>
        <color theme="1"/>
        <rFont val="Times New Roman"/>
        <family val="1"/>
        <charset val="186"/>
      </rPr>
      <t xml:space="preserve">/mēn. * 12. mēn. = 161,52 </t>
    </r>
    <r>
      <rPr>
        <i/>
        <sz val="12"/>
        <color theme="1"/>
        <rFont val="Times New Roman"/>
        <family val="1"/>
        <charset val="186"/>
      </rPr>
      <t>euro</t>
    </r>
    <r>
      <rPr>
        <sz val="12"/>
        <color theme="1"/>
        <rFont val="Times New Roman"/>
        <family val="1"/>
        <charset val="186"/>
      </rPr>
      <t xml:space="preserve"> * 0.072 (iznomātās platības koeficients) = 11,63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</si>
  <si>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1.24 stundas, (15,03 </t>
    </r>
    <r>
      <rPr>
        <i/>
        <sz val="12"/>
        <color theme="1"/>
        <rFont val="Times New Roman"/>
        <family val="1"/>
        <charset val="186"/>
      </rPr>
      <t>euro</t>
    </r>
    <r>
      <rPr>
        <sz val="12"/>
        <color theme="1"/>
        <rFont val="Times New Roman"/>
        <family val="1"/>
        <charset val="186"/>
      </rPr>
      <t xml:space="preserve"> * 1.24 h) = 18,64 </t>
    </r>
    <r>
      <rPr>
        <i/>
        <sz val="12"/>
        <color theme="1"/>
        <rFont val="Times New Roman"/>
        <family val="1"/>
        <charset val="186"/>
      </rPr>
      <t>euro</t>
    </r>
    <r>
      <rPr>
        <sz val="12"/>
        <color theme="1"/>
        <rFont val="Times New Roman"/>
        <family val="1"/>
        <charset val="186"/>
      </rPr>
      <t xml:space="preserve">/mēn. * 12. mēn. = 223,68 </t>
    </r>
    <r>
      <rPr>
        <i/>
        <sz val="12"/>
        <color theme="1"/>
        <rFont val="Times New Roman"/>
        <family val="1"/>
        <charset val="186"/>
      </rPr>
      <t>euro</t>
    </r>
    <r>
      <rPr>
        <sz val="12"/>
        <color theme="1"/>
        <rFont val="Times New Roman"/>
        <family val="1"/>
        <charset val="186"/>
      </rPr>
      <t xml:space="preserve"> * 0.072 (iznomātās platības koeficients) = 16,10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</si>
  <si>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0.072 (iznomātās platības koeficients) = 11,37 </t>
    </r>
    <r>
      <rPr>
        <i/>
        <sz val="12"/>
        <color theme="1"/>
        <rFont val="Times New Roman"/>
        <family val="1"/>
        <charset val="186"/>
      </rPr>
      <t>euro.</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</si>
  <si>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0.072  (iznomātās platības koeficients) = 65,48 </t>
    </r>
    <r>
      <rPr>
        <i/>
        <sz val="12"/>
        <color theme="1"/>
        <rFont val="Times New Roman"/>
        <family val="1"/>
        <charset val="186"/>
      </rPr>
      <t>euro.</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</si>
  <si>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0.072 (iznomātās platības koeficients) = 66,74 </t>
    </r>
    <r>
      <rPr>
        <i/>
        <sz val="12"/>
        <color theme="1"/>
        <rFont val="Times New Roman"/>
        <family val="1"/>
        <charset val="186"/>
      </rPr>
      <t>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</si>
  <si>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0.072 (iznomātās platības koeficients) = 85,51 </t>
    </r>
    <r>
      <rPr>
        <i/>
        <sz val="12"/>
        <color theme="1"/>
        <rFont val="Times New Roman"/>
        <family val="1"/>
        <charset val="186"/>
      </rPr>
      <t>euro.</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</si>
  <si>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0.072 (iznomātās platības koeficients) = 99,26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</si>
  <si>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t>
    </r>
    <r>
      <rPr>
        <i/>
        <sz val="12"/>
        <color theme="1"/>
        <rFont val="Times New Roman"/>
        <family val="1"/>
        <charset val="186"/>
      </rPr>
      <t>euro</t>
    </r>
    <r>
      <rPr>
        <sz val="12"/>
        <color theme="1"/>
        <rFont val="Times New Roman"/>
        <family val="1"/>
        <charset val="186"/>
      </rPr>
      <t xml:space="preserve">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0.072 (iznomātās platības koeficients) = 25,16 </t>
    </r>
    <r>
      <rPr>
        <i/>
        <sz val="12"/>
        <color theme="1"/>
        <rFont val="Times New Roman"/>
        <family val="1"/>
        <charset val="186"/>
      </rPr>
      <t>euro.</t>
    </r>
  </si>
  <si>
    <r>
      <t xml:space="preserve">Pamatlīdzekļu amortizācija 1 134,21 </t>
    </r>
    <r>
      <rPr>
        <i/>
        <sz val="12"/>
        <color theme="1"/>
        <rFont val="Times New Roman"/>
        <family val="1"/>
        <charset val="186"/>
      </rPr>
      <t>euro</t>
    </r>
    <r>
      <rPr>
        <sz val="12"/>
        <color theme="1"/>
        <rFont val="Times New Roman"/>
        <family val="1"/>
        <charset val="186"/>
      </rPr>
      <t xml:space="preserve"> gadā * 0.0164 (iznomātās platības koeficients) = 18,60 </t>
    </r>
    <r>
      <rPr>
        <i/>
        <sz val="12"/>
        <color theme="1"/>
        <rFont val="Times New Roman"/>
        <family val="1"/>
        <charset val="186"/>
      </rPr>
      <t>euro.</t>
    </r>
  </si>
  <si>
    <r>
      <t xml:space="preserve">Pamatlīdzekļu amortizācija 251,64 </t>
    </r>
    <r>
      <rPr>
        <i/>
        <sz val="12"/>
        <color theme="1"/>
        <rFont val="Times New Roman"/>
        <family val="1"/>
        <charset val="186"/>
      </rPr>
      <t>euro</t>
    </r>
    <r>
      <rPr>
        <sz val="12"/>
        <color theme="1"/>
        <rFont val="Times New Roman"/>
        <family val="1"/>
        <charset val="186"/>
      </rPr>
      <t xml:space="preserve"> gadā * 0.0164 (iznomātās platības koeficients) = 4,13 </t>
    </r>
    <r>
      <rPr>
        <i/>
        <sz val="12"/>
        <color theme="1"/>
        <rFont val="Times New Roman"/>
        <family val="1"/>
        <charset val="186"/>
      </rPr>
      <t>euro.</t>
    </r>
  </si>
  <si>
    <r>
      <t xml:space="preserve">Dabas resursu nodoklis 1 920,89 </t>
    </r>
    <r>
      <rPr>
        <i/>
        <sz val="12"/>
        <color theme="1"/>
        <rFont val="Times New Roman"/>
        <family val="1"/>
        <charset val="186"/>
      </rPr>
      <t>euro</t>
    </r>
    <r>
      <rPr>
        <sz val="12"/>
        <color theme="1"/>
        <rFont val="Times New Roman"/>
        <family val="1"/>
        <charset val="186"/>
      </rPr>
      <t xml:space="preserve"> gadā * 0.0164 (iznomātās platības koeficients) = 31,50 </t>
    </r>
    <r>
      <rPr>
        <i/>
        <sz val="12"/>
        <color theme="1"/>
        <rFont val="Times New Roman"/>
        <family val="1"/>
        <charset val="186"/>
      </rPr>
      <t>euro.</t>
    </r>
  </si>
  <si>
    <r>
      <t xml:space="preserve">Nekustamā īpašuma nodoklis 8 084,39 </t>
    </r>
    <r>
      <rPr>
        <i/>
        <sz val="12"/>
        <color theme="1"/>
        <rFont val="Times New Roman"/>
        <family val="1"/>
        <charset val="186"/>
      </rPr>
      <t>euro</t>
    </r>
    <r>
      <rPr>
        <sz val="12"/>
        <color theme="1"/>
        <rFont val="Times New Roman"/>
        <family val="1"/>
        <charset val="186"/>
      </rPr>
      <t xml:space="preserve"> gadā * 0.0164 (iznomātās platības koeficients) = 132,58 </t>
    </r>
    <r>
      <rPr>
        <i/>
        <sz val="12"/>
        <color theme="1"/>
        <rFont val="Times New Roman"/>
        <family val="1"/>
        <charset val="186"/>
      </rPr>
      <t>euro.</t>
    </r>
  </si>
  <si>
    <r>
      <t xml:space="preserve">Saimniecības, remonta materiālu un transportlīdzekļu uzturēšanas materiālu iegādes izdevumi 1 711,80 </t>
    </r>
    <r>
      <rPr>
        <i/>
        <sz val="12"/>
        <color theme="1"/>
        <rFont val="Times New Roman"/>
        <family val="1"/>
        <charset val="186"/>
      </rPr>
      <t>euro</t>
    </r>
    <r>
      <rPr>
        <sz val="12"/>
        <color theme="1"/>
        <rFont val="Times New Roman"/>
        <family val="1"/>
        <charset val="186"/>
      </rPr>
      <t xml:space="preserve"> gadā * 0.0164 (iznomātās platības koeficients) = 28,07 </t>
    </r>
    <r>
      <rPr>
        <i/>
        <sz val="12"/>
        <color theme="1"/>
        <rFont val="Times New Roman"/>
        <family val="1"/>
        <charset val="186"/>
      </rPr>
      <t>euro.</t>
    </r>
  </si>
  <si>
    <r>
      <t xml:space="preserve">Inventāra iegādes izdevumi 856,97 </t>
    </r>
    <r>
      <rPr>
        <i/>
        <sz val="12"/>
        <color theme="1"/>
        <rFont val="Times New Roman"/>
        <family val="1"/>
        <charset val="186"/>
      </rPr>
      <t>euro</t>
    </r>
    <r>
      <rPr>
        <sz val="12"/>
        <color theme="1"/>
        <rFont val="Times New Roman"/>
        <family val="1"/>
        <charset val="186"/>
      </rPr>
      <t xml:space="preserve"> gadā * 0.0164 (iznomātās platības koeficients) = 14,05 </t>
    </r>
    <r>
      <rPr>
        <i/>
        <sz val="12"/>
        <color theme="1"/>
        <rFont val="Times New Roman"/>
        <family val="1"/>
        <charset val="186"/>
      </rPr>
      <t>euro.</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</si>
  <si>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0.0164 (iznomātās platības koeficients) = 60,78 </t>
    </r>
    <r>
      <rPr>
        <i/>
        <sz val="12"/>
        <color theme="1"/>
        <rFont val="Times New Roman"/>
        <family val="1"/>
        <charset val="186"/>
      </rPr>
      <t>euro.</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</si>
  <si>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0.0164 (iznomātās platības koeficients) = 55,41 </t>
    </r>
    <r>
      <rPr>
        <i/>
        <sz val="12"/>
        <color theme="1"/>
        <rFont val="Times New Roman"/>
        <family val="1"/>
        <charset val="186"/>
      </rPr>
      <t>euro.</t>
    </r>
  </si>
  <si>
    <r>
      <t xml:space="preserve">Darba devēja valsts sociālās apdrošināšanas obligātās iemaksas 91,45 </t>
    </r>
    <r>
      <rPr>
        <i/>
        <sz val="12"/>
        <color theme="1"/>
        <rFont val="Times New Roman"/>
        <family val="1"/>
        <charset val="186"/>
      </rPr>
      <t>euro</t>
    </r>
    <r>
      <rPr>
        <sz val="12"/>
        <color theme="1"/>
        <rFont val="Times New Roman"/>
        <family val="1"/>
        <charset val="186"/>
      </rPr>
      <t xml:space="preserve"> * 23,59 % = 21,57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</si>
  <si>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t>
    </r>
    <r>
      <rPr>
        <i/>
        <sz val="12"/>
        <color theme="1"/>
        <rFont val="Times New Roman"/>
        <family val="1"/>
        <charset val="186"/>
      </rPr>
      <t>euro</t>
    </r>
    <r>
      <rPr>
        <sz val="12"/>
        <color theme="1"/>
        <rFont val="Times New Roman"/>
        <family val="1"/>
        <charset val="186"/>
      </rPr>
      <t xml:space="preserve">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0.0164 (iznomātās platības koeficients) = 5,73 </t>
    </r>
    <r>
      <rPr>
        <i/>
        <sz val="12"/>
        <color theme="1"/>
        <rFont val="Times New Roman"/>
        <family val="1"/>
        <charset val="186"/>
      </rPr>
      <t>euro.</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</si>
  <si>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0.0164 (iznomātās platības koeficients) = 22,61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</si>
  <si>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0.0164 (iznomātās platības koeficients) = 19,48 </t>
    </r>
    <r>
      <rPr>
        <i/>
        <sz val="12"/>
        <color theme="1"/>
        <rFont val="Times New Roman"/>
        <family val="1"/>
        <charset val="186"/>
      </rPr>
      <t>euro.</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</si>
  <si>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euro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0.0164 (iznomātās platības koeficients) = 15,20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</si>
  <si>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0.0164 (iznomātās platības koeficients) = 14,92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</si>
  <si>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0.0164 (iznomātās platības koeficients) = 2,59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</si>
  <si>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1.24 stundas, (15,03 </t>
    </r>
    <r>
      <rPr>
        <i/>
        <sz val="12"/>
        <color theme="1"/>
        <rFont val="Times New Roman"/>
        <family val="1"/>
        <charset val="186"/>
      </rPr>
      <t>euro</t>
    </r>
    <r>
      <rPr>
        <sz val="12"/>
        <color theme="1"/>
        <rFont val="Times New Roman"/>
        <family val="1"/>
        <charset val="186"/>
      </rPr>
      <t xml:space="preserve"> * 1.24 h) = 18,64 </t>
    </r>
    <r>
      <rPr>
        <i/>
        <sz val="12"/>
        <color theme="1"/>
        <rFont val="Times New Roman"/>
        <family val="1"/>
        <charset val="186"/>
      </rPr>
      <t>euro</t>
    </r>
    <r>
      <rPr>
        <sz val="12"/>
        <color theme="1"/>
        <rFont val="Times New Roman"/>
        <family val="1"/>
        <charset val="186"/>
      </rPr>
      <t xml:space="preserve">/mēn. * 12. mēn. = 223,68 </t>
    </r>
    <r>
      <rPr>
        <i/>
        <sz val="12"/>
        <color theme="1"/>
        <rFont val="Times New Roman"/>
        <family val="1"/>
        <charset val="186"/>
      </rPr>
      <t>euro</t>
    </r>
    <r>
      <rPr>
        <sz val="12"/>
        <color theme="1"/>
        <rFont val="Times New Roman"/>
        <family val="1"/>
        <charset val="186"/>
      </rPr>
      <t xml:space="preserve"> * 0.0164 (iznomātās platības koeficients) = 3,67 </t>
    </r>
    <r>
      <rPr>
        <i/>
        <sz val="12"/>
        <color theme="1"/>
        <rFont val="Times New Roman"/>
        <family val="1"/>
        <charset val="186"/>
      </rPr>
      <t>euro.</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</si>
  <si>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t>
    </r>
    <r>
      <rPr>
        <i/>
        <sz val="12"/>
        <color theme="1"/>
        <rFont val="Times New Roman"/>
        <family val="1"/>
        <charset val="186"/>
      </rPr>
      <t>euro</t>
    </r>
    <r>
      <rPr>
        <sz val="12"/>
        <color theme="1"/>
        <rFont val="Times New Roman"/>
        <family val="1"/>
        <charset val="186"/>
      </rPr>
      <t xml:space="preserve">/mēn. * 12. mēn. = 161,52 </t>
    </r>
    <r>
      <rPr>
        <i/>
        <sz val="12"/>
        <color theme="1"/>
        <rFont val="Times New Roman"/>
        <family val="1"/>
        <charset val="186"/>
      </rPr>
      <t>euro</t>
    </r>
    <r>
      <rPr>
        <sz val="12"/>
        <color theme="1"/>
        <rFont val="Times New Roman"/>
        <family val="1"/>
        <charset val="186"/>
      </rPr>
      <t xml:space="preserve"> * 0.0164 (iznomātās platības koeficients) = 2,65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</si>
  <si>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0.0164 (iznomātās platības koeficients) = 1,83 </t>
    </r>
    <r>
      <rPr>
        <i/>
        <sz val="12"/>
        <color theme="1"/>
        <rFont val="Times New Roman"/>
        <family val="1"/>
        <charset val="186"/>
      </rPr>
      <t>euro.</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</si>
  <si>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0.0164 (iznomātās platības koeficients) = 2,77 </t>
    </r>
    <r>
      <rPr>
        <i/>
        <sz val="12"/>
        <color theme="1"/>
        <rFont val="Times New Roman"/>
        <family val="1"/>
        <charset val="186"/>
      </rPr>
      <t>euro.</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</si>
  <si>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t>
    </r>
    <r>
      <rPr>
        <sz val="12"/>
        <color theme="1"/>
        <rFont val="Times New Roman"/>
        <family val="1"/>
        <charset val="186"/>
      </rPr>
      <t xml:space="preserve">/mēn. * 12 mēn. = 7 361,04 </t>
    </r>
    <r>
      <rPr>
        <i/>
        <sz val="12"/>
        <color theme="1"/>
        <rFont val="Times New Roman"/>
        <family val="1"/>
        <charset val="186"/>
      </rPr>
      <t>euro</t>
    </r>
    <r>
      <rPr>
        <sz val="12"/>
        <color theme="1"/>
        <rFont val="Times New Roman"/>
        <family val="1"/>
        <charset val="186"/>
      </rPr>
      <t xml:space="preserve"> * 0.0164 (iznomātās platības koeficients) = 120,72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</si>
  <si>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t>
    </r>
    <r>
      <rPr>
        <sz val="12"/>
        <color theme="1"/>
        <rFont val="Times New Roman"/>
        <family val="1"/>
        <charset val="186"/>
      </rPr>
      <t xml:space="preserve">/mēn. * 12 mēn. = 6 893,76 </t>
    </r>
    <r>
      <rPr>
        <i/>
        <sz val="12"/>
        <color theme="1"/>
        <rFont val="Times New Roman"/>
        <family val="1"/>
        <charset val="186"/>
      </rPr>
      <t>euro</t>
    </r>
    <r>
      <rPr>
        <sz val="12"/>
        <color theme="1"/>
        <rFont val="Times New Roman"/>
        <family val="1"/>
        <charset val="186"/>
      </rPr>
      <t xml:space="preserve"> * 0.0164 (iznomātās platības koeficients) = 113,06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</si>
  <si>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0.0164 (iznomātās platības koeficients) = 101,72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</si>
  <si>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 xml:space="preserve">/mēn. * 12 mēn. = 5 834,40 </t>
    </r>
    <r>
      <rPr>
        <i/>
        <sz val="12"/>
        <color theme="1"/>
        <rFont val="Times New Roman"/>
        <family val="1"/>
        <charset val="186"/>
      </rPr>
      <t>euro</t>
    </r>
    <r>
      <rPr>
        <sz val="12"/>
        <color theme="1"/>
        <rFont val="Times New Roman"/>
        <family val="1"/>
        <charset val="186"/>
      </rPr>
      <t xml:space="preserve"> * 0.0164 (iznomātās platības koeficients) = 95,68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</si>
  <si>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0.033 (iznomātās platības koeficients) = 204,67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</si>
  <si>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t>
    </r>
    <r>
      <rPr>
        <sz val="12"/>
        <color theme="1"/>
        <rFont val="Times New Roman"/>
        <family val="1"/>
        <charset val="186"/>
      </rPr>
      <t xml:space="preserve"> * 12 mēn. = 6 893,76 </t>
    </r>
    <r>
      <rPr>
        <i/>
        <sz val="12"/>
        <color theme="1"/>
        <rFont val="Times New Roman"/>
        <family val="1"/>
        <charset val="186"/>
      </rPr>
      <t>euro</t>
    </r>
    <r>
      <rPr>
        <sz val="12"/>
        <color theme="1"/>
        <rFont val="Times New Roman"/>
        <family val="1"/>
        <charset val="186"/>
      </rPr>
      <t xml:space="preserve"> * 0.033 (iznomātās platības koeficients) = 227,49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</si>
  <si>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t>
    </r>
    <r>
      <rPr>
        <sz val="12"/>
        <color theme="1"/>
        <rFont val="Times New Roman"/>
        <family val="1"/>
        <charset val="186"/>
      </rPr>
      <t xml:space="preserve"> * 12 mēn. = 7 361,04 </t>
    </r>
    <r>
      <rPr>
        <i/>
        <sz val="12"/>
        <color theme="1"/>
        <rFont val="Times New Roman"/>
        <family val="1"/>
        <charset val="186"/>
      </rPr>
      <t>euro</t>
    </r>
    <r>
      <rPr>
        <sz val="12"/>
        <color theme="1"/>
        <rFont val="Times New Roman"/>
        <family val="1"/>
        <charset val="186"/>
      </rPr>
      <t xml:space="preserve"> * 0.033  (iznomātās platības koeficients) = 242,91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</si>
  <si>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 xml:space="preserve">/mēn. * 12 mēn. = 5 834,40 </t>
    </r>
    <r>
      <rPr>
        <i/>
        <sz val="12"/>
        <color theme="1"/>
        <rFont val="Times New Roman"/>
        <family val="1"/>
        <charset val="186"/>
      </rPr>
      <t>euro</t>
    </r>
    <r>
      <rPr>
        <sz val="12"/>
        <color theme="1"/>
        <rFont val="Times New Roman"/>
        <family val="1"/>
        <charset val="186"/>
      </rPr>
      <t xml:space="preserve"> * 0.033 (iznomātās platības koeficients) = 192,54 </t>
    </r>
    <r>
      <rPr>
        <i/>
        <sz val="12"/>
        <color theme="1"/>
        <rFont val="Times New Roman"/>
        <family val="1"/>
        <charset val="186"/>
      </rPr>
      <t>euro</t>
    </r>
    <r>
      <rPr>
        <sz val="12"/>
        <color theme="1"/>
        <rFont val="Times New Roman"/>
        <family val="1"/>
        <charset val="186"/>
      </rPr>
      <t xml:space="preserve">. </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</si>
  <si>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0.159 (iznomātās platības koeficients) = 25,11 </t>
    </r>
    <r>
      <rPr>
        <i/>
        <sz val="12"/>
        <color theme="1"/>
        <rFont val="Times New Roman"/>
        <family val="1"/>
        <charset val="186"/>
      </rPr>
      <t>euro.</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</si>
  <si>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0.159 (iznomātās platības koeficients) = 144,61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</si>
  <si>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0.159 (iznomātās platības koeficients) = 147,39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</si>
  <si>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0.159 (iznomātās platības koeficients) = 188,83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</si>
  <si>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0.159 (iznomātās platības koeficients) = 219,19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</si>
  <si>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t>
    </r>
    <r>
      <rPr>
        <i/>
        <sz val="12"/>
        <color theme="1"/>
        <rFont val="Times New Roman"/>
        <family val="1"/>
        <charset val="186"/>
      </rPr>
      <t>euro</t>
    </r>
    <r>
      <rPr>
        <sz val="12"/>
        <color theme="1"/>
        <rFont val="Times New Roman"/>
        <family val="1"/>
        <charset val="186"/>
      </rPr>
      <t xml:space="preserve">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0.159 (iznomātās platības koeficients) = 55,56 </t>
    </r>
    <r>
      <rPr>
        <i/>
        <sz val="12"/>
        <color theme="1"/>
        <rFont val="Times New Roman"/>
        <family val="1"/>
        <charset val="186"/>
      </rPr>
      <t>euro.</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</si>
  <si>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t>
    </r>
    <r>
      <rPr>
        <sz val="12"/>
        <color theme="1"/>
        <rFont val="Times New Roman"/>
        <family val="1"/>
        <charset val="186"/>
      </rPr>
      <t xml:space="preserve">/mēn. * 12 mēn. = 7 361,04 </t>
    </r>
    <r>
      <rPr>
        <i/>
        <sz val="12"/>
        <color theme="1"/>
        <rFont val="Times New Roman"/>
        <family val="1"/>
        <charset val="186"/>
      </rPr>
      <t>euro</t>
    </r>
    <r>
      <rPr>
        <sz val="12"/>
        <color theme="1"/>
        <rFont val="Times New Roman"/>
        <family val="1"/>
        <charset val="186"/>
      </rPr>
      <t xml:space="preserve"> * 0.0342 (iznomātās platības koeficients) = 251,75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</si>
  <si>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 xml:space="preserve">/mēn. * 12 mēn. = 5 834,40 </t>
    </r>
    <r>
      <rPr>
        <i/>
        <sz val="12"/>
        <color theme="1"/>
        <rFont val="Times New Roman"/>
        <family val="1"/>
        <charset val="186"/>
      </rPr>
      <t>euro</t>
    </r>
    <r>
      <rPr>
        <sz val="12"/>
        <color theme="1"/>
        <rFont val="Times New Roman"/>
        <family val="1"/>
        <charset val="186"/>
      </rPr>
      <t xml:space="preserve"> * 0.0342 (iznomātās platības koeficients) = 199,54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</si>
  <si>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t>
    </r>
    <r>
      <rPr>
        <sz val="12"/>
        <color theme="1"/>
        <rFont val="Times New Roman"/>
        <family val="1"/>
        <charset val="186"/>
      </rPr>
      <t xml:space="preserve">/mēn. * 12 mēn. = 6 893,76 </t>
    </r>
    <r>
      <rPr>
        <i/>
        <sz val="12"/>
        <color theme="1"/>
        <rFont val="Times New Roman"/>
        <family val="1"/>
        <charset val="186"/>
      </rPr>
      <t>euro</t>
    </r>
    <r>
      <rPr>
        <sz val="12"/>
        <color theme="1"/>
        <rFont val="Times New Roman"/>
        <family val="1"/>
        <charset val="186"/>
      </rPr>
      <t xml:space="preserve"> * 0.0342 (iznomātās platības koeficients) = 235,77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</si>
  <si>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euro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0.0342 (iznomātās platības koeficients) = 212,12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</si>
  <si>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0.0342 (iznomātās platības koeficients) = 5,77 </t>
    </r>
    <r>
      <rPr>
        <i/>
        <sz val="12"/>
        <color theme="1"/>
        <rFont val="Times New Roman"/>
        <family val="1"/>
        <charset val="186"/>
      </rPr>
      <t>euro.</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</si>
  <si>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t>
    </r>
    <r>
      <rPr>
        <i/>
        <sz val="12"/>
        <color theme="1"/>
        <rFont val="Times New Roman"/>
        <family val="1"/>
        <charset val="186"/>
      </rPr>
      <t>euro</t>
    </r>
    <r>
      <rPr>
        <sz val="12"/>
        <color theme="1"/>
        <rFont val="Times New Roman"/>
        <family val="1"/>
        <charset val="186"/>
      </rPr>
      <t xml:space="preserve">/mēn. * 12. mēn. = 161,52 </t>
    </r>
    <r>
      <rPr>
        <i/>
        <sz val="12"/>
        <color theme="1"/>
        <rFont val="Times New Roman"/>
        <family val="1"/>
        <charset val="186"/>
      </rPr>
      <t>euro</t>
    </r>
    <r>
      <rPr>
        <sz val="12"/>
        <color theme="1"/>
        <rFont val="Times New Roman"/>
        <family val="1"/>
        <charset val="186"/>
      </rPr>
      <t xml:space="preserve"> * 0.0342 (iznomātās platības koeficients) = 5,52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</si>
  <si>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1.24 stundas, (15,03 </t>
    </r>
    <r>
      <rPr>
        <i/>
        <sz val="12"/>
        <color theme="1"/>
        <rFont val="Times New Roman"/>
        <family val="1"/>
        <charset val="186"/>
      </rPr>
      <t>euro</t>
    </r>
    <r>
      <rPr>
        <sz val="12"/>
        <color theme="1"/>
        <rFont val="Times New Roman"/>
        <family val="1"/>
        <charset val="186"/>
      </rPr>
      <t xml:space="preserve"> * 1.24 h) = 18,64 </t>
    </r>
    <r>
      <rPr>
        <i/>
        <sz val="12"/>
        <color theme="1"/>
        <rFont val="Times New Roman"/>
        <family val="1"/>
        <charset val="186"/>
      </rPr>
      <t>euro</t>
    </r>
    <r>
      <rPr>
        <sz val="12"/>
        <color theme="1"/>
        <rFont val="Times New Roman"/>
        <family val="1"/>
        <charset val="186"/>
      </rPr>
      <t xml:space="preserve">/mēn. * 12. mēn. = 223,68 </t>
    </r>
    <r>
      <rPr>
        <i/>
        <sz val="12"/>
        <color theme="1"/>
        <rFont val="Times New Roman"/>
        <family val="1"/>
        <charset val="186"/>
      </rPr>
      <t>euro</t>
    </r>
    <r>
      <rPr>
        <sz val="12"/>
        <color theme="1"/>
        <rFont val="Times New Roman"/>
        <family val="1"/>
        <charset val="186"/>
      </rPr>
      <t xml:space="preserve"> * 0.0342 (iznomātās platības koeficients) = 7,65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</si>
  <si>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0.0342 (iznomātās platības koeficients) = 5,40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</si>
  <si>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0.0342 (iznomātās platības koeficients) = 31,10 </t>
    </r>
    <r>
      <rPr>
        <i/>
        <sz val="12"/>
        <color theme="1"/>
        <rFont val="Times New Roman"/>
        <family val="1"/>
        <charset val="186"/>
      </rPr>
      <t>euro.</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</si>
  <si>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0.159 (iznomātās platības koeficients) = 31,70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</si>
  <si>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0.0342 (iznomātās platības koeficients) = 47,15 </t>
    </r>
    <r>
      <rPr>
        <i/>
        <sz val="12"/>
        <color theme="1"/>
        <rFont val="Times New Roman"/>
        <family val="1"/>
        <charset val="186"/>
      </rPr>
      <t>euro</t>
    </r>
    <r>
      <rPr>
        <sz val="12"/>
        <color theme="1"/>
        <rFont val="Times New Roman"/>
        <family val="1"/>
        <charset val="186"/>
      </rPr>
      <t xml:space="preserve">. </t>
    </r>
  </si>
  <si>
    <r>
      <rPr>
        <b/>
        <i/>
        <sz val="12"/>
        <color theme="1"/>
        <rFont val="Times New Roman"/>
        <family val="1"/>
        <charset val="186"/>
      </rPr>
      <t>euro</t>
    </r>
    <r>
      <rPr>
        <b/>
        <sz val="12"/>
        <color theme="1"/>
        <rFont val="Times New Roman"/>
        <family val="1"/>
        <charset val="186"/>
      </rPr>
      <t>, diennaktī par papildvietu</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</si>
  <si>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t>
    </r>
    <r>
      <rPr>
        <sz val="12"/>
        <color theme="1"/>
        <rFont val="Times New Roman"/>
        <family val="1"/>
        <charset val="186"/>
      </rPr>
      <t xml:space="preserve">/mēn. * 12 mēn. = 6 893,76 </t>
    </r>
    <r>
      <rPr>
        <i/>
        <sz val="12"/>
        <color theme="1"/>
        <rFont val="Times New Roman"/>
        <family val="1"/>
        <charset val="186"/>
      </rPr>
      <t>euro</t>
    </r>
    <r>
      <rPr>
        <sz val="12"/>
        <color theme="1"/>
        <rFont val="Times New Roman"/>
        <family val="1"/>
        <charset val="186"/>
      </rPr>
      <t xml:space="preserve">  * 0.0012 (iznomātās platības koeficients) = 8,27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</si>
  <si>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 xml:space="preserve">/mēn. * 12 mēn. = 5 834,40 </t>
    </r>
    <r>
      <rPr>
        <i/>
        <sz val="12"/>
        <color theme="1"/>
        <rFont val="Times New Roman"/>
        <family val="1"/>
        <charset val="186"/>
      </rPr>
      <t>euro</t>
    </r>
    <r>
      <rPr>
        <sz val="12"/>
        <color theme="1"/>
        <rFont val="Times New Roman"/>
        <family val="1"/>
        <charset val="186"/>
      </rPr>
      <t xml:space="preserve"> * 0.0012 (iznomātās platības koeficients) = 7,00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</si>
  <si>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t>
    </r>
    <r>
      <rPr>
        <sz val="12"/>
        <color theme="1"/>
        <rFont val="Times New Roman"/>
        <family val="1"/>
        <charset val="186"/>
      </rPr>
      <t xml:space="preserve">/mēn. * 12 mēn. = 7 361,04 </t>
    </r>
    <r>
      <rPr>
        <i/>
        <sz val="12"/>
        <color theme="1"/>
        <rFont val="Times New Roman"/>
        <family val="1"/>
        <charset val="186"/>
      </rPr>
      <t>euro</t>
    </r>
    <r>
      <rPr>
        <sz val="12"/>
        <color theme="1"/>
        <rFont val="Times New Roman"/>
        <family val="1"/>
        <charset val="186"/>
      </rPr>
      <t xml:space="preserve"> * 0.0012 (iznomātās platības koeficients) = 8,83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</si>
  <si>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0.0012 (iznomātās platības koeficients) = 7,44 </t>
    </r>
    <r>
      <rPr>
        <i/>
        <sz val="12"/>
        <color theme="1"/>
        <rFont val="Times New Roman"/>
        <family val="1"/>
        <charset val="186"/>
      </rPr>
      <t>euro</t>
    </r>
    <r>
      <rPr>
        <sz val="12"/>
        <color theme="1"/>
        <rFont val="Times New Roman"/>
        <family val="1"/>
        <charset val="186"/>
      </rPr>
      <t xml:space="preserve">. </t>
    </r>
  </si>
  <si>
    <r>
      <t xml:space="preserve">Darba devēja valsts sociālās apdrošināšanas obligātās iemaksas (39,07 </t>
    </r>
    <r>
      <rPr>
        <i/>
        <sz val="12"/>
        <color theme="1"/>
        <rFont val="Times New Roman"/>
        <family val="1"/>
        <charset val="186"/>
      </rPr>
      <t>euro</t>
    </r>
    <r>
      <rPr>
        <sz val="12"/>
        <color theme="1"/>
        <rFont val="Times New Roman"/>
        <family val="1"/>
        <charset val="186"/>
      </rPr>
      <t xml:space="preserve"> * 23,59 %) = 9,22 </t>
    </r>
    <r>
      <rPr>
        <i/>
        <sz val="12"/>
        <color theme="1"/>
        <rFont val="Times New Roman"/>
        <family val="1"/>
        <charset val="186"/>
      </rPr>
      <t xml:space="preserve">euro. </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</si>
  <si>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t>
    </r>
    <r>
      <rPr>
        <i/>
        <sz val="12"/>
        <color theme="1"/>
        <rFont val="Times New Roman"/>
        <family val="1"/>
        <charset val="186"/>
      </rPr>
      <t>euro</t>
    </r>
    <r>
      <rPr>
        <sz val="12"/>
        <color theme="1"/>
        <rFont val="Times New Roman"/>
        <family val="1"/>
        <charset val="186"/>
      </rPr>
      <t xml:space="preserve">/mēn. * 12. mēn. = 161,52 </t>
    </r>
    <r>
      <rPr>
        <i/>
        <sz val="12"/>
        <color theme="1"/>
        <rFont val="Times New Roman"/>
        <family val="1"/>
        <charset val="186"/>
      </rPr>
      <t>euro</t>
    </r>
    <r>
      <rPr>
        <sz val="12"/>
        <color theme="1"/>
        <rFont val="Times New Roman"/>
        <family val="1"/>
        <charset val="186"/>
      </rPr>
      <t xml:space="preserve"> * 0.0012 (iznomātās platības koeficients) = 0,19 </t>
    </r>
    <r>
      <rPr>
        <i/>
        <sz val="12"/>
        <color theme="1"/>
        <rFont val="Times New Roman"/>
        <family val="1"/>
        <charset val="186"/>
      </rPr>
      <t>euro.</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</si>
  <si>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0.0012 (iznomātās platības koeficients) = 0,20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</si>
  <si>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0.0012 (iznomātās platības koeficients) = 0,13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</si>
  <si>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1.24 stundas, (15,03 </t>
    </r>
    <r>
      <rPr>
        <i/>
        <sz val="12"/>
        <color theme="1"/>
        <rFont val="Times New Roman"/>
        <family val="1"/>
        <charset val="186"/>
      </rPr>
      <t>euro</t>
    </r>
    <r>
      <rPr>
        <sz val="12"/>
        <color theme="1"/>
        <rFont val="Times New Roman"/>
        <family val="1"/>
        <charset val="186"/>
      </rPr>
      <t xml:space="preserve"> * 1.24 h) = 18,64 </t>
    </r>
    <r>
      <rPr>
        <i/>
        <sz val="12"/>
        <color theme="1"/>
        <rFont val="Times New Roman"/>
        <family val="1"/>
        <charset val="186"/>
      </rPr>
      <t>euro</t>
    </r>
    <r>
      <rPr>
        <sz val="12"/>
        <color theme="1"/>
        <rFont val="Times New Roman"/>
        <family val="1"/>
        <charset val="186"/>
      </rPr>
      <t xml:space="preserve">/mēn. * 12. mēn. = 223,68 </t>
    </r>
    <r>
      <rPr>
        <i/>
        <sz val="12"/>
        <color theme="1"/>
        <rFont val="Times New Roman"/>
        <family val="1"/>
        <charset val="186"/>
      </rPr>
      <t>euro</t>
    </r>
    <r>
      <rPr>
        <sz val="12"/>
        <color theme="1"/>
        <rFont val="Times New Roman"/>
        <family val="1"/>
        <charset val="186"/>
      </rPr>
      <t xml:space="preserve"> * 0.0012 (iznomātās platības koeficients) = 0,27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</si>
  <si>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0.0012 (iznomātās platības koeficients) = 1,09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</si>
  <si>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0.0012 (iznomātās platības koeficients) = 1,11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</si>
  <si>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0.0012 (iznomātās platības koeficients) = 1,43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</si>
  <si>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0.0012 (iznomātās platības koeficients) = 1,65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</si>
  <si>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t>
    </r>
    <r>
      <rPr>
        <i/>
        <sz val="12"/>
        <color theme="1"/>
        <rFont val="Times New Roman"/>
        <family val="1"/>
        <charset val="186"/>
      </rPr>
      <t>euro</t>
    </r>
    <r>
      <rPr>
        <sz val="12"/>
        <color theme="1"/>
        <rFont val="Times New Roman"/>
        <family val="1"/>
        <charset val="186"/>
      </rPr>
      <t xml:space="preserve">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0.0012 (iznomātās platības koeficients) = 0,42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</si>
  <si>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0.0012 (iznomātās platības koeficients) = 0,19 </t>
    </r>
    <r>
      <rPr>
        <i/>
        <sz val="12"/>
        <color theme="1"/>
        <rFont val="Times New Roman"/>
        <family val="1"/>
        <charset val="186"/>
      </rPr>
      <t>euro.</t>
    </r>
  </si>
  <si>
    <r>
      <t xml:space="preserve">Darba devēja valsts sociālās apdrošināšanas obligātās iemaksas 6,68 </t>
    </r>
    <r>
      <rPr>
        <i/>
        <sz val="12"/>
        <color theme="1"/>
        <rFont val="Times New Roman"/>
        <family val="1"/>
        <charset val="186"/>
      </rPr>
      <t>euro</t>
    </r>
    <r>
      <rPr>
        <sz val="12"/>
        <color theme="1"/>
        <rFont val="Times New Roman"/>
        <family val="1"/>
        <charset val="186"/>
      </rPr>
      <t xml:space="preserve"> * 23,59 % = 1,58 </t>
    </r>
    <r>
      <rPr>
        <i/>
        <sz val="12"/>
        <color theme="1"/>
        <rFont val="Times New Roman"/>
        <family val="1"/>
        <charset val="186"/>
      </rPr>
      <t>euro.</t>
    </r>
  </si>
  <si>
    <r>
      <t xml:space="preserve">Izdevumi par apkuri 82 944,32 </t>
    </r>
    <r>
      <rPr>
        <i/>
        <sz val="12"/>
        <color theme="1"/>
        <rFont val="Times New Roman"/>
        <family val="1"/>
        <charset val="186"/>
      </rPr>
      <t>euro</t>
    </r>
    <r>
      <rPr>
        <sz val="12"/>
        <color theme="1"/>
        <rFont val="Times New Roman"/>
        <family val="1"/>
        <charset val="186"/>
      </rPr>
      <t xml:space="preserve"> gadā * 0.0012 (iznomātās platības koeficients) = 99,53 </t>
    </r>
    <r>
      <rPr>
        <i/>
        <sz val="12"/>
        <color theme="1"/>
        <rFont val="Times New Roman"/>
        <family val="1"/>
        <charset val="186"/>
      </rPr>
      <t>euro.</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</si>
  <si>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0.0012 (iznomātās platības koeficients) = 5,04 </t>
    </r>
    <r>
      <rPr>
        <i/>
        <sz val="12"/>
        <color theme="1"/>
        <rFont val="Times New Roman"/>
        <family val="1"/>
        <charset val="186"/>
      </rPr>
      <t>euro.</t>
    </r>
  </si>
  <si>
    <r>
      <t xml:space="preserve">Izdevumi par elektroenerģiju 7 807,39 </t>
    </r>
    <r>
      <rPr>
        <i/>
        <sz val="12"/>
        <color theme="1"/>
        <rFont val="Times New Roman"/>
        <family val="1"/>
        <charset val="186"/>
      </rPr>
      <t>euro</t>
    </r>
    <r>
      <rPr>
        <sz val="12"/>
        <color theme="1"/>
        <rFont val="Times New Roman"/>
        <family val="1"/>
        <charset val="186"/>
      </rPr>
      <t xml:space="preserve"> gadā * 0.0012 (iznomātās platības koeficients) = 9,37 </t>
    </r>
    <r>
      <rPr>
        <i/>
        <sz val="12"/>
        <color theme="1"/>
        <rFont val="Times New Roman"/>
        <family val="1"/>
        <charset val="186"/>
      </rPr>
      <t>euro.</t>
    </r>
  </si>
  <si>
    <r>
      <t xml:space="preserve">Izdevumi par atkritumu izvešanu 275,91 </t>
    </r>
    <r>
      <rPr>
        <i/>
        <sz val="12"/>
        <color theme="1"/>
        <rFont val="Times New Roman"/>
        <family val="1"/>
        <charset val="186"/>
      </rPr>
      <t>euro</t>
    </r>
    <r>
      <rPr>
        <sz val="12"/>
        <color theme="1"/>
        <rFont val="Times New Roman"/>
        <family val="1"/>
        <charset val="186"/>
      </rPr>
      <t xml:space="preserve"> gadā * 0.0012 (iznomātās platības koeficients) =  0,33 </t>
    </r>
    <r>
      <rPr>
        <i/>
        <sz val="12"/>
        <color theme="1"/>
        <rFont val="Times New Roman"/>
        <family val="1"/>
        <charset val="186"/>
      </rPr>
      <t>euro</t>
    </r>
    <r>
      <rPr>
        <sz val="12"/>
        <color theme="1"/>
        <rFont val="Times New Roman"/>
        <family val="1"/>
        <charset val="186"/>
      </rPr>
      <t>.</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</si>
  <si>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0.0012 (iznomātās platības koeficients) = 0,18 </t>
    </r>
    <r>
      <rPr>
        <i/>
        <sz val="12"/>
        <color theme="1"/>
        <rFont val="Times New Roman"/>
        <family val="1"/>
        <charset val="186"/>
      </rPr>
      <t>euro</t>
    </r>
    <r>
      <rPr>
        <sz val="12"/>
        <color theme="1"/>
        <rFont val="Times New Roman"/>
        <family val="1"/>
        <charset val="186"/>
      </rPr>
      <t>.</t>
    </r>
  </si>
  <si>
    <r>
      <t xml:space="preserve">Izdevumi par atļauju izmantot autoru darbus 57,00 </t>
    </r>
    <r>
      <rPr>
        <i/>
        <sz val="12"/>
        <color theme="1"/>
        <rFont val="Times New Roman"/>
        <family val="1"/>
        <charset val="186"/>
      </rPr>
      <t>euro</t>
    </r>
    <r>
      <rPr>
        <sz val="12"/>
        <color theme="1"/>
        <rFont val="Times New Roman"/>
        <family val="1"/>
        <charset val="186"/>
      </rPr>
      <t xml:space="preserve"> gadā * 0.0012 (iznomātās platības koeficients) = 0,07 </t>
    </r>
    <r>
      <rPr>
        <i/>
        <sz val="12"/>
        <color theme="1"/>
        <rFont val="Times New Roman"/>
        <family val="1"/>
        <charset val="186"/>
      </rPr>
      <t>euro</t>
    </r>
    <r>
      <rPr>
        <sz val="12"/>
        <color theme="1"/>
        <rFont val="Times New Roman"/>
        <family val="1"/>
        <charset val="186"/>
      </rPr>
      <t>.</t>
    </r>
  </si>
  <si>
    <r>
      <t xml:space="preserve">Kārtējā remonta izdevumi 1 875,92 </t>
    </r>
    <r>
      <rPr>
        <i/>
        <sz val="12"/>
        <color theme="1"/>
        <rFont val="Times New Roman"/>
        <family val="1"/>
        <charset val="186"/>
      </rPr>
      <t>euro</t>
    </r>
    <r>
      <rPr>
        <sz val="12"/>
        <color theme="1"/>
        <rFont val="Times New Roman"/>
        <family val="1"/>
        <charset val="186"/>
      </rPr>
      <t xml:space="preserve"> gadā * 0.0012 (iznomātās platības koeficients) = 2,25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</si>
  <si>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956,50 </t>
    </r>
    <r>
      <rPr>
        <i/>
        <sz val="12"/>
        <color theme="1"/>
        <rFont val="Times New Roman"/>
        <family val="1"/>
        <charset val="186"/>
      </rPr>
      <t>euro</t>
    </r>
    <r>
      <rPr>
        <sz val="12"/>
        <color theme="1"/>
        <rFont val="Times New Roman"/>
        <family val="1"/>
        <charset val="186"/>
      </rPr>
      <t xml:space="preserve"> gadā * 0.0012 (iznomātās platības koeficients) = 1,15 </t>
    </r>
    <r>
      <rPr>
        <i/>
        <sz val="12"/>
        <color theme="1"/>
        <rFont val="Times New Roman"/>
        <family val="1"/>
        <charset val="186"/>
      </rPr>
      <t>euro.</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</si>
  <si>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0.0012 (iznomātās platības koeficients) = 4,05 </t>
    </r>
    <r>
      <rPr>
        <i/>
        <sz val="12"/>
        <color theme="1"/>
        <rFont val="Times New Roman"/>
        <family val="1"/>
        <charset val="186"/>
      </rPr>
      <t>euro</t>
    </r>
    <r>
      <rPr>
        <sz val="12"/>
        <color theme="1"/>
        <rFont val="Times New Roman"/>
        <family val="1"/>
        <charset val="186"/>
      </rPr>
      <t>.</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</si>
  <si>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0.0012 (iznomātās platības koeficients) = 4,45 </t>
    </r>
    <r>
      <rPr>
        <i/>
        <sz val="12"/>
        <color theme="1"/>
        <rFont val="Times New Roman"/>
        <family val="1"/>
        <charset val="186"/>
      </rPr>
      <t>euro</t>
    </r>
  </si>
  <si>
    <r>
      <t xml:space="preserve">Inventāra iegādes izdevumi 856,97 </t>
    </r>
    <r>
      <rPr>
        <i/>
        <sz val="12"/>
        <color theme="1"/>
        <rFont val="Times New Roman"/>
        <family val="1"/>
        <charset val="186"/>
      </rPr>
      <t>euro</t>
    </r>
    <r>
      <rPr>
        <sz val="12"/>
        <color theme="1"/>
        <rFont val="Times New Roman"/>
        <family val="1"/>
        <charset val="186"/>
      </rPr>
      <t xml:space="preserve"> gadā * 0.0012 (iznomātās platības koeficients) = 1,03 </t>
    </r>
    <r>
      <rPr>
        <i/>
        <sz val="12"/>
        <color theme="1"/>
        <rFont val="Times New Roman"/>
        <family val="1"/>
        <charset val="186"/>
      </rPr>
      <t>euro.</t>
    </r>
  </si>
  <si>
    <r>
      <t xml:space="preserve">Nekustamā īpašuma nodoklis 8 084,39 </t>
    </r>
    <r>
      <rPr>
        <i/>
        <sz val="12"/>
        <color theme="1"/>
        <rFont val="Times New Roman"/>
        <family val="1"/>
        <charset val="186"/>
      </rPr>
      <t>euro</t>
    </r>
    <r>
      <rPr>
        <sz val="12"/>
        <color theme="1"/>
        <rFont val="Times New Roman"/>
        <family val="1"/>
        <charset val="186"/>
      </rPr>
      <t xml:space="preserve"> gadā * 0.0012 (iznomātās platības koeficients) = 9,70 </t>
    </r>
    <r>
      <rPr>
        <i/>
        <sz val="12"/>
        <color theme="1"/>
        <rFont val="Times New Roman"/>
        <family val="1"/>
        <charset val="186"/>
      </rPr>
      <t>euro.</t>
    </r>
  </si>
  <si>
    <r>
      <t xml:space="preserve">Dabas resursu nodoklis 1 920,89 </t>
    </r>
    <r>
      <rPr>
        <i/>
        <sz val="12"/>
        <color theme="1"/>
        <rFont val="Times New Roman"/>
        <family val="1"/>
        <charset val="186"/>
      </rPr>
      <t>euro</t>
    </r>
    <r>
      <rPr>
        <sz val="12"/>
        <color theme="1"/>
        <rFont val="Times New Roman"/>
        <family val="1"/>
        <charset val="186"/>
      </rPr>
      <t xml:space="preserve"> gadā * 0.0012 (iznomātās platības koeficients) = 2,31 </t>
    </r>
    <r>
      <rPr>
        <i/>
        <sz val="12"/>
        <color theme="1"/>
        <rFont val="Times New Roman"/>
        <family val="1"/>
        <charset val="186"/>
      </rPr>
      <t>euro</t>
    </r>
    <r>
      <rPr>
        <sz val="12"/>
        <color theme="1"/>
        <rFont val="Times New Roman"/>
        <family val="1"/>
        <charset val="186"/>
      </rPr>
      <t>.</t>
    </r>
  </si>
  <si>
    <r>
      <t xml:space="preserve">Pamatlīdzekļu amortizācija 251,64 </t>
    </r>
    <r>
      <rPr>
        <i/>
        <sz val="12"/>
        <color theme="1"/>
        <rFont val="Times New Roman"/>
        <family val="1"/>
        <charset val="186"/>
      </rPr>
      <t>euro</t>
    </r>
    <r>
      <rPr>
        <sz val="12"/>
        <color theme="1"/>
        <rFont val="Times New Roman"/>
        <family val="1"/>
        <charset val="186"/>
      </rPr>
      <t xml:space="preserve"> gadā * 0.0012 (iznomātās platības koeficients) = 0,30 </t>
    </r>
    <r>
      <rPr>
        <i/>
        <sz val="12"/>
        <color theme="1"/>
        <rFont val="Times New Roman"/>
        <family val="1"/>
        <charset val="186"/>
      </rPr>
      <t>euro.</t>
    </r>
  </si>
  <si>
    <r>
      <t xml:space="preserve">Pamatlīdzekļu amortizācija 1 134,21 </t>
    </r>
    <r>
      <rPr>
        <i/>
        <sz val="12"/>
        <color theme="1"/>
        <rFont val="Times New Roman"/>
        <family val="1"/>
        <charset val="186"/>
      </rPr>
      <t>euro</t>
    </r>
    <r>
      <rPr>
        <sz val="12"/>
        <color theme="1"/>
        <rFont val="Times New Roman"/>
        <family val="1"/>
        <charset val="186"/>
      </rPr>
      <t xml:space="preserve"> gadā * 0.0012 (iznomātās platības koeficients) = 1,36 </t>
    </r>
    <r>
      <rPr>
        <i/>
        <sz val="12"/>
        <color theme="1"/>
        <rFont val="Times New Roman"/>
        <family val="1"/>
        <charset val="186"/>
      </rPr>
      <t>euro</t>
    </r>
    <r>
      <rPr>
        <sz val="12"/>
        <color theme="1"/>
        <rFont val="Times New Roman"/>
        <family val="1"/>
        <charset val="186"/>
      </rPr>
      <t>.</t>
    </r>
  </si>
  <si>
    <r>
      <t xml:space="preserve">Pamatlīdzekļu amortizācija 2 748,15 </t>
    </r>
    <r>
      <rPr>
        <i/>
        <sz val="12"/>
        <color theme="1"/>
        <rFont val="Times New Roman"/>
        <family val="1"/>
        <charset val="186"/>
      </rPr>
      <t>euro</t>
    </r>
    <r>
      <rPr>
        <sz val="12"/>
        <color theme="1"/>
        <rFont val="Times New Roman"/>
        <family val="1"/>
        <charset val="186"/>
      </rPr>
      <t xml:space="preserve"> gadā * 0.0012 (iznomātās platības koeficients) = 3,30 </t>
    </r>
    <r>
      <rPr>
        <i/>
        <sz val="12"/>
        <color theme="1"/>
        <rFont val="Times New Roman"/>
        <family val="1"/>
        <charset val="186"/>
      </rPr>
      <t>euro.</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</si>
  <si>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5.8 stundas, (8,14 </t>
    </r>
    <r>
      <rPr>
        <i/>
        <sz val="12"/>
        <color theme="1"/>
        <rFont val="Times New Roman"/>
        <family val="1"/>
        <charset val="186"/>
      </rPr>
      <t>euro</t>
    </r>
    <r>
      <rPr>
        <sz val="12"/>
        <color theme="1"/>
        <rFont val="Times New Roman"/>
        <family val="1"/>
        <charset val="186"/>
      </rPr>
      <t xml:space="preserve"> * 5.8 h) = 47,21 </t>
    </r>
    <r>
      <rPr>
        <i/>
        <sz val="12"/>
        <color theme="1"/>
        <rFont val="Times New Roman"/>
        <family val="1"/>
        <charset val="186"/>
      </rPr>
      <t>euro</t>
    </r>
    <r>
      <rPr>
        <sz val="12"/>
        <color theme="1"/>
        <rFont val="Times New Roman"/>
        <family val="1"/>
        <charset val="186"/>
      </rPr>
      <t xml:space="preserve">/mēn. * 12 mēn. = 566,52 </t>
    </r>
    <r>
      <rPr>
        <i/>
        <sz val="12"/>
        <color theme="1"/>
        <rFont val="Times New Roman"/>
        <family val="1"/>
        <charset val="186"/>
      </rPr>
      <t>euro</t>
    </r>
    <r>
      <rPr>
        <sz val="12"/>
        <color theme="1"/>
        <rFont val="Times New Roman"/>
        <family val="1"/>
        <charset val="186"/>
      </rPr>
      <t xml:space="preserve"> * 0.205 (iznomātās platības koeficients) = 116,14 </t>
    </r>
    <r>
      <rPr>
        <i/>
        <sz val="12"/>
        <color theme="1"/>
        <rFont val="Times New Roman"/>
        <family val="1"/>
        <charset val="186"/>
      </rPr>
      <t>euro</t>
    </r>
    <r>
      <rPr>
        <sz val="12"/>
        <color theme="1"/>
        <rFont val="Times New Roman"/>
        <family val="1"/>
        <charset val="186"/>
      </rPr>
      <t xml:space="preserve">. </t>
    </r>
  </si>
  <si>
    <r>
      <t xml:space="preserve">Pārējie uzturēšanas izdevumi 2 168,13 </t>
    </r>
    <r>
      <rPr>
        <i/>
        <sz val="12"/>
        <color theme="1"/>
        <rFont val="Times New Roman"/>
        <family val="1"/>
        <charset val="186"/>
      </rPr>
      <t>euro</t>
    </r>
    <r>
      <rPr>
        <sz val="12"/>
        <color theme="1"/>
        <rFont val="Times New Roman"/>
        <family val="1"/>
        <charset val="186"/>
      </rPr>
      <t xml:space="preserve"> gadā * 0.00865 (iznomātās platības koeficients) = 18,75 </t>
    </r>
    <r>
      <rPr>
        <i/>
        <sz val="12"/>
        <color theme="1"/>
        <rFont val="Times New Roman"/>
        <family val="1"/>
        <charset val="186"/>
      </rPr>
      <t>euro.</t>
    </r>
  </si>
  <si>
    <r>
      <t>Maksas pakalpojuma izcenojums diennaktī par numuru (</t>
    </r>
    <r>
      <rPr>
        <b/>
        <i/>
        <sz val="12"/>
        <color rgb="FF000000"/>
        <rFont val="Times New Roman"/>
        <family val="1"/>
        <charset val="186"/>
      </rPr>
      <t>euro</t>
    </r>
    <r>
      <rPr>
        <b/>
        <sz val="12"/>
        <color rgb="FF000000"/>
        <rFont val="Times New Roman"/>
        <family val="1"/>
        <charset val="186"/>
      </rPr>
      <t>) (pakalpojuma izmaksas kopā, dalītas ar maksas pakalpojuma vienību skaitu noteiktā laikposmā)</t>
    </r>
  </si>
  <si>
    <r>
      <rPr>
        <b/>
        <i/>
        <sz val="12"/>
        <color theme="1"/>
        <rFont val="Times New Roman"/>
        <family val="1"/>
        <charset val="186"/>
      </rPr>
      <t>euro</t>
    </r>
    <r>
      <rPr>
        <b/>
        <sz val="12"/>
        <color theme="1"/>
        <rFont val="Times New Roman"/>
        <family val="1"/>
        <charset val="186"/>
      </rPr>
      <t xml:space="preserve">, diennaktī par numuru </t>
    </r>
  </si>
  <si>
    <r>
      <t>Maksas pakalpojuma izcenojums mēnesī par numuru (</t>
    </r>
    <r>
      <rPr>
        <b/>
        <i/>
        <sz val="12"/>
        <color theme="1"/>
        <rFont val="Times New Roman"/>
        <family val="1"/>
        <charset val="186"/>
      </rPr>
      <t>euro</t>
    </r>
    <r>
      <rPr>
        <b/>
        <sz val="12"/>
        <color theme="1"/>
        <rFont val="Times New Roman"/>
        <family val="1"/>
        <charset val="186"/>
      </rPr>
      <t>) (pakalpojuma izmaksas kopā, dalītas ar maksas pakalpojuma vienību skaitu noteiktā laikposmā)</t>
    </r>
  </si>
  <si>
    <r>
      <rPr>
        <b/>
        <i/>
        <sz val="12"/>
        <color theme="1"/>
        <rFont val="Times New Roman"/>
        <family val="1"/>
        <charset val="186"/>
      </rPr>
      <t>euro</t>
    </r>
    <r>
      <rPr>
        <b/>
        <sz val="12"/>
        <color theme="1"/>
        <rFont val="Times New Roman"/>
        <family val="1"/>
        <charset val="186"/>
      </rPr>
      <t>, mēnesī par numuru</t>
    </r>
  </si>
  <si>
    <r>
      <t xml:space="preserve">Izdevumi par apkuri 48 868,00 </t>
    </r>
    <r>
      <rPr>
        <i/>
        <sz val="12"/>
        <color theme="1"/>
        <rFont val="Times New Roman"/>
        <family val="1"/>
        <charset val="186"/>
      </rPr>
      <t>euro</t>
    </r>
    <r>
      <rPr>
        <sz val="12"/>
        <color theme="1"/>
        <rFont val="Times New Roman"/>
        <family val="1"/>
        <charset val="186"/>
      </rPr>
      <t xml:space="preserve"> gadā * 0.0155  (iznomātās platības koeficients) = 757,45 </t>
    </r>
    <r>
      <rPr>
        <i/>
        <sz val="12"/>
        <color theme="1"/>
        <rFont val="Times New Roman"/>
        <family val="1"/>
        <charset val="186"/>
      </rPr>
      <t>euro.</t>
    </r>
  </si>
  <si>
    <r>
      <t xml:space="preserve">Izdevumi par ūdeni un kanalizāciju 52 111,24 </t>
    </r>
    <r>
      <rPr>
        <i/>
        <sz val="12"/>
        <color theme="1"/>
        <rFont val="Times New Roman"/>
        <family val="1"/>
        <charset val="186"/>
      </rPr>
      <t>euro</t>
    </r>
    <r>
      <rPr>
        <sz val="12"/>
        <color theme="1"/>
        <rFont val="Times New Roman"/>
        <family val="1"/>
        <charset val="186"/>
      </rPr>
      <t xml:space="preserve"> gadā * 0.0155  (iznomātās platības koeficients) = 807,72 </t>
    </r>
    <r>
      <rPr>
        <i/>
        <sz val="12"/>
        <color theme="1"/>
        <rFont val="Times New Roman"/>
        <family val="1"/>
        <charset val="186"/>
      </rPr>
      <t>euro</t>
    </r>
    <r>
      <rPr>
        <sz val="12"/>
        <color theme="1"/>
        <rFont val="Times New Roman"/>
        <family val="1"/>
        <charset val="186"/>
      </rPr>
      <t>.</t>
    </r>
  </si>
  <si>
    <r>
      <t xml:space="preserve">Izdevumi par atkritumu izvešanu 23 680,95 </t>
    </r>
    <r>
      <rPr>
        <i/>
        <sz val="12"/>
        <color theme="1"/>
        <rFont val="Times New Roman"/>
        <family val="1"/>
        <charset val="186"/>
      </rPr>
      <t>euro</t>
    </r>
    <r>
      <rPr>
        <sz val="12"/>
        <color theme="1"/>
        <rFont val="Times New Roman"/>
        <family val="1"/>
        <charset val="186"/>
      </rPr>
      <t xml:space="preserve"> gadā * 0.0155 (iznomātās platības koeficients) = 367,05 </t>
    </r>
    <r>
      <rPr>
        <i/>
        <sz val="12"/>
        <color theme="1"/>
        <rFont val="Times New Roman"/>
        <family val="1"/>
        <charset val="186"/>
      </rPr>
      <t>euro.</t>
    </r>
  </si>
  <si>
    <r>
      <t xml:space="preserve">Izdevumi par energoefektivitātes paaugstināšanas atzinumu 464,98 </t>
    </r>
    <r>
      <rPr>
        <i/>
        <sz val="12"/>
        <color theme="1"/>
        <rFont val="Times New Roman"/>
        <family val="1"/>
        <charset val="186"/>
      </rPr>
      <t>euro</t>
    </r>
    <r>
      <rPr>
        <sz val="12"/>
        <color theme="1"/>
        <rFont val="Times New Roman"/>
        <family val="1"/>
        <charset val="186"/>
      </rPr>
      <t xml:space="preserve"> gadā * 0.0155 (iznomātās platības koeficients) = 7,21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</si>
  <si>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1 715,08 </t>
    </r>
    <r>
      <rPr>
        <i/>
        <sz val="12"/>
        <color theme="1"/>
        <rFont val="Times New Roman"/>
        <family val="1"/>
        <charset val="186"/>
      </rPr>
      <t>euro</t>
    </r>
    <r>
      <rPr>
        <sz val="12"/>
        <color theme="1"/>
        <rFont val="Times New Roman"/>
        <family val="1"/>
        <charset val="186"/>
      </rPr>
      <t xml:space="preserve"> gadā * 0.0155  (iznomātās platības koeficients) = 26,58 </t>
    </r>
    <r>
      <rPr>
        <i/>
        <sz val="12"/>
        <color theme="1"/>
        <rFont val="Times New Roman"/>
        <family val="1"/>
        <charset val="186"/>
      </rPr>
      <t>euro.</t>
    </r>
  </si>
  <si>
    <r>
      <t xml:space="preserve">Telpu, teritorijas uzkopšanas, apsardzes, apsaimniekošanas, apdrošināšanas izdevumi 133 418,65 </t>
    </r>
    <r>
      <rPr>
        <i/>
        <sz val="12"/>
        <color theme="1"/>
        <rFont val="Times New Roman"/>
        <family val="1"/>
        <charset val="186"/>
      </rPr>
      <t>euro</t>
    </r>
    <r>
      <rPr>
        <sz val="12"/>
        <color theme="1"/>
        <rFont val="Times New Roman"/>
        <family val="1"/>
        <charset val="186"/>
      </rPr>
      <t xml:space="preserve"> gadā * 0.0155 (iznomātās platības koeficients) = 2 067,99 </t>
    </r>
    <r>
      <rPr>
        <i/>
        <sz val="12"/>
        <color theme="1"/>
        <rFont val="Times New Roman"/>
        <family val="1"/>
        <charset val="186"/>
      </rPr>
      <t>euro</t>
    </r>
    <r>
      <rPr>
        <sz val="12"/>
        <color theme="1"/>
        <rFont val="Times New Roman"/>
        <family val="1"/>
        <charset val="186"/>
      </rPr>
      <t>.</t>
    </r>
  </si>
  <si>
    <r>
      <t xml:space="preserve">Pārējie uzturēšanas izdevumi 1 602,25 </t>
    </r>
    <r>
      <rPr>
        <i/>
        <sz val="12"/>
        <color theme="1"/>
        <rFont val="Times New Roman"/>
        <family val="1"/>
        <charset val="186"/>
      </rPr>
      <t>euro</t>
    </r>
    <r>
      <rPr>
        <sz val="12"/>
        <color theme="1"/>
        <rFont val="Times New Roman"/>
        <family val="1"/>
        <charset val="186"/>
      </rPr>
      <t xml:space="preserve"> gadā * 0.0155 (iznomātās platības koeficients) = 24,83 </t>
    </r>
    <r>
      <rPr>
        <i/>
        <sz val="12"/>
        <color theme="1"/>
        <rFont val="Times New Roman"/>
        <family val="1"/>
        <charset val="186"/>
      </rPr>
      <t>euro</t>
    </r>
    <r>
      <rPr>
        <sz val="12"/>
        <color theme="1"/>
        <rFont val="Times New Roman"/>
        <family val="1"/>
        <charset val="186"/>
      </rPr>
      <t>.</t>
    </r>
  </si>
  <si>
    <r>
      <t xml:space="preserve">Biotualetes noma gadā 121,00 </t>
    </r>
    <r>
      <rPr>
        <i/>
        <sz val="12"/>
        <color theme="1"/>
        <rFont val="Times New Roman"/>
        <family val="1"/>
        <charset val="186"/>
      </rPr>
      <t>euro</t>
    </r>
    <r>
      <rPr>
        <sz val="12"/>
        <color theme="1"/>
        <rFont val="Times New Roman"/>
        <family val="1"/>
        <charset val="186"/>
      </rPr>
      <t xml:space="preserve"> * 0.0155 (iznomātās platības koeficients) = 1,88 </t>
    </r>
    <r>
      <rPr>
        <i/>
        <sz val="12"/>
        <color theme="1"/>
        <rFont val="Times New Roman"/>
        <family val="1"/>
        <charset val="186"/>
      </rPr>
      <t>euro.</t>
    </r>
  </si>
  <si>
    <r>
      <t xml:space="preserve">Inventāra iegādes izdevumi 607,49 </t>
    </r>
    <r>
      <rPr>
        <i/>
        <sz val="12"/>
        <color theme="1"/>
        <rFont val="Times New Roman"/>
        <family val="1"/>
        <charset val="186"/>
      </rPr>
      <t>euro</t>
    </r>
    <r>
      <rPr>
        <sz val="12"/>
        <color theme="1"/>
        <rFont val="Times New Roman"/>
        <family val="1"/>
        <charset val="186"/>
      </rPr>
      <t xml:space="preserve"> gadā * 0.0155 (iznomātās platības koeficients) = 9,42 </t>
    </r>
    <r>
      <rPr>
        <i/>
        <sz val="12"/>
        <color theme="1"/>
        <rFont val="Times New Roman"/>
        <family val="1"/>
        <charset val="186"/>
      </rPr>
      <t>euro.</t>
    </r>
  </si>
  <si>
    <r>
      <t xml:space="preserve">Saimniecības inventāra un materiālu (izlietnes krāni, dušas krāni, dušas pievadi, aizkari, podu vāki, u.c. higiēnas, saimniecības preces) iegādes izdevumi 905,02 </t>
    </r>
    <r>
      <rPr>
        <i/>
        <sz val="12"/>
        <color theme="1"/>
        <rFont val="Times New Roman"/>
        <family val="1"/>
        <charset val="186"/>
      </rPr>
      <t>euro</t>
    </r>
    <r>
      <rPr>
        <sz val="12"/>
        <color theme="1"/>
        <rFont val="Times New Roman"/>
        <family val="1"/>
        <charset val="186"/>
      </rPr>
      <t xml:space="preserve"> gadā * 0.0155 (iznomātās platības koeficients) = 14,03 </t>
    </r>
    <r>
      <rPr>
        <i/>
        <sz val="12"/>
        <color theme="1"/>
        <rFont val="Times New Roman"/>
        <family val="1"/>
        <charset val="186"/>
      </rPr>
      <t>euro.</t>
    </r>
  </si>
  <si>
    <r>
      <t xml:space="preserve">Nekustamā īpašuma nodoklis 10 541,01 </t>
    </r>
    <r>
      <rPr>
        <i/>
        <sz val="12"/>
        <color theme="1"/>
        <rFont val="Times New Roman"/>
        <family val="1"/>
        <charset val="186"/>
      </rPr>
      <t>euro</t>
    </r>
    <r>
      <rPr>
        <sz val="12"/>
        <color theme="1"/>
        <rFont val="Times New Roman"/>
        <family val="1"/>
        <charset val="186"/>
      </rPr>
      <t xml:space="preserve"> gadā * 0.0155 (iznomātās platības koeficients) = 163,39 </t>
    </r>
    <r>
      <rPr>
        <i/>
        <sz val="12"/>
        <color theme="1"/>
        <rFont val="Times New Roman"/>
        <family val="1"/>
        <charset val="186"/>
      </rPr>
      <t>euro.</t>
    </r>
  </si>
  <si>
    <r>
      <t xml:space="preserve">Ēku amortizācija 6 565,16 </t>
    </r>
    <r>
      <rPr>
        <i/>
        <sz val="12"/>
        <color theme="1"/>
        <rFont val="Times New Roman"/>
        <family val="1"/>
        <charset val="186"/>
      </rPr>
      <t>euro</t>
    </r>
    <r>
      <rPr>
        <sz val="12"/>
        <color theme="1"/>
        <rFont val="Times New Roman"/>
        <family val="1"/>
        <charset val="186"/>
      </rPr>
      <t xml:space="preserve"> gadā * 0.0155 (iznomātās platības koeficients) = 101,76 </t>
    </r>
    <r>
      <rPr>
        <i/>
        <sz val="12"/>
        <color theme="1"/>
        <rFont val="Times New Roman"/>
        <family val="1"/>
        <charset val="186"/>
      </rPr>
      <t>euro.</t>
    </r>
  </si>
  <si>
    <r>
      <t xml:space="preserve">Pamatlīdzekļu amortizācija 4 439,23 </t>
    </r>
    <r>
      <rPr>
        <i/>
        <sz val="12"/>
        <color theme="1"/>
        <rFont val="Times New Roman"/>
        <family val="1"/>
        <charset val="186"/>
      </rPr>
      <t>euro</t>
    </r>
    <r>
      <rPr>
        <sz val="12"/>
        <color theme="1"/>
        <rFont val="Times New Roman"/>
        <family val="1"/>
        <charset val="186"/>
      </rPr>
      <t xml:space="preserve"> gadā * 0.0155  (iznomātās platības koeficients) = 68,81 </t>
    </r>
    <r>
      <rPr>
        <i/>
        <sz val="12"/>
        <color theme="1"/>
        <rFont val="Times New Roman"/>
        <family val="1"/>
        <charset val="186"/>
      </rPr>
      <t>euro.</t>
    </r>
  </si>
  <si>
    <r>
      <t xml:space="preserve">Pamatlīdzekļu amortizācija 492,88 </t>
    </r>
    <r>
      <rPr>
        <i/>
        <sz val="12"/>
        <color theme="1"/>
        <rFont val="Times New Roman"/>
        <family val="1"/>
        <charset val="186"/>
      </rPr>
      <t>euro</t>
    </r>
    <r>
      <rPr>
        <sz val="12"/>
        <color theme="1"/>
        <rFont val="Times New Roman"/>
        <family val="1"/>
        <charset val="186"/>
      </rPr>
      <t xml:space="preserve"> gadā * 0.0155 (iznomātās platības koeficients) = 7,64 </t>
    </r>
    <r>
      <rPr>
        <i/>
        <sz val="12"/>
        <color theme="1"/>
        <rFont val="Times New Roman"/>
        <family val="1"/>
        <charset val="186"/>
      </rPr>
      <t>euro</t>
    </r>
    <r>
      <rPr>
        <sz val="12"/>
        <color theme="1"/>
        <rFont val="Times New Roman"/>
        <family val="1"/>
        <charset val="186"/>
      </rPr>
      <t>.</t>
    </r>
  </si>
  <si>
    <r>
      <rPr>
        <b/>
        <i/>
        <sz val="12"/>
        <color theme="1"/>
        <rFont val="Times New Roman"/>
        <family val="1"/>
        <charset val="186"/>
      </rPr>
      <t>euro</t>
    </r>
    <r>
      <rPr>
        <b/>
        <sz val="12"/>
        <color theme="1"/>
        <rFont val="Times New Roman"/>
        <family val="1"/>
        <charset val="186"/>
      </rPr>
      <t>,  diennaktī par istabu</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</si>
  <si>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142.54 stundas, (8,14 </t>
    </r>
    <r>
      <rPr>
        <i/>
        <sz val="12"/>
        <color theme="1"/>
        <rFont val="Times New Roman"/>
        <family val="1"/>
        <charset val="186"/>
      </rPr>
      <t>euro</t>
    </r>
    <r>
      <rPr>
        <sz val="12"/>
        <color theme="1"/>
        <rFont val="Times New Roman"/>
        <family val="1"/>
        <charset val="186"/>
      </rPr>
      <t xml:space="preserve"> * 142.54 h) = 1 160,28 </t>
    </r>
    <r>
      <rPr>
        <i/>
        <sz val="12"/>
        <color theme="1"/>
        <rFont val="Times New Roman"/>
        <family val="1"/>
        <charset val="186"/>
      </rPr>
      <t>euro</t>
    </r>
    <r>
      <rPr>
        <sz val="12"/>
        <color theme="1"/>
        <rFont val="Times New Roman"/>
        <family val="1"/>
        <charset val="186"/>
      </rPr>
      <t xml:space="preserve">/mēn.  * 12 mēn. = 13 923,36 </t>
    </r>
    <r>
      <rPr>
        <i/>
        <sz val="12"/>
        <color theme="1"/>
        <rFont val="Times New Roman"/>
        <family val="1"/>
        <charset val="186"/>
      </rPr>
      <t>euro</t>
    </r>
    <r>
      <rPr>
        <sz val="12"/>
        <color theme="1"/>
        <rFont val="Times New Roman"/>
        <family val="1"/>
        <charset val="186"/>
      </rPr>
      <t xml:space="preserve"> * 0.0155 (iznomātās platības koeficients) = 215,81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</si>
  <si>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10.44 stundas, (5,37 </t>
    </r>
    <r>
      <rPr>
        <i/>
        <sz val="12"/>
        <color theme="1"/>
        <rFont val="Times New Roman"/>
        <family val="1"/>
        <charset val="186"/>
      </rPr>
      <t>euro</t>
    </r>
    <r>
      <rPr>
        <sz val="12"/>
        <color theme="1"/>
        <rFont val="Times New Roman"/>
        <family val="1"/>
        <charset val="186"/>
      </rPr>
      <t xml:space="preserve"> * 10.44 h) = 56,06  </t>
    </r>
    <r>
      <rPr>
        <i/>
        <sz val="12"/>
        <color theme="1"/>
        <rFont val="Times New Roman"/>
        <family val="1"/>
        <charset val="186"/>
      </rPr>
      <t>euro</t>
    </r>
    <r>
      <rPr>
        <sz val="12"/>
        <color theme="1"/>
        <rFont val="Times New Roman"/>
        <family val="1"/>
        <charset val="186"/>
      </rPr>
      <t xml:space="preserve">/mēn.  * 12 mēn. = 672,72 </t>
    </r>
    <r>
      <rPr>
        <i/>
        <sz val="12"/>
        <color theme="1"/>
        <rFont val="Times New Roman"/>
        <family val="1"/>
        <charset val="186"/>
      </rPr>
      <t>euro</t>
    </r>
    <r>
      <rPr>
        <sz val="12"/>
        <color theme="1"/>
        <rFont val="Times New Roman"/>
        <family val="1"/>
        <charset val="186"/>
      </rPr>
      <t xml:space="preserve"> * 0.0155 (iznomātās platības koeficients) = 10,43 </t>
    </r>
    <r>
      <rPr>
        <i/>
        <sz val="12"/>
        <color theme="1"/>
        <rFont val="Times New Roman"/>
        <family val="1"/>
        <charset val="186"/>
      </rPr>
      <t>euro</t>
    </r>
    <r>
      <rPr>
        <sz val="12"/>
        <color theme="1"/>
        <rFont val="Times New Roman"/>
        <family val="1"/>
        <charset val="186"/>
      </rPr>
      <t xml:space="preserve">. </t>
    </r>
  </si>
  <si>
    <r>
      <t xml:space="preserve">Galv. nekust. īpaš. pārvaldnieks (9,48 </t>
    </r>
    <r>
      <rPr>
        <i/>
        <sz val="12"/>
        <color theme="1"/>
        <rFont val="Times New Roman"/>
        <family val="1"/>
        <charset val="186"/>
      </rPr>
      <t>euro</t>
    </r>
    <r>
      <rPr>
        <sz val="12"/>
        <color theme="1"/>
        <rFont val="Times New Roman"/>
        <family val="1"/>
        <charset val="186"/>
      </rPr>
      <t xml:space="preserve"> * 10%) = 0,95 </t>
    </r>
    <r>
      <rPr>
        <i/>
        <sz val="12"/>
        <color theme="1"/>
        <rFont val="Times New Roman"/>
        <family val="1"/>
        <charset val="186"/>
      </rPr>
      <t>euro</t>
    </r>
    <r>
      <rPr>
        <sz val="12"/>
        <color theme="1"/>
        <rFont val="Times New Roman"/>
        <family val="1"/>
        <charset val="186"/>
      </rPr>
      <t xml:space="preserve">, Dienesta viesnīcas vadīotājs (215,81 euro * 10%) = 21,58 euro.  Saimniecības pārzinis (10,43 </t>
    </r>
    <r>
      <rPr>
        <i/>
        <sz val="12"/>
        <color theme="1"/>
        <rFont val="Times New Roman"/>
        <family val="1"/>
        <charset val="186"/>
      </rPr>
      <t>euro</t>
    </r>
    <r>
      <rPr>
        <sz val="12"/>
        <color theme="1"/>
        <rFont val="Times New Roman"/>
        <family val="1"/>
        <charset val="186"/>
      </rPr>
      <t xml:space="preserve"> * 10%) = 1,04 </t>
    </r>
    <r>
      <rPr>
        <i/>
        <sz val="12"/>
        <color theme="1"/>
        <rFont val="Times New Roman"/>
        <family val="1"/>
        <charset val="186"/>
      </rPr>
      <t>euro.</t>
    </r>
    <r>
      <rPr>
        <sz val="12"/>
        <color theme="1"/>
        <rFont val="Times New Roman"/>
        <family val="1"/>
        <charset val="186"/>
      </rPr>
      <t xml:space="preserve"> Kopā (0,95 </t>
    </r>
    <r>
      <rPr>
        <i/>
        <sz val="12"/>
        <color theme="1"/>
        <rFont val="Times New Roman"/>
        <family val="1"/>
        <charset val="186"/>
      </rPr>
      <t>euro</t>
    </r>
    <r>
      <rPr>
        <sz val="12"/>
        <color theme="1"/>
        <rFont val="Times New Roman"/>
        <family val="1"/>
        <charset val="186"/>
      </rPr>
      <t xml:space="preserve"> + 21,58 </t>
    </r>
    <r>
      <rPr>
        <i/>
        <sz val="12"/>
        <color theme="1"/>
        <rFont val="Times New Roman"/>
        <family val="1"/>
        <charset val="186"/>
      </rPr>
      <t>euro</t>
    </r>
    <r>
      <rPr>
        <sz val="12"/>
        <color theme="1"/>
        <rFont val="Times New Roman"/>
        <family val="1"/>
        <charset val="186"/>
      </rPr>
      <t xml:space="preserve"> + 1,04 </t>
    </r>
    <r>
      <rPr>
        <i/>
        <sz val="12"/>
        <color theme="1"/>
        <rFont val="Times New Roman"/>
        <family val="1"/>
        <charset val="186"/>
      </rPr>
      <t>euro</t>
    </r>
    <r>
      <rPr>
        <sz val="12"/>
        <color theme="1"/>
        <rFont val="Times New Roman"/>
        <family val="1"/>
        <charset val="186"/>
      </rPr>
      <t xml:space="preserve">) = 23,57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</si>
  <si>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(259,29 </t>
    </r>
    <r>
      <rPr>
        <i/>
        <sz val="12"/>
        <color theme="1"/>
        <rFont val="Times New Roman"/>
        <family val="1"/>
        <charset val="186"/>
      </rPr>
      <t>euro</t>
    </r>
    <r>
      <rPr>
        <sz val="12"/>
        <color theme="1"/>
        <rFont val="Times New Roman"/>
        <family val="1"/>
        <charset val="186"/>
      </rPr>
      <t xml:space="preserve"> * 23,59 %) = 61,17 </t>
    </r>
    <r>
      <rPr>
        <i/>
        <sz val="12"/>
        <color theme="1"/>
        <rFont val="Times New Roman"/>
        <family val="1"/>
        <charset val="186"/>
      </rPr>
      <t xml:space="preserve">euro. </t>
    </r>
  </si>
  <si>
    <r>
      <t xml:space="preserve">Galv. nekust. īpaš. pārvaldnieks (9,48 </t>
    </r>
    <r>
      <rPr>
        <i/>
        <sz val="12"/>
        <color theme="1"/>
        <rFont val="Times New Roman"/>
        <family val="1"/>
        <charset val="186"/>
      </rPr>
      <t>euro</t>
    </r>
    <r>
      <rPr>
        <sz val="12"/>
        <color theme="1"/>
        <rFont val="Times New Roman"/>
        <family val="1"/>
        <charset val="186"/>
      </rPr>
      <t xml:space="preserve"> * 5%) = 0,47 </t>
    </r>
    <r>
      <rPr>
        <i/>
        <sz val="12"/>
        <color theme="1"/>
        <rFont val="Times New Roman"/>
        <family val="1"/>
        <charset val="186"/>
      </rPr>
      <t>euro</t>
    </r>
    <r>
      <rPr>
        <sz val="12"/>
        <color theme="1"/>
        <rFont val="Times New Roman"/>
        <family val="1"/>
        <charset val="186"/>
      </rPr>
      <t xml:space="preserve">, Dienesta viesnīcas vadīotājs (215,81 euro * 5%) = 10,79 euro.  Saimniecības pārzinis (10,43 </t>
    </r>
    <r>
      <rPr>
        <i/>
        <sz val="12"/>
        <color theme="1"/>
        <rFont val="Times New Roman"/>
        <family val="1"/>
        <charset val="186"/>
      </rPr>
      <t>euro</t>
    </r>
    <r>
      <rPr>
        <sz val="12"/>
        <color theme="1"/>
        <rFont val="Times New Roman"/>
        <family val="1"/>
        <charset val="186"/>
      </rPr>
      <t xml:space="preserve"> * 5%) = 0,52 </t>
    </r>
    <r>
      <rPr>
        <i/>
        <sz val="12"/>
        <color theme="1"/>
        <rFont val="Times New Roman"/>
        <family val="1"/>
        <charset val="186"/>
      </rPr>
      <t>euro.</t>
    </r>
    <r>
      <rPr>
        <sz val="12"/>
        <color theme="1"/>
        <rFont val="Times New Roman"/>
        <family val="1"/>
        <charset val="186"/>
      </rPr>
      <t xml:space="preserve"> Kopā (0,47 </t>
    </r>
    <r>
      <rPr>
        <i/>
        <sz val="12"/>
        <color theme="1"/>
        <rFont val="Times New Roman"/>
        <family val="1"/>
        <charset val="186"/>
      </rPr>
      <t>euro</t>
    </r>
    <r>
      <rPr>
        <sz val="12"/>
        <color theme="1"/>
        <rFont val="Times New Roman"/>
        <family val="1"/>
        <charset val="186"/>
      </rPr>
      <t xml:space="preserve"> + 10,79 </t>
    </r>
    <r>
      <rPr>
        <i/>
        <sz val="12"/>
        <color theme="1"/>
        <rFont val="Times New Roman"/>
        <family val="1"/>
        <charset val="186"/>
      </rPr>
      <t>euro</t>
    </r>
    <r>
      <rPr>
        <sz val="12"/>
        <color theme="1"/>
        <rFont val="Times New Roman"/>
        <family val="1"/>
        <charset val="186"/>
      </rPr>
      <t xml:space="preserve"> + 0,52 </t>
    </r>
    <r>
      <rPr>
        <i/>
        <sz val="12"/>
        <color theme="1"/>
        <rFont val="Times New Roman"/>
        <family val="1"/>
        <charset val="186"/>
      </rPr>
      <t>euro</t>
    </r>
    <r>
      <rPr>
        <sz val="12"/>
        <color theme="1"/>
        <rFont val="Times New Roman"/>
        <family val="1"/>
        <charset val="186"/>
      </rPr>
      <t xml:space="preserve">) = 11,78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</si>
  <si>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1.91 stundas, (11,24 </t>
    </r>
    <r>
      <rPr>
        <i/>
        <sz val="12"/>
        <color theme="1"/>
        <rFont val="Times New Roman"/>
        <family val="1"/>
        <charset val="186"/>
      </rPr>
      <t>euro</t>
    </r>
    <r>
      <rPr>
        <sz val="12"/>
        <color theme="1"/>
        <rFont val="Times New Roman"/>
        <family val="1"/>
        <charset val="186"/>
      </rPr>
      <t xml:space="preserve"> * 1.91 h) = 21,47 </t>
    </r>
    <r>
      <rPr>
        <i/>
        <sz val="12"/>
        <color theme="1"/>
        <rFont val="Times New Roman"/>
        <family val="1"/>
        <charset val="186"/>
      </rPr>
      <t>euro</t>
    </r>
    <r>
      <rPr>
        <sz val="12"/>
        <color theme="1"/>
        <rFont val="Times New Roman"/>
        <family val="1"/>
        <charset val="186"/>
      </rPr>
      <t xml:space="preserve">/mēn. * 12. mēn. = 257,64 </t>
    </r>
    <r>
      <rPr>
        <i/>
        <sz val="12"/>
        <color theme="1"/>
        <rFont val="Times New Roman"/>
        <family val="1"/>
        <charset val="186"/>
      </rPr>
      <t>euro</t>
    </r>
    <r>
      <rPr>
        <sz val="12"/>
        <color theme="1"/>
        <rFont val="Times New Roman"/>
        <family val="1"/>
        <charset val="186"/>
      </rPr>
      <t xml:space="preserve"> * 0.0155 (iznomātās platības koeficients) = 3,99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</si>
  <si>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1.87 stundas,  (7,58 </t>
    </r>
    <r>
      <rPr>
        <i/>
        <sz val="12"/>
        <color theme="1"/>
        <rFont val="Times New Roman"/>
        <family val="1"/>
        <charset val="186"/>
      </rPr>
      <t>euro</t>
    </r>
    <r>
      <rPr>
        <sz val="12"/>
        <color theme="1"/>
        <rFont val="Times New Roman"/>
        <family val="1"/>
        <charset val="186"/>
      </rPr>
      <t xml:space="preserve"> * 1.87 h) = 14,17 </t>
    </r>
    <r>
      <rPr>
        <i/>
        <sz val="12"/>
        <color theme="1"/>
        <rFont val="Times New Roman"/>
        <family val="1"/>
        <charset val="186"/>
      </rPr>
      <t>euro</t>
    </r>
    <r>
      <rPr>
        <sz val="12"/>
        <color theme="1"/>
        <rFont val="Times New Roman"/>
        <family val="1"/>
        <charset val="186"/>
      </rPr>
      <t xml:space="preserve">/mēn. * 12. mēn. = 170,04 </t>
    </r>
    <r>
      <rPr>
        <i/>
        <sz val="12"/>
        <color theme="1"/>
        <rFont val="Times New Roman"/>
        <family val="1"/>
        <charset val="186"/>
      </rPr>
      <t>euro</t>
    </r>
    <r>
      <rPr>
        <sz val="12"/>
        <color theme="1"/>
        <rFont val="Times New Roman"/>
        <family val="1"/>
        <charset val="186"/>
      </rPr>
      <t xml:space="preserve"> * 0.0155  (iznomātās platības koeficients) = 2,64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</si>
  <si>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1.83 stundas, (11,22 </t>
    </r>
    <r>
      <rPr>
        <i/>
        <sz val="12"/>
        <color theme="1"/>
        <rFont val="Times New Roman"/>
        <family val="1"/>
        <charset val="186"/>
      </rPr>
      <t>euro</t>
    </r>
    <r>
      <rPr>
        <sz val="12"/>
        <color theme="1"/>
        <rFont val="Times New Roman"/>
        <family val="1"/>
        <charset val="186"/>
      </rPr>
      <t xml:space="preserve"> * 1.83 h) = 20,53 </t>
    </r>
    <r>
      <rPr>
        <i/>
        <sz val="12"/>
        <color theme="1"/>
        <rFont val="Times New Roman"/>
        <family val="1"/>
        <charset val="186"/>
      </rPr>
      <t>euro</t>
    </r>
    <r>
      <rPr>
        <sz val="12"/>
        <color theme="1"/>
        <rFont val="Times New Roman"/>
        <family val="1"/>
        <charset val="186"/>
      </rPr>
      <t xml:space="preserve">/mēn. * 12. mēn. = 246,36 </t>
    </r>
    <r>
      <rPr>
        <i/>
        <sz val="12"/>
        <color theme="1"/>
        <rFont val="Times New Roman"/>
        <family val="1"/>
        <charset val="186"/>
      </rPr>
      <t>euro</t>
    </r>
    <r>
      <rPr>
        <sz val="12"/>
        <color theme="1"/>
        <rFont val="Times New Roman"/>
        <family val="1"/>
        <charset val="186"/>
      </rPr>
      <t xml:space="preserve"> * 0.0155  (iznomātās platības koeficients) = 3,82 </t>
    </r>
    <r>
      <rPr>
        <i/>
        <sz val="12"/>
        <color theme="1"/>
        <rFont val="Times New Roman"/>
        <family val="1"/>
        <charset val="186"/>
      </rPr>
      <t>euro.</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</si>
  <si>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/166.92 (vid. d. stundu sk. mēnesī). Vid. mēn. noslogojums 9.23 stunda, (8,22 </t>
    </r>
    <r>
      <rPr>
        <i/>
        <sz val="12"/>
        <color theme="1"/>
        <rFont val="Times New Roman"/>
        <family val="1"/>
        <charset val="186"/>
      </rPr>
      <t>euro</t>
    </r>
    <r>
      <rPr>
        <sz val="12"/>
        <color theme="1"/>
        <rFont val="Times New Roman"/>
        <family val="1"/>
        <charset val="186"/>
      </rPr>
      <t xml:space="preserve"> * 9.23 h) = 75,87 </t>
    </r>
    <r>
      <rPr>
        <i/>
        <sz val="12"/>
        <color theme="1"/>
        <rFont val="Times New Roman"/>
        <family val="1"/>
        <charset val="186"/>
      </rPr>
      <t>euro</t>
    </r>
    <r>
      <rPr>
        <sz val="12"/>
        <color theme="1"/>
        <rFont val="Times New Roman"/>
        <family val="1"/>
        <charset val="186"/>
      </rPr>
      <t xml:space="preserve">/mēn. * 12. mēn. = 910,44 </t>
    </r>
    <r>
      <rPr>
        <i/>
        <sz val="12"/>
        <color theme="1"/>
        <rFont val="Times New Roman"/>
        <family val="1"/>
        <charset val="186"/>
      </rPr>
      <t>euro</t>
    </r>
    <r>
      <rPr>
        <sz val="12"/>
        <color theme="1"/>
        <rFont val="Times New Roman"/>
        <family val="1"/>
        <charset val="186"/>
      </rPr>
      <t xml:space="preserve">  * 0.0155   (iznomātās platības koeficients) = 14,11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</si>
  <si>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1.66 stundas, (12,07 </t>
    </r>
    <r>
      <rPr>
        <i/>
        <sz val="12"/>
        <color theme="1"/>
        <rFont val="Times New Roman"/>
        <family val="1"/>
        <charset val="186"/>
      </rPr>
      <t>euro</t>
    </r>
    <r>
      <rPr>
        <sz val="12"/>
        <color theme="1"/>
        <rFont val="Times New Roman"/>
        <family val="1"/>
        <charset val="186"/>
      </rPr>
      <t xml:space="preserve"> * 1.66 h) = 20,04 </t>
    </r>
    <r>
      <rPr>
        <i/>
        <sz val="12"/>
        <color theme="1"/>
        <rFont val="Times New Roman"/>
        <family val="1"/>
        <charset val="186"/>
      </rPr>
      <t>euro</t>
    </r>
    <r>
      <rPr>
        <sz val="12"/>
        <color theme="1"/>
        <rFont val="Times New Roman"/>
        <family val="1"/>
        <charset val="186"/>
      </rPr>
      <t xml:space="preserve">/mēn. * 12. mēn. = 240,48 </t>
    </r>
    <r>
      <rPr>
        <i/>
        <sz val="12"/>
        <color theme="1"/>
        <rFont val="Times New Roman"/>
        <family val="1"/>
        <charset val="186"/>
      </rPr>
      <t>euro</t>
    </r>
    <r>
      <rPr>
        <sz val="12"/>
        <color theme="1"/>
        <rFont val="Times New Roman"/>
        <family val="1"/>
        <charset val="186"/>
      </rPr>
      <t xml:space="preserve"> * 0.0155 (iznomātās platības koeficients) = 3,73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</si>
  <si>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/166.92 (vid. d. stundu sk. mēnesī). Vid. mēn. noslogojums 33.59 stundas, (9,11 </t>
    </r>
    <r>
      <rPr>
        <i/>
        <sz val="12"/>
        <color theme="1"/>
        <rFont val="Times New Roman"/>
        <family val="1"/>
        <charset val="186"/>
      </rPr>
      <t>euro</t>
    </r>
    <r>
      <rPr>
        <sz val="12"/>
        <color theme="1"/>
        <rFont val="Times New Roman"/>
        <family val="1"/>
        <charset val="186"/>
      </rPr>
      <t xml:space="preserve"> * 33.59 h) = 306,00 </t>
    </r>
    <r>
      <rPr>
        <i/>
        <sz val="12"/>
        <color theme="1"/>
        <rFont val="Times New Roman"/>
        <family val="1"/>
        <charset val="186"/>
      </rPr>
      <t>euro</t>
    </r>
    <r>
      <rPr>
        <sz val="12"/>
        <color theme="1"/>
        <rFont val="Times New Roman"/>
        <family val="1"/>
        <charset val="186"/>
      </rPr>
      <t xml:space="preserve">/mēn. * 12. mēn. = 3 672,00 </t>
    </r>
    <r>
      <rPr>
        <i/>
        <sz val="12"/>
        <color theme="1"/>
        <rFont val="Times New Roman"/>
        <family val="1"/>
        <charset val="186"/>
      </rPr>
      <t>euro</t>
    </r>
    <r>
      <rPr>
        <sz val="12"/>
        <color theme="1"/>
        <rFont val="Times New Roman"/>
        <family val="1"/>
        <charset val="186"/>
      </rPr>
      <t xml:space="preserve"> * 0.0155 (iznomātās platības koeficients) = 56,92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</si>
  <si>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58.67 stundas, (8,22 </t>
    </r>
    <r>
      <rPr>
        <i/>
        <sz val="12"/>
        <color theme="1"/>
        <rFont val="Times New Roman"/>
        <family val="1"/>
        <charset val="186"/>
      </rPr>
      <t>euro</t>
    </r>
    <r>
      <rPr>
        <sz val="12"/>
        <color theme="1"/>
        <rFont val="Times New Roman"/>
        <family val="1"/>
        <charset val="186"/>
      </rPr>
      <t xml:space="preserve"> * 58.67 h) = 482,27 </t>
    </r>
    <r>
      <rPr>
        <i/>
        <sz val="12"/>
        <color theme="1"/>
        <rFont val="Times New Roman"/>
        <family val="1"/>
        <charset val="186"/>
      </rPr>
      <t>euro</t>
    </r>
    <r>
      <rPr>
        <sz val="12"/>
        <color theme="1"/>
        <rFont val="Times New Roman"/>
        <family val="1"/>
        <charset val="186"/>
      </rPr>
      <t xml:space="preserve">/mēn. * 12. mēn. = 5 787,24 </t>
    </r>
    <r>
      <rPr>
        <i/>
        <sz val="12"/>
        <color theme="1"/>
        <rFont val="Times New Roman"/>
        <family val="1"/>
        <charset val="186"/>
      </rPr>
      <t>euro</t>
    </r>
    <r>
      <rPr>
        <sz val="12"/>
        <color theme="1"/>
        <rFont val="Times New Roman"/>
        <family val="1"/>
        <charset val="186"/>
      </rPr>
      <t xml:space="preserve"> * 0.0155 (iznomātās platības koeficients) = 89,70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</si>
  <si>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7.2 stundas, (24,34 </t>
    </r>
    <r>
      <rPr>
        <i/>
        <sz val="12"/>
        <color theme="1"/>
        <rFont val="Times New Roman"/>
        <family val="1"/>
        <charset val="186"/>
      </rPr>
      <t>euro</t>
    </r>
    <r>
      <rPr>
        <sz val="12"/>
        <color theme="1"/>
        <rFont val="Times New Roman"/>
        <family val="1"/>
        <charset val="186"/>
      </rPr>
      <t xml:space="preserve"> * 7.2 h) = 175,25 </t>
    </r>
    <r>
      <rPr>
        <i/>
        <sz val="12"/>
        <color theme="1"/>
        <rFont val="Times New Roman"/>
        <family val="1"/>
        <charset val="186"/>
      </rPr>
      <t>euro</t>
    </r>
    <r>
      <rPr>
        <sz val="12"/>
        <color theme="1"/>
        <rFont val="Times New Roman"/>
        <family val="1"/>
        <charset val="186"/>
      </rPr>
      <t xml:space="preserve">/mēn. * 12. mēn. = 2 103,00 </t>
    </r>
    <r>
      <rPr>
        <i/>
        <sz val="12"/>
        <color theme="1"/>
        <rFont val="Times New Roman"/>
        <family val="1"/>
        <charset val="186"/>
      </rPr>
      <t>euro</t>
    </r>
    <r>
      <rPr>
        <sz val="12"/>
        <color theme="1"/>
        <rFont val="Times New Roman"/>
        <family val="1"/>
        <charset val="186"/>
      </rPr>
      <t xml:space="preserve"> * 0.0155  (iznomātās platības koeficients) = 32,60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</si>
  <si>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1.65 stundas, (26,96 </t>
    </r>
    <r>
      <rPr>
        <i/>
        <sz val="12"/>
        <color theme="1"/>
        <rFont val="Times New Roman"/>
        <family val="1"/>
        <charset val="186"/>
      </rPr>
      <t>euro</t>
    </r>
    <r>
      <rPr>
        <sz val="12"/>
        <color theme="1"/>
        <rFont val="Times New Roman"/>
        <family val="1"/>
        <charset val="186"/>
      </rPr>
      <t xml:space="preserve"> * 1.65 h) = 44,48 </t>
    </r>
    <r>
      <rPr>
        <i/>
        <sz val="12"/>
        <color theme="1"/>
        <rFont val="Times New Roman"/>
        <family val="1"/>
        <charset val="186"/>
      </rPr>
      <t>euro</t>
    </r>
    <r>
      <rPr>
        <sz val="12"/>
        <color theme="1"/>
        <rFont val="Times New Roman"/>
        <family val="1"/>
        <charset val="186"/>
      </rPr>
      <t xml:space="preserve">/mēn. * 12. mēn. = 533,76 </t>
    </r>
    <r>
      <rPr>
        <i/>
        <sz val="12"/>
        <color theme="1"/>
        <rFont val="Times New Roman"/>
        <family val="1"/>
        <charset val="186"/>
      </rPr>
      <t>euro</t>
    </r>
    <r>
      <rPr>
        <sz val="12"/>
        <color theme="1"/>
        <rFont val="Times New Roman"/>
        <family val="1"/>
        <charset val="186"/>
      </rPr>
      <t xml:space="preserve"> * 0.0155 (iznomātās platības koeficients) = 8,27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</si>
  <si>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221,54 </t>
    </r>
    <r>
      <rPr>
        <i/>
        <sz val="12"/>
        <color theme="1"/>
        <rFont val="Times New Roman"/>
        <family val="1"/>
        <charset val="186"/>
      </rPr>
      <t>euro</t>
    </r>
    <r>
      <rPr>
        <sz val="12"/>
        <color theme="1"/>
        <rFont val="Times New Roman"/>
        <family val="1"/>
        <charset val="186"/>
      </rPr>
      <t xml:space="preserve"> * 23,59 % = 52,26 </t>
    </r>
    <r>
      <rPr>
        <i/>
        <sz val="12"/>
        <color theme="1"/>
        <rFont val="Times New Roman"/>
        <family val="1"/>
        <charset val="186"/>
      </rPr>
      <t>euro.</t>
    </r>
  </si>
  <si>
    <r>
      <t xml:space="preserve">Izdevumi par apkuri 48 868,00 </t>
    </r>
    <r>
      <rPr>
        <i/>
        <sz val="12"/>
        <color theme="1"/>
        <rFont val="Times New Roman"/>
        <family val="1"/>
        <charset val="186"/>
      </rPr>
      <t>euro</t>
    </r>
    <r>
      <rPr>
        <sz val="12"/>
        <color theme="1"/>
        <rFont val="Times New Roman"/>
        <family val="1"/>
        <charset val="186"/>
      </rPr>
      <t xml:space="preserve"> gadā * 0.0107 (iznomātās platības koeficients) = 522,89 </t>
    </r>
    <r>
      <rPr>
        <i/>
        <sz val="12"/>
        <color theme="1"/>
        <rFont val="Times New Roman"/>
        <family val="1"/>
        <charset val="186"/>
      </rPr>
      <t>euro.</t>
    </r>
  </si>
  <si>
    <r>
      <t xml:space="preserve">Izdevumi par ūdeni un kanalizāciju 52 111,24 </t>
    </r>
    <r>
      <rPr>
        <i/>
        <sz val="12"/>
        <color theme="1"/>
        <rFont val="Times New Roman"/>
        <family val="1"/>
        <charset val="186"/>
      </rPr>
      <t>euro</t>
    </r>
    <r>
      <rPr>
        <sz val="12"/>
        <color theme="1"/>
        <rFont val="Times New Roman"/>
        <family val="1"/>
        <charset val="186"/>
      </rPr>
      <t xml:space="preserve"> gadā * 0.0107 (iznomātās platības koeficients) = 557,59 </t>
    </r>
    <r>
      <rPr>
        <i/>
        <sz val="12"/>
        <color theme="1"/>
        <rFont val="Times New Roman"/>
        <family val="1"/>
        <charset val="186"/>
      </rPr>
      <t>euro</t>
    </r>
    <r>
      <rPr>
        <sz val="12"/>
        <color theme="1"/>
        <rFont val="Times New Roman"/>
        <family val="1"/>
        <charset val="186"/>
      </rPr>
      <t>.</t>
    </r>
  </si>
  <si>
    <r>
      <t xml:space="preserve">Izdevumi par atkritumu izvešanu 23 680,95 </t>
    </r>
    <r>
      <rPr>
        <i/>
        <sz val="12"/>
        <color theme="1"/>
        <rFont val="Times New Roman"/>
        <family val="1"/>
        <charset val="186"/>
      </rPr>
      <t>euro</t>
    </r>
    <r>
      <rPr>
        <sz val="12"/>
        <color theme="1"/>
        <rFont val="Times New Roman"/>
        <family val="1"/>
        <charset val="186"/>
      </rPr>
      <t xml:space="preserve"> gadā * 0.0107 (iznomātās platības koeficients) = 253,39 </t>
    </r>
    <r>
      <rPr>
        <i/>
        <sz val="12"/>
        <color theme="1"/>
        <rFont val="Times New Roman"/>
        <family val="1"/>
        <charset val="186"/>
      </rPr>
      <t>euro.</t>
    </r>
  </si>
  <si>
    <r>
      <t xml:space="preserve">Izdevumi par energoefektivitātes paaugstināšanas atzinumu  464,98 </t>
    </r>
    <r>
      <rPr>
        <i/>
        <sz val="12"/>
        <color theme="1"/>
        <rFont val="Times New Roman"/>
        <family val="1"/>
        <charset val="186"/>
      </rPr>
      <t>euro</t>
    </r>
    <r>
      <rPr>
        <sz val="12"/>
        <color theme="1"/>
        <rFont val="Times New Roman"/>
        <family val="1"/>
        <charset val="186"/>
      </rPr>
      <t xml:space="preserve"> gadā * 0.0107 (iznomātās platības koeficients) = 4,98 </t>
    </r>
    <r>
      <rPr>
        <i/>
        <sz val="12"/>
        <color theme="1"/>
        <rFont val="Times New Roman"/>
        <family val="1"/>
        <charset val="186"/>
      </rPr>
      <t>euro.</t>
    </r>
  </si>
  <si>
    <r>
      <t xml:space="preserve">Video novērošanas un apsardzes signalizācijas sistēmas tehniskā apkope, Ugunsdzēsības krānu, ūdensvada, sirēnu iekārtu un citu iekārtu apkope un remonts, evakuācijas plānu izstrāde, avāriju bojājumu novēršanas izdevumi 1 715,08 </t>
    </r>
    <r>
      <rPr>
        <i/>
        <sz val="12"/>
        <color theme="1"/>
        <rFont val="Times New Roman"/>
        <family val="1"/>
        <charset val="186"/>
      </rPr>
      <t>euro</t>
    </r>
    <r>
      <rPr>
        <sz val="12"/>
        <color theme="1"/>
        <rFont val="Times New Roman"/>
        <family val="1"/>
        <charset val="186"/>
      </rPr>
      <t xml:space="preserve"> gadā * 0.0107 (iznomātās platības koeficients) = 18,35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</si>
  <si>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133 418,65 </t>
    </r>
    <r>
      <rPr>
        <i/>
        <sz val="12"/>
        <color theme="1"/>
        <rFont val="Times New Roman"/>
        <family val="1"/>
        <charset val="186"/>
      </rPr>
      <t>euro</t>
    </r>
    <r>
      <rPr>
        <sz val="12"/>
        <color theme="1"/>
        <rFont val="Times New Roman"/>
        <family val="1"/>
        <charset val="186"/>
      </rPr>
      <t xml:space="preserve"> gadā * 0.0107 (iznomātās platības koeficients) = 1 427,58 </t>
    </r>
    <r>
      <rPr>
        <i/>
        <sz val="12"/>
        <color theme="1"/>
        <rFont val="Times New Roman"/>
        <family val="1"/>
        <charset val="186"/>
      </rPr>
      <t>euro.</t>
    </r>
  </si>
  <si>
    <r>
      <t xml:space="preserve">Pārējie uzturēšanas izdevumi 1 602,25 </t>
    </r>
    <r>
      <rPr>
        <i/>
        <sz val="12"/>
        <color theme="1"/>
        <rFont val="Times New Roman"/>
        <family val="1"/>
        <charset val="186"/>
      </rPr>
      <t>euro</t>
    </r>
    <r>
      <rPr>
        <sz val="12"/>
        <color theme="1"/>
        <rFont val="Times New Roman"/>
        <family val="1"/>
        <charset val="186"/>
      </rPr>
      <t xml:space="preserve"> gadā * 0.0107 (iznomātās platības koeficients) = 17,14 </t>
    </r>
    <r>
      <rPr>
        <i/>
        <sz val="12"/>
        <color theme="1"/>
        <rFont val="Times New Roman"/>
        <family val="1"/>
        <charset val="186"/>
      </rPr>
      <t>euro.</t>
    </r>
  </si>
  <si>
    <r>
      <t xml:space="preserve">Biotualetes noma gadā 121,00 </t>
    </r>
    <r>
      <rPr>
        <i/>
        <sz val="12"/>
        <color theme="1"/>
        <rFont val="Times New Roman"/>
        <family val="1"/>
        <charset val="186"/>
      </rPr>
      <t>euro</t>
    </r>
    <r>
      <rPr>
        <sz val="12"/>
        <color theme="1"/>
        <rFont val="Times New Roman"/>
        <family val="1"/>
        <charset val="186"/>
      </rPr>
      <t xml:space="preserve"> * 0.0107 (iznomātās platības koeficients) = 1,29 </t>
    </r>
    <r>
      <rPr>
        <i/>
        <sz val="12"/>
        <color theme="1"/>
        <rFont val="Times New Roman"/>
        <family val="1"/>
        <charset val="186"/>
      </rPr>
      <t>euro.</t>
    </r>
  </si>
  <si>
    <r>
      <t xml:space="preserve">Inventāra iegādes izdevumi 607,49 </t>
    </r>
    <r>
      <rPr>
        <i/>
        <sz val="12"/>
        <color theme="1"/>
        <rFont val="Times New Roman"/>
        <family val="1"/>
        <charset val="186"/>
      </rPr>
      <t>euro</t>
    </r>
    <r>
      <rPr>
        <sz val="12"/>
        <color theme="1"/>
        <rFont val="Times New Roman"/>
        <family val="1"/>
        <charset val="186"/>
      </rPr>
      <t xml:space="preserve"> gadā * 0.0107 (iznomātās platības koeficients) = 6,50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</si>
  <si>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aizkari, podu vāki, u.c. higiēnas, saimniecības preces) iegādes izdevumi 905,02 </t>
    </r>
    <r>
      <rPr>
        <i/>
        <sz val="12"/>
        <color theme="1"/>
        <rFont val="Times New Roman"/>
        <family val="1"/>
        <charset val="186"/>
      </rPr>
      <t>euro</t>
    </r>
    <r>
      <rPr>
        <sz val="12"/>
        <color theme="1"/>
        <rFont val="Times New Roman"/>
        <family val="1"/>
        <charset val="186"/>
      </rPr>
      <t xml:space="preserve"> gadā * 0.0107 (iznomātās platības koeficients) = 9,68 </t>
    </r>
    <r>
      <rPr>
        <i/>
        <sz val="12"/>
        <color theme="1"/>
        <rFont val="Times New Roman"/>
        <family val="1"/>
        <charset val="186"/>
      </rPr>
      <t>euro</t>
    </r>
    <r>
      <rPr>
        <sz val="12"/>
        <color theme="1"/>
        <rFont val="Times New Roman"/>
        <family val="1"/>
        <charset val="186"/>
      </rPr>
      <t>.</t>
    </r>
  </si>
  <si>
    <r>
      <t xml:space="preserve">Nekustamā īpašuma nodoklis 10 541,01 </t>
    </r>
    <r>
      <rPr>
        <i/>
        <sz val="12"/>
        <color theme="1"/>
        <rFont val="Times New Roman"/>
        <family val="1"/>
        <charset val="186"/>
      </rPr>
      <t>euro</t>
    </r>
    <r>
      <rPr>
        <sz val="12"/>
        <color theme="1"/>
        <rFont val="Times New Roman"/>
        <family val="1"/>
        <charset val="186"/>
      </rPr>
      <t xml:space="preserve"> gadā * 0.0107 (iznomātās platības koeficients) = 112,79 </t>
    </r>
    <r>
      <rPr>
        <i/>
        <sz val="12"/>
        <color theme="1"/>
        <rFont val="Times New Roman"/>
        <family val="1"/>
        <charset val="186"/>
      </rPr>
      <t>euro</t>
    </r>
    <r>
      <rPr>
        <sz val="12"/>
        <color theme="1"/>
        <rFont val="Times New Roman"/>
        <family val="1"/>
        <charset val="186"/>
      </rPr>
      <t>.</t>
    </r>
  </si>
  <si>
    <r>
      <t xml:space="preserve">Ēku amortizācija 6 565,16 </t>
    </r>
    <r>
      <rPr>
        <i/>
        <sz val="12"/>
        <color theme="1"/>
        <rFont val="Times New Roman"/>
        <family val="1"/>
        <charset val="186"/>
      </rPr>
      <t>euro</t>
    </r>
    <r>
      <rPr>
        <sz val="12"/>
        <color theme="1"/>
        <rFont val="Times New Roman"/>
        <family val="1"/>
        <charset val="186"/>
      </rPr>
      <t xml:space="preserve"> gadā * 0.0107 (iznomātās platības koeficients) = 70,25 </t>
    </r>
    <r>
      <rPr>
        <i/>
        <sz val="12"/>
        <color theme="1"/>
        <rFont val="Times New Roman"/>
        <family val="1"/>
        <charset val="186"/>
      </rPr>
      <t>euro</t>
    </r>
    <r>
      <rPr>
        <sz val="12"/>
        <color theme="1"/>
        <rFont val="Times New Roman"/>
        <family val="1"/>
        <charset val="186"/>
      </rPr>
      <t>.</t>
    </r>
  </si>
  <si>
    <r>
      <t xml:space="preserve">Pamatlīdzekļu amortizācija 4 439,23 </t>
    </r>
    <r>
      <rPr>
        <i/>
        <sz val="12"/>
        <color theme="1"/>
        <rFont val="Times New Roman"/>
        <family val="1"/>
        <charset val="186"/>
      </rPr>
      <t>euro</t>
    </r>
    <r>
      <rPr>
        <sz val="12"/>
        <color theme="1"/>
        <rFont val="Times New Roman"/>
        <family val="1"/>
        <charset val="186"/>
      </rPr>
      <t xml:space="preserve"> gadā * 0.0107 (iznomātās platības koeficients) = 47,50 </t>
    </r>
    <r>
      <rPr>
        <i/>
        <sz val="12"/>
        <color theme="1"/>
        <rFont val="Times New Roman"/>
        <family val="1"/>
        <charset val="186"/>
      </rPr>
      <t>euro</t>
    </r>
    <r>
      <rPr>
        <sz val="12"/>
        <color theme="1"/>
        <rFont val="Times New Roman"/>
        <family val="1"/>
        <charset val="186"/>
      </rPr>
      <t>.</t>
    </r>
  </si>
  <si>
    <r>
      <t xml:space="preserve">Pamatlīdzekļu amortizācija 492,88 </t>
    </r>
    <r>
      <rPr>
        <i/>
        <sz val="12"/>
        <color theme="1"/>
        <rFont val="Times New Roman"/>
        <family val="1"/>
        <charset val="186"/>
      </rPr>
      <t>euro</t>
    </r>
    <r>
      <rPr>
        <sz val="12"/>
        <color theme="1"/>
        <rFont val="Times New Roman"/>
        <family val="1"/>
        <charset val="186"/>
      </rPr>
      <t xml:space="preserve"> gadā * 0.0107 (iznomātās platības koeficients) = 5,27 </t>
    </r>
    <r>
      <rPr>
        <i/>
        <sz val="12"/>
        <color theme="1"/>
        <rFont val="Times New Roman"/>
        <family val="1"/>
        <charset val="186"/>
      </rPr>
      <t>euro</t>
    </r>
    <r>
      <rPr>
        <sz val="12"/>
        <color theme="1"/>
        <rFont val="Times New Roman"/>
        <family val="1"/>
        <charset val="186"/>
      </rPr>
      <t>.</t>
    </r>
  </si>
  <si>
    <r>
      <t xml:space="preserve">Pārējie uzturēšanas izdevumi 2 168,13 </t>
    </r>
    <r>
      <rPr>
        <i/>
        <sz val="12"/>
        <color theme="1"/>
        <rFont val="Times New Roman"/>
        <family val="1"/>
        <charset val="186"/>
      </rPr>
      <t>euro</t>
    </r>
    <r>
      <rPr>
        <sz val="12"/>
        <color theme="1"/>
        <rFont val="Times New Roman"/>
        <family val="1"/>
        <charset val="186"/>
      </rPr>
      <t xml:space="preserve"> gadā * 0.0107 (iznomātās platības koeficients) = 23,20 </t>
    </r>
    <r>
      <rPr>
        <i/>
        <sz val="12"/>
        <color theme="1"/>
        <rFont val="Times New Roman"/>
        <family val="1"/>
        <charset val="186"/>
      </rPr>
      <t>euro</t>
    </r>
    <r>
      <rPr>
        <sz val="12"/>
        <color theme="1"/>
        <rFont val="Times New Roman"/>
        <family val="1"/>
        <charset val="186"/>
      </rPr>
      <t>.</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</si>
  <si>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142.54 stundas, (8,14 </t>
    </r>
    <r>
      <rPr>
        <i/>
        <sz val="12"/>
        <color theme="1"/>
        <rFont val="Times New Roman"/>
        <family val="1"/>
        <charset val="186"/>
      </rPr>
      <t>euro</t>
    </r>
    <r>
      <rPr>
        <sz val="12"/>
        <color theme="1"/>
        <rFont val="Times New Roman"/>
        <family val="1"/>
        <charset val="186"/>
      </rPr>
      <t xml:space="preserve"> * 142.54 h) = 1 160,28 </t>
    </r>
    <r>
      <rPr>
        <i/>
        <sz val="12"/>
        <color theme="1"/>
        <rFont val="Times New Roman"/>
        <family val="1"/>
        <charset val="186"/>
      </rPr>
      <t>euro</t>
    </r>
    <r>
      <rPr>
        <sz val="12"/>
        <color theme="1"/>
        <rFont val="Times New Roman"/>
        <family val="1"/>
        <charset val="186"/>
      </rPr>
      <t xml:space="preserve">/mēn.  * 12 mēn. = 13 923,36 </t>
    </r>
    <r>
      <rPr>
        <i/>
        <sz val="12"/>
        <color theme="1"/>
        <rFont val="Times New Roman"/>
        <family val="1"/>
        <charset val="186"/>
      </rPr>
      <t>euro</t>
    </r>
    <r>
      <rPr>
        <sz val="12"/>
        <color theme="1"/>
        <rFont val="Times New Roman"/>
        <family val="1"/>
        <charset val="186"/>
      </rPr>
      <t xml:space="preserve"> * 0.0107 (iznomātās platības koeficients) = 148,98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</si>
  <si>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10.44 stundas, (5,37 </t>
    </r>
    <r>
      <rPr>
        <i/>
        <sz val="12"/>
        <color theme="1"/>
        <rFont val="Times New Roman"/>
        <family val="1"/>
        <charset val="186"/>
      </rPr>
      <t>euro</t>
    </r>
    <r>
      <rPr>
        <sz val="12"/>
        <color theme="1"/>
        <rFont val="Times New Roman"/>
        <family val="1"/>
        <charset val="186"/>
      </rPr>
      <t xml:space="preserve"> * 10.44 h) = 56,06  </t>
    </r>
    <r>
      <rPr>
        <i/>
        <sz val="12"/>
        <color theme="1"/>
        <rFont val="Times New Roman"/>
        <family val="1"/>
        <charset val="186"/>
      </rPr>
      <t>euro</t>
    </r>
    <r>
      <rPr>
        <sz val="12"/>
        <color theme="1"/>
        <rFont val="Times New Roman"/>
        <family val="1"/>
        <charset val="186"/>
      </rPr>
      <t xml:space="preserve">/mēn.  * 12 mēn. = 672,72 </t>
    </r>
    <r>
      <rPr>
        <i/>
        <sz val="12"/>
        <color theme="1"/>
        <rFont val="Times New Roman"/>
        <family val="1"/>
        <charset val="186"/>
      </rPr>
      <t>euro</t>
    </r>
    <r>
      <rPr>
        <sz val="12"/>
        <color theme="1"/>
        <rFont val="Times New Roman"/>
        <family val="1"/>
        <charset val="186"/>
      </rPr>
      <t xml:space="preserve"> * 0.0107 (iznomātās platības koeficients) = 7,20 </t>
    </r>
    <r>
      <rPr>
        <i/>
        <sz val="12"/>
        <color theme="1"/>
        <rFont val="Times New Roman"/>
        <family val="1"/>
        <charset val="186"/>
      </rPr>
      <t>euro</t>
    </r>
    <r>
      <rPr>
        <sz val="12"/>
        <color theme="1"/>
        <rFont val="Times New Roman"/>
        <family val="1"/>
        <charset val="186"/>
      </rPr>
      <t xml:space="preserve">. </t>
    </r>
  </si>
  <si>
    <r>
      <t xml:space="preserve">Galv. nekust. īpaš. pārvaldnieks (6,54 </t>
    </r>
    <r>
      <rPr>
        <i/>
        <sz val="12"/>
        <color theme="1"/>
        <rFont val="Times New Roman"/>
        <family val="1"/>
        <charset val="186"/>
      </rPr>
      <t>euro</t>
    </r>
    <r>
      <rPr>
        <sz val="12"/>
        <color theme="1"/>
        <rFont val="Times New Roman"/>
        <family val="1"/>
        <charset val="186"/>
      </rPr>
      <t xml:space="preserve"> * 5%) = 0,33 </t>
    </r>
    <r>
      <rPr>
        <i/>
        <sz val="12"/>
        <color theme="1"/>
        <rFont val="Times New Roman"/>
        <family val="1"/>
        <charset val="186"/>
      </rPr>
      <t>euro</t>
    </r>
    <r>
      <rPr>
        <sz val="12"/>
        <color theme="1"/>
        <rFont val="Times New Roman"/>
        <family val="1"/>
        <charset val="186"/>
      </rPr>
      <t xml:space="preserve">, Dienesta viesnīcas vadīotājs (148,98 euro * 5%) = 7,45 euro.  Saimniecības pārzinis (7,20 </t>
    </r>
    <r>
      <rPr>
        <i/>
        <sz val="12"/>
        <color theme="1"/>
        <rFont val="Times New Roman"/>
        <family val="1"/>
        <charset val="186"/>
      </rPr>
      <t>euro</t>
    </r>
    <r>
      <rPr>
        <sz val="12"/>
        <color theme="1"/>
        <rFont val="Times New Roman"/>
        <family val="1"/>
        <charset val="186"/>
      </rPr>
      <t xml:space="preserve"> * 5%) = 0,36 </t>
    </r>
    <r>
      <rPr>
        <i/>
        <sz val="12"/>
        <color theme="1"/>
        <rFont val="Times New Roman"/>
        <family val="1"/>
        <charset val="186"/>
      </rPr>
      <t>euro.</t>
    </r>
    <r>
      <rPr>
        <sz val="12"/>
        <color theme="1"/>
        <rFont val="Times New Roman"/>
        <family val="1"/>
        <charset val="186"/>
      </rPr>
      <t xml:space="preserve"> Kopā (0,33 </t>
    </r>
    <r>
      <rPr>
        <i/>
        <sz val="12"/>
        <color theme="1"/>
        <rFont val="Times New Roman"/>
        <family val="1"/>
        <charset val="186"/>
      </rPr>
      <t>euro</t>
    </r>
    <r>
      <rPr>
        <sz val="12"/>
        <color theme="1"/>
        <rFont val="Times New Roman"/>
        <family val="1"/>
        <charset val="186"/>
      </rPr>
      <t xml:space="preserve"> + 7,45 </t>
    </r>
    <r>
      <rPr>
        <i/>
        <sz val="12"/>
        <color theme="1"/>
        <rFont val="Times New Roman"/>
        <family val="1"/>
        <charset val="186"/>
      </rPr>
      <t>euro</t>
    </r>
    <r>
      <rPr>
        <sz val="12"/>
        <color theme="1"/>
        <rFont val="Times New Roman"/>
        <family val="1"/>
        <charset val="186"/>
      </rPr>
      <t xml:space="preserve"> + 0,36 </t>
    </r>
    <r>
      <rPr>
        <i/>
        <sz val="12"/>
        <color theme="1"/>
        <rFont val="Times New Roman"/>
        <family val="1"/>
        <charset val="186"/>
      </rPr>
      <t>euro</t>
    </r>
    <r>
      <rPr>
        <sz val="12"/>
        <color theme="1"/>
        <rFont val="Times New Roman"/>
        <family val="1"/>
        <charset val="186"/>
      </rPr>
      <t xml:space="preserve">) = 8,14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</si>
  <si>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178,99 </t>
    </r>
    <r>
      <rPr>
        <i/>
        <sz val="12"/>
        <color theme="1"/>
        <rFont val="Times New Roman"/>
        <family val="1"/>
        <charset val="186"/>
      </rPr>
      <t>euro</t>
    </r>
    <r>
      <rPr>
        <sz val="12"/>
        <color theme="1"/>
        <rFont val="Times New Roman"/>
        <family val="1"/>
        <charset val="186"/>
      </rPr>
      <t xml:space="preserve"> * 23,59 % = 42,22 </t>
    </r>
    <r>
      <rPr>
        <i/>
        <sz val="12"/>
        <color theme="1"/>
        <rFont val="Times New Roman"/>
        <family val="1"/>
        <charset val="186"/>
      </rPr>
      <t xml:space="preserve">euro. </t>
    </r>
  </si>
  <si>
    <r>
      <t xml:space="preserve">Darba devēja valsts sociālās apdrošināšanas obligātās iemaksas 42,22 </t>
    </r>
    <r>
      <rPr>
        <i/>
        <sz val="12"/>
        <color theme="1"/>
        <rFont val="Times New Roman"/>
        <family val="1"/>
        <charset val="186"/>
      </rPr>
      <t>euro</t>
    </r>
    <r>
      <rPr>
        <sz val="12"/>
        <color theme="1"/>
        <rFont val="Times New Roman"/>
        <family val="1"/>
        <charset val="186"/>
      </rPr>
      <t xml:space="preserve">. Veselības apdrošināšana 8,14 </t>
    </r>
    <r>
      <rPr>
        <i/>
        <sz val="12"/>
        <color theme="1"/>
        <rFont val="Times New Roman"/>
        <family val="1"/>
        <charset val="186"/>
      </rPr>
      <t>euro</t>
    </r>
    <r>
      <rPr>
        <sz val="12"/>
        <color theme="1"/>
        <rFont val="Times New Roman"/>
        <family val="1"/>
        <charset val="186"/>
      </rPr>
      <t xml:space="preserve">. Kopā 50,36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</si>
  <si>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61,17 </t>
    </r>
    <r>
      <rPr>
        <i/>
        <sz val="12"/>
        <color theme="1"/>
        <rFont val="Times New Roman"/>
        <family val="1"/>
        <charset val="186"/>
      </rPr>
      <t>euro</t>
    </r>
    <r>
      <rPr>
        <sz val="12"/>
        <color theme="1"/>
        <rFont val="Times New Roman"/>
        <family val="1"/>
        <charset val="186"/>
      </rPr>
      <t xml:space="preserve">. Veselības apdrošināšana 11,78 </t>
    </r>
    <r>
      <rPr>
        <i/>
        <sz val="12"/>
        <color theme="1"/>
        <rFont val="Times New Roman"/>
        <family val="1"/>
        <charset val="186"/>
      </rPr>
      <t>euro</t>
    </r>
    <r>
      <rPr>
        <sz val="12"/>
        <color theme="1"/>
        <rFont val="Times New Roman"/>
        <family val="1"/>
        <charset val="186"/>
      </rPr>
      <t xml:space="preserve">. Kopā 72,95 </t>
    </r>
    <r>
      <rPr>
        <i/>
        <sz val="12"/>
        <color theme="1"/>
        <rFont val="Times New Roman"/>
        <family val="1"/>
        <charset val="186"/>
      </rPr>
      <t>euro</t>
    </r>
    <r>
      <rPr>
        <sz val="12"/>
        <color theme="1"/>
        <rFont val="Times New Roman"/>
        <family val="1"/>
        <charset val="186"/>
      </rPr>
      <t>.</t>
    </r>
  </si>
  <si>
    <r>
      <t xml:space="preserve">Pārējie uzturēšanas izdevumi 2 168,13 </t>
    </r>
    <r>
      <rPr>
        <i/>
        <sz val="12"/>
        <color theme="1"/>
        <rFont val="Times New Roman"/>
        <family val="1"/>
        <charset val="186"/>
      </rPr>
      <t>euro</t>
    </r>
    <r>
      <rPr>
        <sz val="12"/>
        <color theme="1"/>
        <rFont val="Times New Roman"/>
        <family val="1"/>
        <charset val="186"/>
      </rPr>
      <t xml:space="preserve"> gadā * 0.0155 (iznomātās platības koeficients) = 33,61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</si>
  <si>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1.91 stundas, (11,24 </t>
    </r>
    <r>
      <rPr>
        <i/>
        <sz val="12"/>
        <color theme="1"/>
        <rFont val="Times New Roman"/>
        <family val="1"/>
        <charset val="186"/>
      </rPr>
      <t>euro</t>
    </r>
    <r>
      <rPr>
        <sz val="12"/>
        <color theme="1"/>
        <rFont val="Times New Roman"/>
        <family val="1"/>
        <charset val="186"/>
      </rPr>
      <t xml:space="preserve"> * 1.91 h) = 21,47 </t>
    </r>
    <r>
      <rPr>
        <i/>
        <sz val="12"/>
        <color theme="1"/>
        <rFont val="Times New Roman"/>
        <family val="1"/>
        <charset val="186"/>
      </rPr>
      <t>euro</t>
    </r>
    <r>
      <rPr>
        <sz val="12"/>
        <color theme="1"/>
        <rFont val="Times New Roman"/>
        <family val="1"/>
        <charset val="186"/>
      </rPr>
      <t xml:space="preserve">/mēn. * 12. mēn. = 257,64 </t>
    </r>
    <r>
      <rPr>
        <i/>
        <sz val="12"/>
        <color theme="1"/>
        <rFont val="Times New Roman"/>
        <family val="1"/>
        <charset val="186"/>
      </rPr>
      <t>euro</t>
    </r>
    <r>
      <rPr>
        <sz val="12"/>
        <color theme="1"/>
        <rFont val="Times New Roman"/>
        <family val="1"/>
        <charset val="186"/>
      </rPr>
      <t xml:space="preserve"> * 0.0107 (iznomātās platības koeficients) = 2,76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</si>
  <si>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1.87 stundas,  (7,58 </t>
    </r>
    <r>
      <rPr>
        <i/>
        <sz val="12"/>
        <color theme="1"/>
        <rFont val="Times New Roman"/>
        <family val="1"/>
        <charset val="186"/>
      </rPr>
      <t>euro</t>
    </r>
    <r>
      <rPr>
        <sz val="12"/>
        <color theme="1"/>
        <rFont val="Times New Roman"/>
        <family val="1"/>
        <charset val="186"/>
      </rPr>
      <t xml:space="preserve"> * 1.87 h) = 14,17 </t>
    </r>
    <r>
      <rPr>
        <i/>
        <sz val="12"/>
        <color theme="1"/>
        <rFont val="Times New Roman"/>
        <family val="1"/>
        <charset val="186"/>
      </rPr>
      <t>euro</t>
    </r>
    <r>
      <rPr>
        <sz val="12"/>
        <color theme="1"/>
        <rFont val="Times New Roman"/>
        <family val="1"/>
        <charset val="186"/>
      </rPr>
      <t xml:space="preserve">/mēn. * 12. mēn. = 170,04 </t>
    </r>
    <r>
      <rPr>
        <i/>
        <sz val="12"/>
        <color theme="1"/>
        <rFont val="Times New Roman"/>
        <family val="1"/>
        <charset val="186"/>
      </rPr>
      <t>euro</t>
    </r>
    <r>
      <rPr>
        <sz val="12"/>
        <color theme="1"/>
        <rFont val="Times New Roman"/>
        <family val="1"/>
        <charset val="186"/>
      </rPr>
      <t xml:space="preserve"> * 0.0107 (iznomātās platības koeficients) = 1,82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</si>
  <si>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2.06 stundas, (15,03 </t>
    </r>
    <r>
      <rPr>
        <i/>
        <sz val="12"/>
        <color theme="1"/>
        <rFont val="Times New Roman"/>
        <family val="1"/>
        <charset val="186"/>
      </rPr>
      <t>euro</t>
    </r>
    <r>
      <rPr>
        <sz val="12"/>
        <color theme="1"/>
        <rFont val="Times New Roman"/>
        <family val="1"/>
        <charset val="186"/>
      </rPr>
      <t xml:space="preserve"> * 2.06 h) = 30,96 </t>
    </r>
    <r>
      <rPr>
        <i/>
        <sz val="12"/>
        <color theme="1"/>
        <rFont val="Times New Roman"/>
        <family val="1"/>
        <charset val="186"/>
      </rPr>
      <t>euro</t>
    </r>
    <r>
      <rPr>
        <sz val="12"/>
        <color theme="1"/>
        <rFont val="Times New Roman"/>
        <family val="1"/>
        <charset val="186"/>
      </rPr>
      <t xml:space="preserve">/mēn. * 12. mēn. = 371,52 </t>
    </r>
    <r>
      <rPr>
        <i/>
        <sz val="12"/>
        <color theme="1"/>
        <rFont val="Times New Roman"/>
        <family val="1"/>
        <charset val="186"/>
      </rPr>
      <t>euro</t>
    </r>
    <r>
      <rPr>
        <sz val="12"/>
        <color theme="1"/>
        <rFont val="Times New Roman"/>
        <family val="1"/>
        <charset val="186"/>
      </rPr>
      <t xml:space="preserve"> * 0.0107 (iznomātās platības koeficients) = 3,98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</si>
  <si>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58.67 stundas, (8,22 </t>
    </r>
    <r>
      <rPr>
        <i/>
        <sz val="12"/>
        <color theme="1"/>
        <rFont val="Times New Roman"/>
        <family val="1"/>
        <charset val="186"/>
      </rPr>
      <t>euro</t>
    </r>
    <r>
      <rPr>
        <sz val="12"/>
        <color theme="1"/>
        <rFont val="Times New Roman"/>
        <family val="1"/>
        <charset val="186"/>
      </rPr>
      <t xml:space="preserve"> * 58.67 h) = 482,27 </t>
    </r>
    <r>
      <rPr>
        <i/>
        <sz val="12"/>
        <color theme="1"/>
        <rFont val="Times New Roman"/>
        <family val="1"/>
        <charset val="186"/>
      </rPr>
      <t>euro</t>
    </r>
    <r>
      <rPr>
        <sz val="12"/>
        <color theme="1"/>
        <rFont val="Times New Roman"/>
        <family val="1"/>
        <charset val="186"/>
      </rPr>
      <t xml:space="preserve">/mēn. * 12. mēn. = 5 787,24 </t>
    </r>
    <r>
      <rPr>
        <i/>
        <sz val="12"/>
        <color theme="1"/>
        <rFont val="Times New Roman"/>
        <family val="1"/>
        <charset val="186"/>
      </rPr>
      <t>euro</t>
    </r>
    <r>
      <rPr>
        <sz val="12"/>
        <color theme="1"/>
        <rFont val="Times New Roman"/>
        <family val="1"/>
        <charset val="186"/>
      </rPr>
      <t xml:space="preserve"> * 0.0107 (iznomātās platības koeficients) = 61,92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</si>
  <si>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7.2 stundas, (24,34 </t>
    </r>
    <r>
      <rPr>
        <i/>
        <sz val="12"/>
        <color theme="1"/>
        <rFont val="Times New Roman"/>
        <family val="1"/>
        <charset val="186"/>
      </rPr>
      <t>euro</t>
    </r>
    <r>
      <rPr>
        <sz val="12"/>
        <color theme="1"/>
        <rFont val="Times New Roman"/>
        <family val="1"/>
        <charset val="186"/>
      </rPr>
      <t xml:space="preserve"> * 7.2 h) = 175,25 </t>
    </r>
    <r>
      <rPr>
        <i/>
        <sz val="12"/>
        <color theme="1"/>
        <rFont val="Times New Roman"/>
        <family val="1"/>
        <charset val="186"/>
      </rPr>
      <t>euro</t>
    </r>
    <r>
      <rPr>
        <sz val="12"/>
        <color theme="1"/>
        <rFont val="Times New Roman"/>
        <family val="1"/>
        <charset val="186"/>
      </rPr>
      <t xml:space="preserve">/mēn. * 12. mēn. = 2 103,00 </t>
    </r>
    <r>
      <rPr>
        <i/>
        <sz val="12"/>
        <color theme="1"/>
        <rFont val="Times New Roman"/>
        <family val="1"/>
        <charset val="186"/>
      </rPr>
      <t>euro</t>
    </r>
    <r>
      <rPr>
        <sz val="12"/>
        <color theme="1"/>
        <rFont val="Times New Roman"/>
        <family val="1"/>
        <charset val="186"/>
      </rPr>
      <t xml:space="preserve"> * 0.0107 (iznomātās platības koeficients) = 22,50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</si>
  <si>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1.65 stundas, (26,96 </t>
    </r>
    <r>
      <rPr>
        <i/>
        <sz val="12"/>
        <color theme="1"/>
        <rFont val="Times New Roman"/>
        <family val="1"/>
        <charset val="186"/>
      </rPr>
      <t>euro</t>
    </r>
    <r>
      <rPr>
        <sz val="12"/>
        <color theme="1"/>
        <rFont val="Times New Roman"/>
        <family val="1"/>
        <charset val="186"/>
      </rPr>
      <t xml:space="preserve"> * 1.65 h) = 44,48 </t>
    </r>
    <r>
      <rPr>
        <i/>
        <sz val="12"/>
        <color theme="1"/>
        <rFont val="Times New Roman"/>
        <family val="1"/>
        <charset val="186"/>
      </rPr>
      <t>euro</t>
    </r>
    <r>
      <rPr>
        <sz val="12"/>
        <color theme="1"/>
        <rFont val="Times New Roman"/>
        <family val="1"/>
        <charset val="186"/>
      </rPr>
      <t xml:space="preserve">/mēn. * 12. mēn. = 533,76 </t>
    </r>
    <r>
      <rPr>
        <i/>
        <sz val="12"/>
        <color theme="1"/>
        <rFont val="Times New Roman"/>
        <family val="1"/>
        <charset val="186"/>
      </rPr>
      <t>euro</t>
    </r>
    <r>
      <rPr>
        <sz val="12"/>
        <color theme="1"/>
        <rFont val="Times New Roman"/>
        <family val="1"/>
        <charset val="186"/>
      </rPr>
      <t xml:space="preserve"> * 0.0107 (iznomātās platības koeficients) = 5,71 </t>
    </r>
    <r>
      <rPr>
        <i/>
        <sz val="12"/>
        <color theme="1"/>
        <rFont val="Times New Roman"/>
        <family val="1"/>
        <charset val="186"/>
      </rPr>
      <t>euro.</t>
    </r>
  </si>
  <si>
    <r>
      <t xml:space="preserve">Darba devēja valsts sociālās apdrošināšanas obligātās iemaksas 152,93 </t>
    </r>
    <r>
      <rPr>
        <i/>
        <sz val="12"/>
        <color theme="1"/>
        <rFont val="Times New Roman"/>
        <family val="1"/>
        <charset val="186"/>
      </rPr>
      <t>euro</t>
    </r>
    <r>
      <rPr>
        <sz val="12"/>
        <color theme="1"/>
        <rFont val="Times New Roman"/>
        <family val="1"/>
        <charset val="186"/>
      </rPr>
      <t xml:space="preserve"> * 23,59 % = 36,08 </t>
    </r>
    <r>
      <rPr>
        <i/>
        <sz val="12"/>
        <color theme="1"/>
        <rFont val="Times New Roman"/>
        <family val="1"/>
        <charset val="186"/>
      </rPr>
      <t>euro</t>
    </r>
    <r>
      <rPr>
        <sz val="12"/>
        <color theme="1"/>
        <rFont val="Times New Roman"/>
        <family val="1"/>
        <charset val="186"/>
      </rPr>
      <t>.</t>
    </r>
  </si>
  <si>
    <r>
      <t>Maksas pakalpojuma izcenojums mēnesī par gultasvietu (</t>
    </r>
    <r>
      <rPr>
        <b/>
        <i/>
        <sz val="12"/>
        <color theme="1"/>
        <rFont val="Times New Roman"/>
        <family val="1"/>
        <charset val="186"/>
      </rPr>
      <t>euro</t>
    </r>
    <r>
      <rPr>
        <b/>
        <sz val="12"/>
        <color theme="1"/>
        <rFont val="Times New Roman"/>
        <family val="1"/>
        <charset val="186"/>
      </rPr>
      <t>) (pakalpojuma izmaksas kopā, dalītas ar maksas pakalpojuma vienību skaitu noteiktā laikposmā)</t>
    </r>
  </si>
  <si>
    <r>
      <rPr>
        <b/>
        <i/>
        <sz val="11"/>
        <color theme="1"/>
        <rFont val="Times New Roman"/>
        <family val="1"/>
        <charset val="186"/>
      </rPr>
      <t>euro</t>
    </r>
    <r>
      <rPr>
        <b/>
        <sz val="11"/>
        <color theme="1"/>
        <rFont val="Times New Roman"/>
        <family val="1"/>
        <charset val="186"/>
      </rPr>
      <t>, mēnesī par gultasvietu</t>
    </r>
  </si>
  <si>
    <r>
      <rPr>
        <b/>
        <i/>
        <sz val="11"/>
        <color theme="1"/>
        <rFont val="Times New Roman"/>
        <family val="1"/>
        <charset val="186"/>
      </rPr>
      <t>euro</t>
    </r>
    <r>
      <rPr>
        <b/>
        <sz val="11"/>
        <color theme="1"/>
        <rFont val="Times New Roman"/>
        <family val="1"/>
        <charset val="186"/>
      </rPr>
      <t>, diennaktī par gultasvietu</t>
    </r>
  </si>
  <si>
    <r>
      <t>Maksas pakalpojuma izcenojums diennaktī par gultasvietu (</t>
    </r>
    <r>
      <rPr>
        <b/>
        <i/>
        <sz val="12"/>
        <color rgb="FF000000"/>
        <rFont val="Times New Roman"/>
        <family val="1"/>
        <charset val="186"/>
      </rPr>
      <t>euro</t>
    </r>
    <r>
      <rPr>
        <b/>
        <sz val="12"/>
        <color rgb="FF000000"/>
        <rFont val="Times New Roman"/>
        <family val="1"/>
        <charset val="186"/>
      </rPr>
      <t>) (pakalpojuma izmaksas kopā, dalītas ar maksas pakalpojuma vienību skaitu noteiktā laikposmā)</t>
    </r>
  </si>
  <si>
    <r>
      <rPr>
        <b/>
        <i/>
        <sz val="12"/>
        <color theme="1"/>
        <rFont val="Times New Roman"/>
        <family val="1"/>
        <charset val="186"/>
      </rPr>
      <t>euro</t>
    </r>
    <r>
      <rPr>
        <b/>
        <sz val="12"/>
        <color theme="1"/>
        <rFont val="Times New Roman"/>
        <family val="1"/>
        <charset val="186"/>
      </rPr>
      <t>,  mēnesī par istabu</t>
    </r>
  </si>
  <si>
    <r>
      <rPr>
        <b/>
        <i/>
        <sz val="12"/>
        <color theme="1"/>
        <rFont val="Times New Roman"/>
        <family val="1"/>
        <charset val="186"/>
      </rPr>
      <t>euro</t>
    </r>
    <r>
      <rPr>
        <b/>
        <sz val="12"/>
        <color theme="1"/>
        <rFont val="Times New Roman"/>
        <family val="1"/>
        <charset val="186"/>
      </rPr>
      <t>, mēnesī par gultasvietu</t>
    </r>
  </si>
  <si>
    <r>
      <rPr>
        <b/>
        <i/>
        <sz val="12"/>
        <color theme="1"/>
        <rFont val="Times New Roman"/>
        <family val="1"/>
        <charset val="186"/>
      </rPr>
      <t>euro</t>
    </r>
    <r>
      <rPr>
        <b/>
        <sz val="12"/>
        <color theme="1"/>
        <rFont val="Times New Roman"/>
        <family val="1"/>
        <charset val="186"/>
      </rPr>
      <t>, par gultasvietu diennaktī</t>
    </r>
  </si>
  <si>
    <r>
      <t xml:space="preserve">Pamatlīdzekļu amortizācija 492,88 </t>
    </r>
    <r>
      <rPr>
        <i/>
        <sz val="12"/>
        <color theme="1"/>
        <rFont val="Times New Roman"/>
        <family val="1"/>
        <charset val="186"/>
      </rPr>
      <t>euro</t>
    </r>
    <r>
      <rPr>
        <sz val="12"/>
        <color theme="1"/>
        <rFont val="Times New Roman"/>
        <family val="1"/>
        <charset val="186"/>
      </rPr>
      <t xml:space="preserve"> gadā * 0.4169 (iznomātās platības koeficients) = 205,48 </t>
    </r>
    <r>
      <rPr>
        <i/>
        <sz val="12"/>
        <color theme="1"/>
        <rFont val="Times New Roman"/>
        <family val="1"/>
        <charset val="186"/>
      </rPr>
      <t>euro</t>
    </r>
    <r>
      <rPr>
        <sz val="12"/>
        <color theme="1"/>
        <rFont val="Times New Roman"/>
        <family val="1"/>
        <charset val="186"/>
      </rPr>
      <t>.</t>
    </r>
  </si>
  <si>
    <r>
      <t xml:space="preserve">Ēku amortizācija 6 565,16 </t>
    </r>
    <r>
      <rPr>
        <i/>
        <sz val="12"/>
        <color theme="1"/>
        <rFont val="Times New Roman"/>
        <family val="1"/>
        <charset val="186"/>
      </rPr>
      <t>euro</t>
    </r>
    <r>
      <rPr>
        <sz val="12"/>
        <color theme="1"/>
        <rFont val="Times New Roman"/>
        <family val="1"/>
        <charset val="186"/>
      </rPr>
      <t xml:space="preserve"> gadā * 0.4169 (iznomātās platības koeficients) = 2 737,02 </t>
    </r>
    <r>
      <rPr>
        <i/>
        <sz val="12"/>
        <color theme="1"/>
        <rFont val="Times New Roman"/>
        <family val="1"/>
        <charset val="186"/>
      </rPr>
      <t>euro</t>
    </r>
    <r>
      <rPr>
        <sz val="12"/>
        <color theme="1"/>
        <rFont val="Times New Roman"/>
        <family val="1"/>
        <charset val="186"/>
      </rPr>
      <t>.</t>
    </r>
  </si>
  <si>
    <r>
      <t xml:space="preserve">Pamatlīdzekļu amortizācija 4 439,23 </t>
    </r>
    <r>
      <rPr>
        <i/>
        <sz val="12"/>
        <color theme="1"/>
        <rFont val="Times New Roman"/>
        <family val="1"/>
        <charset val="186"/>
      </rPr>
      <t>euro</t>
    </r>
    <r>
      <rPr>
        <sz val="12"/>
        <color theme="1"/>
        <rFont val="Times New Roman"/>
        <family val="1"/>
        <charset val="186"/>
      </rPr>
      <t xml:space="preserve"> gadā * 0.4169 (iznomātās platības koeficients) = 1 850,71 </t>
    </r>
    <r>
      <rPr>
        <i/>
        <sz val="12"/>
        <color theme="1"/>
        <rFont val="Times New Roman"/>
        <family val="1"/>
        <charset val="186"/>
      </rPr>
      <t>euro</t>
    </r>
    <r>
      <rPr>
        <sz val="12"/>
        <color theme="1"/>
        <rFont val="Times New Roman"/>
        <family val="1"/>
        <charset val="186"/>
      </rPr>
      <t>.</t>
    </r>
  </si>
  <si>
    <r>
      <t xml:space="preserve">Izdevumi par apkuri 48 868,00 </t>
    </r>
    <r>
      <rPr>
        <i/>
        <sz val="12"/>
        <color theme="1"/>
        <rFont val="Times New Roman"/>
        <family val="1"/>
        <charset val="186"/>
      </rPr>
      <t>euro</t>
    </r>
    <r>
      <rPr>
        <sz val="12"/>
        <color theme="1"/>
        <rFont val="Times New Roman"/>
        <family val="1"/>
        <charset val="186"/>
      </rPr>
      <t xml:space="preserve"> gadā * 0.4169 (iznomātās platības koeficients) = 20 373,07 </t>
    </r>
    <r>
      <rPr>
        <i/>
        <sz val="12"/>
        <color theme="1"/>
        <rFont val="Times New Roman"/>
        <family val="1"/>
        <charset val="186"/>
      </rPr>
      <t>euro.</t>
    </r>
  </si>
  <si>
    <r>
      <t xml:space="preserve">Izdevumi par ūdeni un kanalizāciju 52 111,24 </t>
    </r>
    <r>
      <rPr>
        <i/>
        <sz val="12"/>
        <color theme="1"/>
        <rFont val="Times New Roman"/>
        <family val="1"/>
        <charset val="186"/>
      </rPr>
      <t>euro</t>
    </r>
    <r>
      <rPr>
        <sz val="12"/>
        <color theme="1"/>
        <rFont val="Times New Roman"/>
        <family val="1"/>
        <charset val="186"/>
      </rPr>
      <t xml:space="preserve"> gadā * 0.4169 (iznomātās platības koeficients) = 21 725,18 </t>
    </r>
    <r>
      <rPr>
        <i/>
        <sz val="12"/>
        <color theme="1"/>
        <rFont val="Times New Roman"/>
        <family val="1"/>
        <charset val="186"/>
      </rPr>
      <t>euro</t>
    </r>
    <r>
      <rPr>
        <sz val="12"/>
        <color theme="1"/>
        <rFont val="Times New Roman"/>
        <family val="1"/>
        <charset val="186"/>
      </rPr>
      <t>.</t>
    </r>
  </si>
  <si>
    <r>
      <t xml:space="preserve">Izdevumi par energoefektivitātes paaugstināšanas atzinumu  464,98 </t>
    </r>
    <r>
      <rPr>
        <i/>
        <sz val="12"/>
        <color theme="1"/>
        <rFont val="Times New Roman"/>
        <family val="1"/>
        <charset val="186"/>
      </rPr>
      <t>euro</t>
    </r>
    <r>
      <rPr>
        <sz val="12"/>
        <color theme="1"/>
        <rFont val="Times New Roman"/>
        <family val="1"/>
        <charset val="186"/>
      </rPr>
      <t xml:space="preserve"> gadā * 0.4169 (iznomātās platības koeficients) = 193,85 </t>
    </r>
    <r>
      <rPr>
        <i/>
        <sz val="12"/>
        <color theme="1"/>
        <rFont val="Times New Roman"/>
        <family val="1"/>
        <charset val="186"/>
      </rPr>
      <t>euro.</t>
    </r>
  </si>
  <si>
    <r>
      <t xml:space="preserve">Video novērošanas un apsardzes signalizācijas sistēmas tehniskā apkope, Ugunsdzēsības krānu, ūdensvada, sirēnu iekārtu un citu iekārtu apkope un remonts, evakuācijas plānu izstrāde, avāriju bojājumu novēršanas  izdevumi 1 715,08 </t>
    </r>
    <r>
      <rPr>
        <i/>
        <sz val="12"/>
        <color theme="1"/>
        <rFont val="Times New Roman"/>
        <family val="1"/>
        <charset val="186"/>
      </rPr>
      <t>euro</t>
    </r>
    <r>
      <rPr>
        <sz val="12"/>
        <color theme="1"/>
        <rFont val="Times New Roman"/>
        <family val="1"/>
        <charset val="186"/>
      </rPr>
      <t xml:space="preserve"> gadā * 0.4169 (iznomātās platības koeficients) = 715,02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</si>
  <si>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133 418,65 </t>
    </r>
    <r>
      <rPr>
        <i/>
        <sz val="12"/>
        <color theme="1"/>
        <rFont val="Times New Roman"/>
        <family val="1"/>
        <charset val="186"/>
      </rPr>
      <t>euro</t>
    </r>
    <r>
      <rPr>
        <sz val="12"/>
        <color theme="1"/>
        <rFont val="Times New Roman"/>
        <family val="1"/>
        <charset val="186"/>
      </rPr>
      <t xml:space="preserve"> gadā * 0.4169 (iznomātās platības koeficients) = 55 622,24 </t>
    </r>
    <r>
      <rPr>
        <i/>
        <sz val="12"/>
        <color theme="1"/>
        <rFont val="Times New Roman"/>
        <family val="1"/>
        <charset val="186"/>
      </rPr>
      <t>euro</t>
    </r>
    <r>
      <rPr>
        <sz val="12"/>
        <color theme="1"/>
        <rFont val="Times New Roman"/>
        <family val="1"/>
        <charset val="186"/>
      </rPr>
      <t>.</t>
    </r>
  </si>
  <si>
    <r>
      <t xml:space="preserve">Pārējie uzturēšanas izdevumi 1 602,25 </t>
    </r>
    <r>
      <rPr>
        <i/>
        <sz val="12"/>
        <color theme="1"/>
        <rFont val="Times New Roman"/>
        <family val="1"/>
        <charset val="186"/>
      </rPr>
      <t>euro</t>
    </r>
    <r>
      <rPr>
        <sz val="12"/>
        <color theme="1"/>
        <rFont val="Times New Roman"/>
        <family val="1"/>
        <charset val="186"/>
      </rPr>
      <t xml:space="preserve"> gadā * 0.4169 (iznomātās platības koeficients) = 667,98 </t>
    </r>
    <r>
      <rPr>
        <i/>
        <sz val="12"/>
        <color theme="1"/>
        <rFont val="Times New Roman"/>
        <family val="1"/>
        <charset val="186"/>
      </rPr>
      <t>euro</t>
    </r>
    <r>
      <rPr>
        <sz val="12"/>
        <color theme="1"/>
        <rFont val="Times New Roman"/>
        <family val="1"/>
        <charset val="186"/>
      </rPr>
      <t>.</t>
    </r>
  </si>
  <si>
    <r>
      <t xml:space="preserve">Biotualetes noma gadā 121,00 </t>
    </r>
    <r>
      <rPr>
        <i/>
        <sz val="12"/>
        <color theme="1"/>
        <rFont val="Times New Roman"/>
        <family val="1"/>
        <charset val="186"/>
      </rPr>
      <t>euro</t>
    </r>
    <r>
      <rPr>
        <sz val="12"/>
        <color theme="1"/>
        <rFont val="Times New Roman"/>
        <family val="1"/>
        <charset val="186"/>
      </rPr>
      <t xml:space="preserve"> * 0.4169 (iznomātās platības koeficients) = 50,44 </t>
    </r>
    <r>
      <rPr>
        <i/>
        <sz val="12"/>
        <color theme="1"/>
        <rFont val="Times New Roman"/>
        <family val="1"/>
        <charset val="186"/>
      </rPr>
      <t>euro</t>
    </r>
    <r>
      <rPr>
        <sz val="12"/>
        <color theme="1"/>
        <rFont val="Times New Roman"/>
        <family val="1"/>
        <charset val="186"/>
      </rPr>
      <t>.</t>
    </r>
  </si>
  <si>
    <r>
      <t xml:space="preserve">Inventāra iegādes izdevumi 607,49 </t>
    </r>
    <r>
      <rPr>
        <i/>
        <sz val="12"/>
        <color theme="1"/>
        <rFont val="Times New Roman"/>
        <family val="1"/>
        <charset val="186"/>
      </rPr>
      <t>euro</t>
    </r>
    <r>
      <rPr>
        <sz val="12"/>
        <color theme="1"/>
        <rFont val="Times New Roman"/>
        <family val="1"/>
        <charset val="186"/>
      </rPr>
      <t xml:space="preserve"> gadā * 0.4169 (iznomātās platības koeficients) = 253,26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</si>
  <si>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aizkari, podu vāki, u.c. higiēnas, saimniecības preces) iegādes izdevumi 905,02 </t>
    </r>
    <r>
      <rPr>
        <i/>
        <sz val="12"/>
        <color theme="1"/>
        <rFont val="Times New Roman"/>
        <family val="1"/>
        <charset val="186"/>
      </rPr>
      <t>euro</t>
    </r>
    <r>
      <rPr>
        <sz val="12"/>
        <color theme="1"/>
        <rFont val="Times New Roman"/>
        <family val="1"/>
        <charset val="186"/>
      </rPr>
      <t xml:space="preserve"> gadā * 0.4169 (iznomātās platības koeficients) = 377,30 </t>
    </r>
    <r>
      <rPr>
        <i/>
        <sz val="12"/>
        <color theme="1"/>
        <rFont val="Times New Roman"/>
        <family val="1"/>
        <charset val="186"/>
      </rPr>
      <t>euro</t>
    </r>
    <r>
      <rPr>
        <sz val="12"/>
        <color theme="1"/>
        <rFont val="Times New Roman"/>
        <family val="1"/>
        <charset val="186"/>
      </rPr>
      <t>.</t>
    </r>
  </si>
  <si>
    <r>
      <t xml:space="preserve">Pārējie uzturēšanas izdevumi 2 168,13 </t>
    </r>
    <r>
      <rPr>
        <i/>
        <sz val="12"/>
        <color theme="1"/>
        <rFont val="Times New Roman"/>
        <family val="1"/>
        <charset val="186"/>
      </rPr>
      <t>euro</t>
    </r>
    <r>
      <rPr>
        <sz val="12"/>
        <color theme="1"/>
        <rFont val="Times New Roman"/>
        <family val="1"/>
        <charset val="186"/>
      </rPr>
      <t xml:space="preserve"> gadā * 0.4169 (Iznomātās platības koeficients) = 903,89 </t>
    </r>
    <r>
      <rPr>
        <i/>
        <sz val="12"/>
        <color theme="1"/>
        <rFont val="Times New Roman"/>
        <family val="1"/>
        <charset val="186"/>
      </rPr>
      <t>euro</t>
    </r>
    <r>
      <rPr>
        <sz val="12"/>
        <color theme="1"/>
        <rFont val="Times New Roman"/>
        <family val="1"/>
        <charset val="186"/>
      </rPr>
      <t>.</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</si>
  <si>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142.54 stundas, (8,14 </t>
    </r>
    <r>
      <rPr>
        <i/>
        <sz val="12"/>
        <color theme="1"/>
        <rFont val="Times New Roman"/>
        <family val="1"/>
        <charset val="186"/>
      </rPr>
      <t>euro</t>
    </r>
    <r>
      <rPr>
        <sz val="12"/>
        <color theme="1"/>
        <rFont val="Times New Roman"/>
        <family val="1"/>
        <charset val="186"/>
      </rPr>
      <t xml:space="preserve"> * 142.54 h) = 1 160,28 </t>
    </r>
    <r>
      <rPr>
        <i/>
        <sz val="12"/>
        <color theme="1"/>
        <rFont val="Times New Roman"/>
        <family val="1"/>
        <charset val="186"/>
      </rPr>
      <t>euro</t>
    </r>
    <r>
      <rPr>
        <sz val="12"/>
        <color theme="1"/>
        <rFont val="Times New Roman"/>
        <family val="1"/>
        <charset val="186"/>
      </rPr>
      <t xml:space="preserve">/mēn.  * 12 mēn. = 13 923,36 </t>
    </r>
    <r>
      <rPr>
        <i/>
        <sz val="12"/>
        <color theme="1"/>
        <rFont val="Times New Roman"/>
        <family val="1"/>
        <charset val="186"/>
      </rPr>
      <t>euro</t>
    </r>
    <r>
      <rPr>
        <sz val="12"/>
        <color theme="1"/>
        <rFont val="Times New Roman"/>
        <family val="1"/>
        <charset val="186"/>
      </rPr>
      <t xml:space="preserve"> * 0.4169  (iznomātās platības koeficients) = 5 804,65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</si>
  <si>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10.44 stundas, (5,37 </t>
    </r>
    <r>
      <rPr>
        <i/>
        <sz val="12"/>
        <color theme="1"/>
        <rFont val="Times New Roman"/>
        <family val="1"/>
        <charset val="186"/>
      </rPr>
      <t>euro</t>
    </r>
    <r>
      <rPr>
        <sz val="12"/>
        <color theme="1"/>
        <rFont val="Times New Roman"/>
        <family val="1"/>
        <charset val="186"/>
      </rPr>
      <t xml:space="preserve"> * 10.44 h) = 56,06  </t>
    </r>
    <r>
      <rPr>
        <i/>
        <sz val="12"/>
        <color theme="1"/>
        <rFont val="Times New Roman"/>
        <family val="1"/>
        <charset val="186"/>
      </rPr>
      <t>euro</t>
    </r>
    <r>
      <rPr>
        <sz val="12"/>
        <color theme="1"/>
        <rFont val="Times New Roman"/>
        <family val="1"/>
        <charset val="186"/>
      </rPr>
      <t xml:space="preserve">/mēn.  * 12 mēn. = 672,72 </t>
    </r>
    <r>
      <rPr>
        <i/>
        <sz val="12"/>
        <color theme="1"/>
        <rFont val="Times New Roman"/>
        <family val="1"/>
        <charset val="186"/>
      </rPr>
      <t>euro</t>
    </r>
    <r>
      <rPr>
        <sz val="12"/>
        <color theme="1"/>
        <rFont val="Times New Roman"/>
        <family val="1"/>
        <charset val="186"/>
      </rPr>
      <t xml:space="preserve"> * 0.4169 (iznomātās platības koeficients) = 280,46 </t>
    </r>
    <r>
      <rPr>
        <i/>
        <sz val="12"/>
        <color theme="1"/>
        <rFont val="Times New Roman"/>
        <family val="1"/>
        <charset val="186"/>
      </rPr>
      <t>euro</t>
    </r>
    <r>
      <rPr>
        <sz val="12"/>
        <color theme="1"/>
        <rFont val="Times New Roman"/>
        <family val="1"/>
        <charset val="186"/>
      </rPr>
      <t xml:space="preserve">. </t>
    </r>
  </si>
  <si>
    <r>
      <t xml:space="preserve">Galv. nekust. īpaš. pārvaldnieks (254,94 </t>
    </r>
    <r>
      <rPr>
        <i/>
        <sz val="12"/>
        <color theme="1"/>
        <rFont val="Times New Roman"/>
        <family val="1"/>
        <charset val="186"/>
      </rPr>
      <t>euro</t>
    </r>
    <r>
      <rPr>
        <sz val="12"/>
        <color theme="1"/>
        <rFont val="Times New Roman"/>
        <family val="1"/>
        <charset val="186"/>
      </rPr>
      <t xml:space="preserve"> * 10%) = 25,49 </t>
    </r>
    <r>
      <rPr>
        <i/>
        <sz val="12"/>
        <color theme="1"/>
        <rFont val="Times New Roman"/>
        <family val="1"/>
        <charset val="186"/>
      </rPr>
      <t>euro</t>
    </r>
    <r>
      <rPr>
        <sz val="12"/>
        <color theme="1"/>
        <rFont val="Times New Roman"/>
        <family val="1"/>
        <charset val="186"/>
      </rPr>
      <t xml:space="preserve">, Dienesta viesnīcas vadīotājs (5 804,65 </t>
    </r>
    <r>
      <rPr>
        <i/>
        <sz val="12"/>
        <color theme="1"/>
        <rFont val="Times New Roman"/>
        <family val="1"/>
        <charset val="186"/>
      </rPr>
      <t>euro</t>
    </r>
    <r>
      <rPr>
        <sz val="12"/>
        <color theme="1"/>
        <rFont val="Times New Roman"/>
        <family val="1"/>
        <charset val="186"/>
      </rPr>
      <t xml:space="preserve"> * 10%) = 580,47 </t>
    </r>
    <r>
      <rPr>
        <i/>
        <sz val="12"/>
        <color theme="1"/>
        <rFont val="Times New Roman"/>
        <family val="1"/>
        <charset val="186"/>
      </rPr>
      <t>euro</t>
    </r>
    <r>
      <rPr>
        <sz val="12"/>
        <color theme="1"/>
        <rFont val="Times New Roman"/>
        <family val="1"/>
        <charset val="186"/>
      </rPr>
      <t xml:space="preserve">.  Saimniecības pārzinis (280,46 </t>
    </r>
    <r>
      <rPr>
        <i/>
        <sz val="12"/>
        <color theme="1"/>
        <rFont val="Times New Roman"/>
        <family val="1"/>
        <charset val="186"/>
      </rPr>
      <t>euro</t>
    </r>
    <r>
      <rPr>
        <sz val="12"/>
        <color theme="1"/>
        <rFont val="Times New Roman"/>
        <family val="1"/>
        <charset val="186"/>
      </rPr>
      <t xml:space="preserve"> * 10%) = 28,05 </t>
    </r>
    <r>
      <rPr>
        <i/>
        <sz val="12"/>
        <color theme="1"/>
        <rFont val="Times New Roman"/>
        <family val="1"/>
        <charset val="186"/>
      </rPr>
      <t>euro.</t>
    </r>
    <r>
      <rPr>
        <sz val="12"/>
        <color theme="1"/>
        <rFont val="Times New Roman"/>
        <family val="1"/>
        <charset val="186"/>
      </rPr>
      <t xml:space="preserve"> Kopā (25,49 </t>
    </r>
    <r>
      <rPr>
        <i/>
        <sz val="12"/>
        <color theme="1"/>
        <rFont val="Times New Roman"/>
        <family val="1"/>
        <charset val="186"/>
      </rPr>
      <t>euro</t>
    </r>
    <r>
      <rPr>
        <sz val="12"/>
        <color theme="1"/>
        <rFont val="Times New Roman"/>
        <family val="1"/>
        <charset val="186"/>
      </rPr>
      <t xml:space="preserve"> + 580,47 </t>
    </r>
    <r>
      <rPr>
        <i/>
        <sz val="12"/>
        <color theme="1"/>
        <rFont val="Times New Roman"/>
        <family val="1"/>
        <charset val="186"/>
      </rPr>
      <t>euro</t>
    </r>
    <r>
      <rPr>
        <sz val="12"/>
        <color theme="1"/>
        <rFont val="Times New Roman"/>
        <family val="1"/>
        <charset val="186"/>
      </rPr>
      <t xml:space="preserve"> +28,05 </t>
    </r>
    <r>
      <rPr>
        <i/>
        <sz val="12"/>
        <color theme="1"/>
        <rFont val="Times New Roman"/>
        <family val="1"/>
        <charset val="186"/>
      </rPr>
      <t>euro</t>
    </r>
    <r>
      <rPr>
        <sz val="12"/>
        <color theme="1"/>
        <rFont val="Times New Roman"/>
        <family val="1"/>
        <charset val="186"/>
      </rPr>
      <t xml:space="preserve">) = 634,01 </t>
    </r>
    <r>
      <rPr>
        <i/>
        <sz val="12"/>
        <color theme="1"/>
        <rFont val="Times New Roman"/>
        <family val="1"/>
        <charset val="186"/>
      </rPr>
      <t>euro</t>
    </r>
    <r>
      <rPr>
        <sz val="12"/>
        <color theme="1"/>
        <rFont val="Times New Roman"/>
        <family val="1"/>
        <charset val="186"/>
      </rPr>
      <t>.</t>
    </r>
  </si>
  <si>
    <r>
      <t xml:space="preserve">Galv. nekust. īpaš. pārvaldnieks (254,94 </t>
    </r>
    <r>
      <rPr>
        <i/>
        <sz val="12"/>
        <color theme="1"/>
        <rFont val="Times New Roman"/>
        <family val="1"/>
        <charset val="186"/>
      </rPr>
      <t>euro</t>
    </r>
    <r>
      <rPr>
        <sz val="12"/>
        <color theme="1"/>
        <rFont val="Times New Roman"/>
        <family val="1"/>
        <charset val="186"/>
      </rPr>
      <t xml:space="preserve"> * 5%) = 12,75 </t>
    </r>
    <r>
      <rPr>
        <i/>
        <sz val="12"/>
        <color theme="1"/>
        <rFont val="Times New Roman"/>
        <family val="1"/>
        <charset val="186"/>
      </rPr>
      <t>euro</t>
    </r>
    <r>
      <rPr>
        <sz val="12"/>
        <color theme="1"/>
        <rFont val="Times New Roman"/>
        <family val="1"/>
        <charset val="186"/>
      </rPr>
      <t xml:space="preserve">, Dienesta viesnīcas vadīotājs (5 804,65 </t>
    </r>
    <r>
      <rPr>
        <i/>
        <sz val="12"/>
        <color theme="1"/>
        <rFont val="Times New Roman"/>
        <family val="1"/>
        <charset val="186"/>
      </rPr>
      <t>euro</t>
    </r>
    <r>
      <rPr>
        <sz val="12"/>
        <color theme="1"/>
        <rFont val="Times New Roman"/>
        <family val="1"/>
        <charset val="186"/>
      </rPr>
      <t xml:space="preserve"> * 5%) = 290,23 </t>
    </r>
    <r>
      <rPr>
        <i/>
        <sz val="12"/>
        <color theme="1"/>
        <rFont val="Times New Roman"/>
        <family val="1"/>
        <charset val="186"/>
      </rPr>
      <t>euro</t>
    </r>
    <r>
      <rPr>
        <sz val="12"/>
        <color theme="1"/>
        <rFont val="Times New Roman"/>
        <family val="1"/>
        <charset val="186"/>
      </rPr>
      <t xml:space="preserve">.  Saimniecības pārzinis (280,46 </t>
    </r>
    <r>
      <rPr>
        <i/>
        <sz val="12"/>
        <color theme="1"/>
        <rFont val="Times New Roman"/>
        <family val="1"/>
        <charset val="186"/>
      </rPr>
      <t>euro</t>
    </r>
    <r>
      <rPr>
        <sz val="12"/>
        <color theme="1"/>
        <rFont val="Times New Roman"/>
        <family val="1"/>
        <charset val="186"/>
      </rPr>
      <t xml:space="preserve"> * 5%) = 14,02 </t>
    </r>
    <r>
      <rPr>
        <i/>
        <sz val="12"/>
        <color theme="1"/>
        <rFont val="Times New Roman"/>
        <family val="1"/>
        <charset val="186"/>
      </rPr>
      <t>euro.</t>
    </r>
    <r>
      <rPr>
        <sz val="12"/>
        <color theme="1"/>
        <rFont val="Times New Roman"/>
        <family val="1"/>
        <charset val="186"/>
      </rPr>
      <t xml:space="preserve"> Kopā 12,75 </t>
    </r>
    <r>
      <rPr>
        <i/>
        <sz val="12"/>
        <color theme="1"/>
        <rFont val="Times New Roman"/>
        <family val="1"/>
        <charset val="186"/>
      </rPr>
      <t>euro</t>
    </r>
    <r>
      <rPr>
        <sz val="12"/>
        <color theme="1"/>
        <rFont val="Times New Roman"/>
        <family val="1"/>
        <charset val="186"/>
      </rPr>
      <t xml:space="preserve"> + 290,23  </t>
    </r>
    <r>
      <rPr>
        <i/>
        <sz val="12"/>
        <color theme="1"/>
        <rFont val="Times New Roman"/>
        <family val="1"/>
        <charset val="186"/>
      </rPr>
      <t>euro</t>
    </r>
    <r>
      <rPr>
        <sz val="12"/>
        <color theme="1"/>
        <rFont val="Times New Roman"/>
        <family val="1"/>
        <charset val="186"/>
      </rPr>
      <t xml:space="preserve"> +14,02  </t>
    </r>
    <r>
      <rPr>
        <i/>
        <sz val="12"/>
        <color theme="1"/>
        <rFont val="Times New Roman"/>
        <family val="1"/>
        <charset val="186"/>
      </rPr>
      <t>euro</t>
    </r>
    <r>
      <rPr>
        <sz val="12"/>
        <color theme="1"/>
        <rFont val="Times New Roman"/>
        <family val="1"/>
        <charset val="186"/>
      </rPr>
      <t xml:space="preserve">) = 317,00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</si>
  <si>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6 974,06 </t>
    </r>
    <r>
      <rPr>
        <i/>
        <sz val="12"/>
        <color theme="1"/>
        <rFont val="Times New Roman"/>
        <family val="1"/>
        <charset val="186"/>
      </rPr>
      <t>euro</t>
    </r>
    <r>
      <rPr>
        <sz val="12"/>
        <color theme="1"/>
        <rFont val="Times New Roman"/>
        <family val="1"/>
        <charset val="186"/>
      </rPr>
      <t xml:space="preserve"> * 23,59 % = 1 645,18 </t>
    </r>
    <r>
      <rPr>
        <i/>
        <sz val="12"/>
        <color theme="1"/>
        <rFont val="Times New Roman"/>
        <family val="1"/>
        <charset val="186"/>
      </rPr>
      <t xml:space="preserve">euro. </t>
    </r>
  </si>
  <si>
    <r>
      <t xml:space="preserve">Galv. nekust. īpaš. pārvaldnieks (6,54 </t>
    </r>
    <r>
      <rPr>
        <i/>
        <sz val="12"/>
        <color theme="1"/>
        <rFont val="Times New Roman"/>
        <family val="1"/>
        <charset val="186"/>
      </rPr>
      <t>euro</t>
    </r>
    <r>
      <rPr>
        <sz val="12"/>
        <color theme="1"/>
        <rFont val="Times New Roman"/>
        <family val="1"/>
        <charset val="186"/>
      </rPr>
      <t xml:space="preserve"> * 10%) = 0,65 </t>
    </r>
    <r>
      <rPr>
        <i/>
        <sz val="12"/>
        <color theme="1"/>
        <rFont val="Times New Roman"/>
        <family val="1"/>
        <charset val="186"/>
      </rPr>
      <t>euro</t>
    </r>
    <r>
      <rPr>
        <sz val="12"/>
        <color theme="1"/>
        <rFont val="Times New Roman"/>
        <family val="1"/>
        <charset val="186"/>
      </rPr>
      <t xml:space="preserve">, Dienesta viesnīcas vadīotājs (148,98 </t>
    </r>
    <r>
      <rPr>
        <i/>
        <sz val="12"/>
        <color theme="1"/>
        <rFont val="Times New Roman"/>
        <family val="1"/>
        <charset val="186"/>
      </rPr>
      <t>euro</t>
    </r>
    <r>
      <rPr>
        <sz val="12"/>
        <color theme="1"/>
        <rFont val="Times New Roman"/>
        <family val="1"/>
        <charset val="186"/>
      </rPr>
      <t xml:space="preserve"> * 10%) = 14,90 </t>
    </r>
    <r>
      <rPr>
        <i/>
        <sz val="12"/>
        <color theme="1"/>
        <rFont val="Times New Roman"/>
        <family val="1"/>
        <charset val="186"/>
      </rPr>
      <t>euro</t>
    </r>
    <r>
      <rPr>
        <sz val="12"/>
        <color theme="1"/>
        <rFont val="Times New Roman"/>
        <family val="1"/>
        <charset val="186"/>
      </rPr>
      <t xml:space="preserve">.  Saimniecības pārzinis (7,20 </t>
    </r>
    <r>
      <rPr>
        <i/>
        <sz val="12"/>
        <color theme="1"/>
        <rFont val="Times New Roman"/>
        <family val="1"/>
        <charset val="186"/>
      </rPr>
      <t>euro</t>
    </r>
    <r>
      <rPr>
        <sz val="12"/>
        <color theme="1"/>
        <rFont val="Times New Roman"/>
        <family val="1"/>
        <charset val="186"/>
      </rPr>
      <t xml:space="preserve"> * 10%) = 0,72 </t>
    </r>
    <r>
      <rPr>
        <i/>
        <sz val="12"/>
        <color theme="1"/>
        <rFont val="Times New Roman"/>
        <family val="1"/>
        <charset val="186"/>
      </rPr>
      <t>euro.</t>
    </r>
    <r>
      <rPr>
        <sz val="12"/>
        <color theme="1"/>
        <rFont val="Times New Roman"/>
        <family val="1"/>
        <charset val="186"/>
      </rPr>
      <t xml:space="preserve"> Kopā (0,95 </t>
    </r>
    <r>
      <rPr>
        <i/>
        <sz val="12"/>
        <color theme="1"/>
        <rFont val="Times New Roman"/>
        <family val="1"/>
        <charset val="186"/>
      </rPr>
      <t>euro</t>
    </r>
    <r>
      <rPr>
        <sz val="12"/>
        <color theme="1"/>
        <rFont val="Times New Roman"/>
        <family val="1"/>
        <charset val="186"/>
      </rPr>
      <t xml:space="preserve"> + 14,90 </t>
    </r>
    <r>
      <rPr>
        <i/>
        <sz val="12"/>
        <color theme="1"/>
        <rFont val="Times New Roman"/>
        <family val="1"/>
        <charset val="186"/>
      </rPr>
      <t>euro</t>
    </r>
    <r>
      <rPr>
        <sz val="12"/>
        <color theme="1"/>
        <rFont val="Times New Roman"/>
        <family val="1"/>
        <charset val="186"/>
      </rPr>
      <t xml:space="preserve"> + 0,72 </t>
    </r>
    <r>
      <rPr>
        <i/>
        <sz val="12"/>
        <color theme="1"/>
        <rFont val="Times New Roman"/>
        <family val="1"/>
        <charset val="186"/>
      </rPr>
      <t>euro</t>
    </r>
    <r>
      <rPr>
        <sz val="12"/>
        <color theme="1"/>
        <rFont val="Times New Roman"/>
        <family val="1"/>
        <charset val="186"/>
      </rPr>
      <t xml:space="preserve">) = 16,27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</si>
  <si>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1.91 stundas, (11,24 </t>
    </r>
    <r>
      <rPr>
        <i/>
        <sz val="12"/>
        <color theme="1"/>
        <rFont val="Times New Roman"/>
        <family val="1"/>
        <charset val="186"/>
      </rPr>
      <t>euro</t>
    </r>
    <r>
      <rPr>
        <sz val="12"/>
        <color theme="1"/>
        <rFont val="Times New Roman"/>
        <family val="1"/>
        <charset val="186"/>
      </rPr>
      <t xml:space="preserve"> * 1.91 h) = 21,47 </t>
    </r>
    <r>
      <rPr>
        <i/>
        <sz val="12"/>
        <color theme="1"/>
        <rFont val="Times New Roman"/>
        <family val="1"/>
        <charset val="186"/>
      </rPr>
      <t>euro</t>
    </r>
    <r>
      <rPr>
        <sz val="12"/>
        <color theme="1"/>
        <rFont val="Times New Roman"/>
        <family val="1"/>
        <charset val="186"/>
      </rPr>
      <t xml:space="preserve">/mēn. * 12. mēn. = 257,64 </t>
    </r>
    <r>
      <rPr>
        <i/>
        <sz val="12"/>
        <color theme="1"/>
        <rFont val="Times New Roman"/>
        <family val="1"/>
        <charset val="186"/>
      </rPr>
      <t>euro</t>
    </r>
    <r>
      <rPr>
        <sz val="12"/>
        <color theme="1"/>
        <rFont val="Times New Roman"/>
        <family val="1"/>
        <charset val="186"/>
      </rPr>
      <t xml:space="preserve"> * 0.4169 (iznomātās platības koeficients) = 107,41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</si>
  <si>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1.87 stundas,  (7,58 </t>
    </r>
    <r>
      <rPr>
        <i/>
        <sz val="12"/>
        <color theme="1"/>
        <rFont val="Times New Roman"/>
        <family val="1"/>
        <charset val="186"/>
      </rPr>
      <t>euro</t>
    </r>
    <r>
      <rPr>
        <sz val="12"/>
        <color theme="1"/>
        <rFont val="Times New Roman"/>
        <family val="1"/>
        <charset val="186"/>
      </rPr>
      <t xml:space="preserve"> * 1.87 h) = 14,17 </t>
    </r>
    <r>
      <rPr>
        <i/>
        <sz val="12"/>
        <color theme="1"/>
        <rFont val="Times New Roman"/>
        <family val="1"/>
        <charset val="186"/>
      </rPr>
      <t>euro</t>
    </r>
    <r>
      <rPr>
        <sz val="12"/>
        <color theme="1"/>
        <rFont val="Times New Roman"/>
        <family val="1"/>
        <charset val="186"/>
      </rPr>
      <t xml:space="preserve">/mēn. * 12. mēn. = 170,04 </t>
    </r>
    <r>
      <rPr>
        <i/>
        <sz val="12"/>
        <color theme="1"/>
        <rFont val="Times New Roman"/>
        <family val="1"/>
        <charset val="186"/>
      </rPr>
      <t>euro</t>
    </r>
    <r>
      <rPr>
        <sz val="12"/>
        <color theme="1"/>
        <rFont val="Times New Roman"/>
        <family val="1"/>
        <charset val="186"/>
      </rPr>
      <t xml:space="preserve"> * 0.4169 (iznomātās platības koeficients) = 70,89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</si>
  <si>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1.83 stundas, (11,22 </t>
    </r>
    <r>
      <rPr>
        <i/>
        <sz val="12"/>
        <color theme="1"/>
        <rFont val="Times New Roman"/>
        <family val="1"/>
        <charset val="186"/>
      </rPr>
      <t>euro</t>
    </r>
    <r>
      <rPr>
        <sz val="12"/>
        <color theme="1"/>
        <rFont val="Times New Roman"/>
        <family val="1"/>
        <charset val="186"/>
      </rPr>
      <t xml:space="preserve"> * 1.83 h) = 20,53 </t>
    </r>
    <r>
      <rPr>
        <i/>
        <sz val="12"/>
        <color theme="1"/>
        <rFont val="Times New Roman"/>
        <family val="1"/>
        <charset val="186"/>
      </rPr>
      <t>euro</t>
    </r>
    <r>
      <rPr>
        <sz val="12"/>
        <color theme="1"/>
        <rFont val="Times New Roman"/>
        <family val="1"/>
        <charset val="186"/>
      </rPr>
      <t xml:space="preserve">/mēn. * 12. mēn. = 246,36 </t>
    </r>
    <r>
      <rPr>
        <i/>
        <sz val="12"/>
        <color theme="1"/>
        <rFont val="Times New Roman"/>
        <family val="1"/>
        <charset val="186"/>
      </rPr>
      <t>euro</t>
    </r>
    <r>
      <rPr>
        <sz val="12"/>
        <color theme="1"/>
        <rFont val="Times New Roman"/>
        <family val="1"/>
        <charset val="186"/>
      </rPr>
      <t xml:space="preserve"> * 0.4169 (iznomātās platības koeficients) = 102,71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</si>
  <si>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2.06 stundas, (15,03 </t>
    </r>
    <r>
      <rPr>
        <i/>
        <sz val="12"/>
        <color theme="1"/>
        <rFont val="Times New Roman"/>
        <family val="1"/>
        <charset val="186"/>
      </rPr>
      <t>euro</t>
    </r>
    <r>
      <rPr>
        <sz val="12"/>
        <color theme="1"/>
        <rFont val="Times New Roman"/>
        <family val="1"/>
        <charset val="186"/>
      </rPr>
      <t xml:space="preserve"> * 2.06 h) = 30,96 </t>
    </r>
    <r>
      <rPr>
        <i/>
        <sz val="12"/>
        <color theme="1"/>
        <rFont val="Times New Roman"/>
        <family val="1"/>
        <charset val="186"/>
      </rPr>
      <t>euro</t>
    </r>
    <r>
      <rPr>
        <sz val="12"/>
        <color theme="1"/>
        <rFont val="Times New Roman"/>
        <family val="1"/>
        <charset val="186"/>
      </rPr>
      <t xml:space="preserve">/mēn. * 12. mēn. = 371,52 </t>
    </r>
    <r>
      <rPr>
        <i/>
        <sz val="12"/>
        <color theme="1"/>
        <rFont val="Times New Roman"/>
        <family val="1"/>
        <charset val="186"/>
      </rPr>
      <t>euro</t>
    </r>
    <r>
      <rPr>
        <sz val="12"/>
        <color theme="1"/>
        <rFont val="Times New Roman"/>
        <family val="1"/>
        <charset val="186"/>
      </rPr>
      <t xml:space="preserve"> * 0.4169 (iznomātās platības koeficients) = 154,89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</si>
  <si>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1.66 stundas, (12,07 </t>
    </r>
    <r>
      <rPr>
        <i/>
        <sz val="12"/>
        <color theme="1"/>
        <rFont val="Times New Roman"/>
        <family val="1"/>
        <charset val="186"/>
      </rPr>
      <t>euro</t>
    </r>
    <r>
      <rPr>
        <sz val="12"/>
        <color theme="1"/>
        <rFont val="Times New Roman"/>
        <family val="1"/>
        <charset val="186"/>
      </rPr>
      <t xml:space="preserve"> * 1.66 h) = 20,04 </t>
    </r>
    <r>
      <rPr>
        <i/>
        <sz val="12"/>
        <color theme="1"/>
        <rFont val="Times New Roman"/>
        <family val="1"/>
        <charset val="186"/>
      </rPr>
      <t>euro</t>
    </r>
    <r>
      <rPr>
        <sz val="12"/>
        <color theme="1"/>
        <rFont val="Times New Roman"/>
        <family val="1"/>
        <charset val="186"/>
      </rPr>
      <t xml:space="preserve">/mēn. * 12. mēn. = 240,48 </t>
    </r>
    <r>
      <rPr>
        <i/>
        <sz val="12"/>
        <color theme="1"/>
        <rFont val="Times New Roman"/>
        <family val="1"/>
        <charset val="186"/>
      </rPr>
      <t>euro</t>
    </r>
    <r>
      <rPr>
        <sz val="12"/>
        <color theme="1"/>
        <rFont val="Times New Roman"/>
        <family val="1"/>
        <charset val="186"/>
      </rPr>
      <t xml:space="preserve"> * 0.4169 (iznomātās platības koeficients) = 100,26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</si>
  <si>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/166.92 (vid. d. stundu sk. mēnesī). Vid. mēn. noslogojums 9.23 stunda, (8,22 </t>
    </r>
    <r>
      <rPr>
        <i/>
        <sz val="12"/>
        <color theme="1"/>
        <rFont val="Times New Roman"/>
        <family val="1"/>
        <charset val="186"/>
      </rPr>
      <t>euro</t>
    </r>
    <r>
      <rPr>
        <sz val="12"/>
        <color theme="1"/>
        <rFont val="Times New Roman"/>
        <family val="1"/>
        <charset val="186"/>
      </rPr>
      <t xml:space="preserve"> * 9.23 h) = 75,87 </t>
    </r>
    <r>
      <rPr>
        <i/>
        <sz val="12"/>
        <color theme="1"/>
        <rFont val="Times New Roman"/>
        <family val="1"/>
        <charset val="186"/>
      </rPr>
      <t>euro</t>
    </r>
    <r>
      <rPr>
        <sz val="12"/>
        <color theme="1"/>
        <rFont val="Times New Roman"/>
        <family val="1"/>
        <charset val="186"/>
      </rPr>
      <t xml:space="preserve">/mēn. * 12. mēn. = 910,44 </t>
    </r>
    <r>
      <rPr>
        <i/>
        <sz val="12"/>
        <color theme="1"/>
        <rFont val="Times New Roman"/>
        <family val="1"/>
        <charset val="186"/>
      </rPr>
      <t>euro</t>
    </r>
    <r>
      <rPr>
        <sz val="12"/>
        <color theme="1"/>
        <rFont val="Times New Roman"/>
        <family val="1"/>
        <charset val="186"/>
      </rPr>
      <t xml:space="preserve"> * 0.4169 (iznomātās platības koeficients) = 379,56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</si>
  <si>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 xml:space="preserve">euro </t>
    </r>
    <r>
      <rPr>
        <sz val="12"/>
        <color theme="1"/>
        <rFont val="Times New Roman"/>
        <family val="1"/>
        <charset val="186"/>
      </rPr>
      <t xml:space="preserve">/ 166.92 (vid. d. stundu sk. mēnesī). Vid. mēn. noslogojums 33.59 stundas, (9,11 </t>
    </r>
    <r>
      <rPr>
        <i/>
        <sz val="12"/>
        <color theme="1"/>
        <rFont val="Times New Roman"/>
        <family val="1"/>
        <charset val="186"/>
      </rPr>
      <t>euro</t>
    </r>
    <r>
      <rPr>
        <sz val="12"/>
        <color theme="1"/>
        <rFont val="Times New Roman"/>
        <family val="1"/>
        <charset val="186"/>
      </rPr>
      <t xml:space="preserve"> * 33.59 h) = 306,00 </t>
    </r>
    <r>
      <rPr>
        <i/>
        <sz val="12"/>
        <color theme="1"/>
        <rFont val="Times New Roman"/>
        <family val="1"/>
        <charset val="186"/>
      </rPr>
      <t>euro</t>
    </r>
    <r>
      <rPr>
        <sz val="12"/>
        <color theme="1"/>
        <rFont val="Times New Roman"/>
        <family val="1"/>
        <charset val="186"/>
      </rPr>
      <t xml:space="preserve">/mēn. * 12. mēn. = 3 672,00 </t>
    </r>
    <r>
      <rPr>
        <i/>
        <sz val="12"/>
        <color theme="1"/>
        <rFont val="Times New Roman"/>
        <family val="1"/>
        <charset val="186"/>
      </rPr>
      <t>euro</t>
    </r>
    <r>
      <rPr>
        <sz val="12"/>
        <color theme="1"/>
        <rFont val="Times New Roman"/>
        <family val="1"/>
        <charset val="186"/>
      </rPr>
      <t xml:space="preserve"> * 0.4169 (iznomātās platības koeficients) = 1 530,86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</si>
  <si>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58.67 stundas, (8,22 </t>
    </r>
    <r>
      <rPr>
        <i/>
        <sz val="12"/>
        <color theme="1"/>
        <rFont val="Times New Roman"/>
        <family val="1"/>
        <charset val="186"/>
      </rPr>
      <t>euro</t>
    </r>
    <r>
      <rPr>
        <sz val="12"/>
        <color theme="1"/>
        <rFont val="Times New Roman"/>
        <family val="1"/>
        <charset val="186"/>
      </rPr>
      <t xml:space="preserve"> * 58.67 h) = 482,27 </t>
    </r>
    <r>
      <rPr>
        <i/>
        <sz val="12"/>
        <color theme="1"/>
        <rFont val="Times New Roman"/>
        <family val="1"/>
        <charset val="186"/>
      </rPr>
      <t>euro</t>
    </r>
    <r>
      <rPr>
        <sz val="12"/>
        <color theme="1"/>
        <rFont val="Times New Roman"/>
        <family val="1"/>
        <charset val="186"/>
      </rPr>
      <t xml:space="preserve">/mēn. * 12. mēn. = 5 787,24 </t>
    </r>
    <r>
      <rPr>
        <i/>
        <sz val="12"/>
        <color theme="1"/>
        <rFont val="Times New Roman"/>
        <family val="1"/>
        <charset val="186"/>
      </rPr>
      <t>euro</t>
    </r>
    <r>
      <rPr>
        <sz val="12"/>
        <color theme="1"/>
        <rFont val="Times New Roman"/>
        <family val="1"/>
        <charset val="186"/>
      </rPr>
      <t xml:space="preserve"> * 0.4169 (iznomātās platības koeficients) = 3 894,93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</si>
  <si>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7.2 stundas, (24,34 </t>
    </r>
    <r>
      <rPr>
        <i/>
        <sz val="12"/>
        <color theme="1"/>
        <rFont val="Times New Roman"/>
        <family val="1"/>
        <charset val="186"/>
      </rPr>
      <t>euro</t>
    </r>
    <r>
      <rPr>
        <sz val="12"/>
        <color theme="1"/>
        <rFont val="Times New Roman"/>
        <family val="1"/>
        <charset val="186"/>
      </rPr>
      <t xml:space="preserve"> * 7.2 h) = 175,25 </t>
    </r>
    <r>
      <rPr>
        <i/>
        <sz val="12"/>
        <color theme="1"/>
        <rFont val="Times New Roman"/>
        <family val="1"/>
        <charset val="186"/>
      </rPr>
      <t>euro</t>
    </r>
    <r>
      <rPr>
        <sz val="12"/>
        <color theme="1"/>
        <rFont val="Times New Roman"/>
        <family val="1"/>
        <charset val="186"/>
      </rPr>
      <t xml:space="preserve">/mēn. * 12. mēn. = 2 103,00 </t>
    </r>
    <r>
      <rPr>
        <i/>
        <sz val="12"/>
        <color theme="1"/>
        <rFont val="Times New Roman"/>
        <family val="1"/>
        <charset val="186"/>
      </rPr>
      <t>euro</t>
    </r>
    <r>
      <rPr>
        <sz val="12"/>
        <color theme="1"/>
        <rFont val="Times New Roman"/>
        <family val="1"/>
        <charset val="186"/>
      </rPr>
      <t xml:space="preserve"> * 0.4169 (iznomātās platības koeficients) = 876,74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</si>
  <si>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1.65 stundas, (26,96 </t>
    </r>
    <r>
      <rPr>
        <i/>
        <sz val="12"/>
        <color theme="1"/>
        <rFont val="Times New Roman"/>
        <family val="1"/>
        <charset val="186"/>
      </rPr>
      <t>euro</t>
    </r>
    <r>
      <rPr>
        <sz val="12"/>
        <color theme="1"/>
        <rFont val="Times New Roman"/>
        <family val="1"/>
        <charset val="186"/>
      </rPr>
      <t xml:space="preserve"> * 1.65 h) = 44,48 </t>
    </r>
    <r>
      <rPr>
        <i/>
        <sz val="12"/>
        <color theme="1"/>
        <rFont val="Times New Roman"/>
        <family val="1"/>
        <charset val="186"/>
      </rPr>
      <t>euro</t>
    </r>
    <r>
      <rPr>
        <sz val="12"/>
        <color theme="1"/>
        <rFont val="Times New Roman"/>
        <family val="1"/>
        <charset val="186"/>
      </rPr>
      <t xml:space="preserve">/mēn. * 12. mēn. = 533,76 </t>
    </r>
    <r>
      <rPr>
        <i/>
        <sz val="12"/>
        <color theme="1"/>
        <rFont val="Times New Roman"/>
        <family val="1"/>
        <charset val="186"/>
      </rPr>
      <t>euro</t>
    </r>
    <r>
      <rPr>
        <sz val="12"/>
        <color theme="1"/>
        <rFont val="Times New Roman"/>
        <family val="1"/>
        <charset val="186"/>
      </rPr>
      <t xml:space="preserve"> * 0.4169 (iznomātās platības koeficients) = 222,52 </t>
    </r>
    <r>
      <rPr>
        <i/>
        <sz val="12"/>
        <color theme="1"/>
        <rFont val="Times New Roman"/>
        <family val="1"/>
        <charset val="186"/>
      </rPr>
      <t>euro</t>
    </r>
    <r>
      <rPr>
        <sz val="12"/>
        <color theme="1"/>
        <rFont val="Times New Roman"/>
        <family val="1"/>
        <charset val="186"/>
      </rPr>
      <t>.</t>
    </r>
  </si>
  <si>
    <r>
      <rPr>
        <b/>
        <i/>
        <sz val="12"/>
        <color theme="1"/>
        <rFont val="Times New Roman"/>
        <family val="1"/>
        <charset val="186"/>
      </rPr>
      <t>euro</t>
    </r>
    <r>
      <rPr>
        <b/>
        <sz val="12"/>
        <color theme="1"/>
        <rFont val="Times New Roman"/>
        <family val="1"/>
        <charset val="186"/>
      </rPr>
      <t xml:space="preserve">, mēnesī par gultasvietu </t>
    </r>
  </si>
  <si>
    <r>
      <rPr>
        <b/>
        <i/>
        <sz val="12"/>
        <color theme="1"/>
        <rFont val="Times New Roman"/>
        <family val="1"/>
        <charset val="186"/>
      </rPr>
      <t>euro</t>
    </r>
    <r>
      <rPr>
        <b/>
        <sz val="12"/>
        <color theme="1"/>
        <rFont val="Times New Roman"/>
        <family val="1"/>
        <charset val="186"/>
      </rPr>
      <t>,  diennaktī par gultasvietu</t>
    </r>
  </si>
  <si>
    <r>
      <t xml:space="preserve">Pamatlīdzekļu amortizācija 4 439,23 </t>
    </r>
    <r>
      <rPr>
        <i/>
        <sz val="12"/>
        <color theme="1"/>
        <rFont val="Times New Roman"/>
        <family val="1"/>
        <charset val="186"/>
      </rPr>
      <t>euro</t>
    </r>
    <r>
      <rPr>
        <sz val="12"/>
        <color theme="1"/>
        <rFont val="Times New Roman"/>
        <family val="1"/>
        <charset val="186"/>
      </rPr>
      <t xml:space="preserve"> gadā * 0.05073 (iznomātās platības koeficients) = 225,20 </t>
    </r>
    <r>
      <rPr>
        <i/>
        <sz val="12"/>
        <color theme="1"/>
        <rFont val="Times New Roman"/>
        <family val="1"/>
        <charset val="186"/>
      </rPr>
      <t>euro.</t>
    </r>
  </si>
  <si>
    <r>
      <t xml:space="preserve">Ēku amortizācija 6 565,16 </t>
    </r>
    <r>
      <rPr>
        <i/>
        <sz val="12"/>
        <color theme="1"/>
        <rFont val="Times New Roman"/>
        <family val="1"/>
        <charset val="186"/>
      </rPr>
      <t>euro</t>
    </r>
    <r>
      <rPr>
        <sz val="12"/>
        <color theme="1"/>
        <rFont val="Times New Roman"/>
        <family val="1"/>
        <charset val="186"/>
      </rPr>
      <t xml:space="preserve"> gadā * 0.05073 (iznomātās platības koeficients) = 333,05 </t>
    </r>
    <r>
      <rPr>
        <i/>
        <sz val="12"/>
        <color theme="1"/>
        <rFont val="Times New Roman"/>
        <family val="1"/>
        <charset val="186"/>
      </rPr>
      <t>euro.</t>
    </r>
  </si>
  <si>
    <r>
      <t xml:space="preserve">Nekustamā īpašuma nodoklis 10 541,01 </t>
    </r>
    <r>
      <rPr>
        <i/>
        <sz val="12"/>
        <color theme="1"/>
        <rFont val="Times New Roman"/>
        <family val="1"/>
        <charset val="186"/>
      </rPr>
      <t>euro</t>
    </r>
    <r>
      <rPr>
        <sz val="12"/>
        <color theme="1"/>
        <rFont val="Times New Roman"/>
        <family val="1"/>
        <charset val="186"/>
      </rPr>
      <t xml:space="preserve"> gadā * 0.05073 (iznomātās platības koeficients) = 534,75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</si>
  <si>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aizkari, podu vāki, u.c. higiēnas, saimniecības preces) iegādes izdevumi 905,02 </t>
    </r>
    <r>
      <rPr>
        <i/>
        <sz val="12"/>
        <color theme="1"/>
        <rFont val="Times New Roman"/>
        <family val="1"/>
        <charset val="186"/>
      </rPr>
      <t>euro</t>
    </r>
    <r>
      <rPr>
        <sz val="12"/>
        <color theme="1"/>
        <rFont val="Times New Roman"/>
        <family val="1"/>
        <charset val="186"/>
      </rPr>
      <t xml:space="preserve"> gadā * 0.05073 (iznomātās platības koeficients) = 45,91 </t>
    </r>
    <r>
      <rPr>
        <i/>
        <sz val="12"/>
        <color theme="1"/>
        <rFont val="Times New Roman"/>
        <family val="1"/>
        <charset val="186"/>
      </rPr>
      <t>euro</t>
    </r>
    <r>
      <rPr>
        <sz val="12"/>
        <color theme="1"/>
        <rFont val="Times New Roman"/>
        <family val="1"/>
        <charset val="186"/>
      </rPr>
      <t>.</t>
    </r>
  </si>
  <si>
    <r>
      <t xml:space="preserve">Inventāra iegādes izdevumi 607,49 </t>
    </r>
    <r>
      <rPr>
        <i/>
        <sz val="12"/>
        <color theme="1"/>
        <rFont val="Times New Roman"/>
        <family val="1"/>
        <charset val="186"/>
      </rPr>
      <t>euro</t>
    </r>
    <r>
      <rPr>
        <sz val="12"/>
        <color theme="1"/>
        <rFont val="Times New Roman"/>
        <family val="1"/>
        <charset val="186"/>
      </rPr>
      <t xml:space="preserve"> gadā * 0.05073 (iznomātās platības koeficients) = 30,82 </t>
    </r>
    <r>
      <rPr>
        <i/>
        <sz val="12"/>
        <color theme="1"/>
        <rFont val="Times New Roman"/>
        <family val="1"/>
        <charset val="186"/>
      </rPr>
      <t>euro</t>
    </r>
    <r>
      <rPr>
        <sz val="12"/>
        <color theme="1"/>
        <rFont val="Times New Roman"/>
        <family val="1"/>
        <charset val="186"/>
      </rPr>
      <t>.</t>
    </r>
  </si>
  <si>
    <r>
      <t xml:space="preserve">Biotualetes noma gadā 121,00 </t>
    </r>
    <r>
      <rPr>
        <i/>
        <sz val="12"/>
        <color theme="1"/>
        <rFont val="Times New Roman"/>
        <family val="1"/>
        <charset val="186"/>
      </rPr>
      <t>euro</t>
    </r>
    <r>
      <rPr>
        <sz val="12"/>
        <color theme="1"/>
        <rFont val="Times New Roman"/>
        <family val="1"/>
        <charset val="186"/>
      </rPr>
      <t xml:space="preserve"> * 0.05073 (iznomātās platības koeficients) = 6,14 </t>
    </r>
    <r>
      <rPr>
        <i/>
        <sz val="12"/>
        <color theme="1"/>
        <rFont val="Times New Roman"/>
        <family val="1"/>
        <charset val="186"/>
      </rPr>
      <t>euro</t>
    </r>
    <r>
      <rPr>
        <sz val="12"/>
        <color theme="1"/>
        <rFont val="Times New Roman"/>
        <family val="1"/>
        <charset val="186"/>
      </rPr>
      <t>.</t>
    </r>
  </si>
  <si>
    <r>
      <t xml:space="preserve">Pārējie uzturēšanas izdevumi 1 602,25 </t>
    </r>
    <r>
      <rPr>
        <i/>
        <sz val="12"/>
        <color theme="1"/>
        <rFont val="Times New Roman"/>
        <family val="1"/>
        <charset val="186"/>
      </rPr>
      <t>euro</t>
    </r>
    <r>
      <rPr>
        <sz val="12"/>
        <color theme="1"/>
        <rFont val="Times New Roman"/>
        <family val="1"/>
        <charset val="186"/>
      </rPr>
      <t xml:space="preserve"> gadā * 0.05073 (iznomātās platības koeficients) = 81,28 </t>
    </r>
    <r>
      <rPr>
        <i/>
        <sz val="12"/>
        <color theme="1"/>
        <rFont val="Times New Roman"/>
        <family val="1"/>
        <charset val="186"/>
      </rPr>
      <t>euro.</t>
    </r>
  </si>
  <si>
    <r>
      <t xml:space="preserve">Telpu, teritorijas uzkopšanas, apsardzes, apsaimniekošanas, apdrošināšanas izdevumi 133 418,65 </t>
    </r>
    <r>
      <rPr>
        <i/>
        <sz val="12"/>
        <color theme="1"/>
        <rFont val="Times New Roman"/>
        <family val="1"/>
        <charset val="186"/>
      </rPr>
      <t>euro</t>
    </r>
    <r>
      <rPr>
        <sz val="12"/>
        <color theme="1"/>
        <rFont val="Times New Roman"/>
        <family val="1"/>
        <charset val="186"/>
      </rPr>
      <t xml:space="preserve"> gadā * 0.05073 (iznomātās platības koeficients) = 6 768,33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</si>
  <si>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1 715,08 </t>
    </r>
    <r>
      <rPr>
        <i/>
        <sz val="12"/>
        <color theme="1"/>
        <rFont val="Times New Roman"/>
        <family val="1"/>
        <charset val="186"/>
      </rPr>
      <t>euro</t>
    </r>
    <r>
      <rPr>
        <sz val="12"/>
        <color theme="1"/>
        <rFont val="Times New Roman"/>
        <family val="1"/>
        <charset val="186"/>
      </rPr>
      <t xml:space="preserve"> gadā * 0.05073 (iznomātās platības koeficients) = 87,01 </t>
    </r>
    <r>
      <rPr>
        <i/>
        <sz val="12"/>
        <color theme="1"/>
        <rFont val="Times New Roman"/>
        <family val="1"/>
        <charset val="186"/>
      </rPr>
      <t>euro.</t>
    </r>
  </si>
  <si>
    <r>
      <t xml:space="preserve">Izdevumi par energoefektivitātes paaugstināšanas atzinumu 464,98 euro gadā * 0.05073 (iznomātās platības koeficients) = 23,59 </t>
    </r>
    <r>
      <rPr>
        <i/>
        <sz val="12"/>
        <color theme="1"/>
        <rFont val="Times New Roman"/>
        <family val="1"/>
        <charset val="186"/>
      </rPr>
      <t>euro</t>
    </r>
    <r>
      <rPr>
        <sz val="12"/>
        <color theme="1"/>
        <rFont val="Times New Roman"/>
        <family val="1"/>
        <charset val="186"/>
      </rPr>
      <t>.</t>
    </r>
  </si>
  <si>
    <r>
      <t xml:space="preserve">Izdevumi par atkritumu izvešanu 23 680,95 </t>
    </r>
    <r>
      <rPr>
        <i/>
        <sz val="12"/>
        <color theme="1"/>
        <rFont val="Times New Roman"/>
        <family val="1"/>
        <charset val="186"/>
      </rPr>
      <t>euro</t>
    </r>
    <r>
      <rPr>
        <sz val="12"/>
        <color theme="1"/>
        <rFont val="Times New Roman"/>
        <family val="1"/>
        <charset val="186"/>
      </rPr>
      <t xml:space="preserve"> gadā * 0.05073 (iznomātās platības koeficients) = 1 201,33 </t>
    </r>
    <r>
      <rPr>
        <i/>
        <sz val="12"/>
        <color theme="1"/>
        <rFont val="Times New Roman"/>
        <family val="1"/>
        <charset val="186"/>
      </rPr>
      <t>euro</t>
    </r>
    <r>
      <rPr>
        <sz val="12"/>
        <color theme="1"/>
        <rFont val="Times New Roman"/>
        <family val="1"/>
        <charset val="186"/>
      </rPr>
      <t>.</t>
    </r>
  </si>
  <si>
    <r>
      <t xml:space="preserve">Izdevumi par ūdeni un kanalizāciju 52 111,24 </t>
    </r>
    <r>
      <rPr>
        <i/>
        <sz val="12"/>
        <color theme="1"/>
        <rFont val="Times New Roman"/>
        <family val="1"/>
        <charset val="186"/>
      </rPr>
      <t>euro</t>
    </r>
    <r>
      <rPr>
        <sz val="12"/>
        <color theme="1"/>
        <rFont val="Times New Roman"/>
        <family val="1"/>
        <charset val="186"/>
      </rPr>
      <t xml:space="preserve"> gadā * 0.05073 (iznomātās platības koeficients) = 2 643,60 </t>
    </r>
    <r>
      <rPr>
        <i/>
        <sz val="12"/>
        <color theme="1"/>
        <rFont val="Times New Roman"/>
        <family val="1"/>
        <charset val="186"/>
      </rPr>
      <t>euro</t>
    </r>
    <r>
      <rPr>
        <sz val="12"/>
        <color theme="1"/>
        <rFont val="Times New Roman"/>
        <family val="1"/>
        <charset val="186"/>
      </rPr>
      <t>.</t>
    </r>
  </si>
  <si>
    <r>
      <t xml:space="preserve">Izdevumi par apkuri 48 868,00 </t>
    </r>
    <r>
      <rPr>
        <i/>
        <sz val="12"/>
        <color theme="1"/>
        <rFont val="Times New Roman"/>
        <family val="1"/>
        <charset val="186"/>
      </rPr>
      <t>euro</t>
    </r>
    <r>
      <rPr>
        <sz val="12"/>
        <color theme="1"/>
        <rFont val="Times New Roman"/>
        <family val="1"/>
        <charset val="186"/>
      </rPr>
      <t xml:space="preserve"> gadā * 0.05073 (iznomātās platības koeficients) = 2 479,07 </t>
    </r>
    <r>
      <rPr>
        <i/>
        <sz val="12"/>
        <color theme="1"/>
        <rFont val="Times New Roman"/>
        <family val="1"/>
        <charset val="186"/>
      </rPr>
      <t>euro</t>
    </r>
    <r>
      <rPr>
        <sz val="12"/>
        <color theme="1"/>
        <rFont val="Times New Roman"/>
        <family val="1"/>
        <charset val="186"/>
      </rPr>
      <t>.</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</si>
  <si>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142.54 stundas, (8,14 </t>
    </r>
    <r>
      <rPr>
        <i/>
        <sz val="12"/>
        <color theme="1"/>
        <rFont val="Times New Roman"/>
        <family val="1"/>
        <charset val="186"/>
      </rPr>
      <t>euro</t>
    </r>
    <r>
      <rPr>
        <sz val="12"/>
        <color theme="1"/>
        <rFont val="Times New Roman"/>
        <family val="1"/>
        <charset val="186"/>
      </rPr>
      <t xml:space="preserve"> * 142.54 h) = 1 160,28 </t>
    </r>
    <r>
      <rPr>
        <i/>
        <sz val="12"/>
        <color theme="1"/>
        <rFont val="Times New Roman"/>
        <family val="1"/>
        <charset val="186"/>
      </rPr>
      <t>euro</t>
    </r>
    <r>
      <rPr>
        <sz val="12"/>
        <color theme="1"/>
        <rFont val="Times New Roman"/>
        <family val="1"/>
        <charset val="186"/>
      </rPr>
      <t xml:space="preserve">/mēn.  * 12 mēn. = 13 923,36 </t>
    </r>
    <r>
      <rPr>
        <i/>
        <sz val="12"/>
        <color theme="1"/>
        <rFont val="Times New Roman"/>
        <family val="1"/>
        <charset val="186"/>
      </rPr>
      <t>euro</t>
    </r>
    <r>
      <rPr>
        <sz val="12"/>
        <color theme="1"/>
        <rFont val="Times New Roman"/>
        <family val="1"/>
        <charset val="186"/>
      </rPr>
      <t xml:space="preserve"> * 0.05073 (Iznomātās platības koeficients) = 706,33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</si>
  <si>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10.44 stundas, (5,37 </t>
    </r>
    <r>
      <rPr>
        <i/>
        <sz val="12"/>
        <color theme="1"/>
        <rFont val="Times New Roman"/>
        <family val="1"/>
        <charset val="186"/>
      </rPr>
      <t>euro</t>
    </r>
    <r>
      <rPr>
        <sz val="12"/>
        <color theme="1"/>
        <rFont val="Times New Roman"/>
        <family val="1"/>
        <charset val="186"/>
      </rPr>
      <t xml:space="preserve"> * 10.44 h) = 56,06 </t>
    </r>
    <r>
      <rPr>
        <i/>
        <sz val="12"/>
        <color theme="1"/>
        <rFont val="Times New Roman"/>
        <family val="1"/>
        <charset val="186"/>
      </rPr>
      <t>euro</t>
    </r>
    <r>
      <rPr>
        <sz val="12"/>
        <color theme="1"/>
        <rFont val="Times New Roman"/>
        <family val="1"/>
        <charset val="186"/>
      </rPr>
      <t xml:space="preserve">/mēn. * 12 mēn. = 672,72 </t>
    </r>
    <r>
      <rPr>
        <i/>
        <sz val="12"/>
        <color theme="1"/>
        <rFont val="Times New Roman"/>
        <family val="1"/>
        <charset val="186"/>
      </rPr>
      <t>euro</t>
    </r>
    <r>
      <rPr>
        <sz val="12"/>
        <color theme="1"/>
        <rFont val="Times New Roman"/>
        <family val="1"/>
        <charset val="186"/>
      </rPr>
      <t xml:space="preserve"> * 0.05073 (Iznomātās platības koeficients) = 34,13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</si>
  <si>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1.91 stundas, (11,24 </t>
    </r>
    <r>
      <rPr>
        <i/>
        <sz val="12"/>
        <color theme="1"/>
        <rFont val="Times New Roman"/>
        <family val="1"/>
        <charset val="186"/>
      </rPr>
      <t>euro</t>
    </r>
    <r>
      <rPr>
        <sz val="12"/>
        <color theme="1"/>
        <rFont val="Times New Roman"/>
        <family val="1"/>
        <charset val="186"/>
      </rPr>
      <t xml:space="preserve"> * 1.91 h) = 21,47 </t>
    </r>
    <r>
      <rPr>
        <i/>
        <sz val="12"/>
        <color theme="1"/>
        <rFont val="Times New Roman"/>
        <family val="1"/>
        <charset val="186"/>
      </rPr>
      <t>euro</t>
    </r>
    <r>
      <rPr>
        <sz val="12"/>
        <color theme="1"/>
        <rFont val="Times New Roman"/>
        <family val="1"/>
        <charset val="186"/>
      </rPr>
      <t xml:space="preserve">/mēn. * 12. mēn. = 257,64 </t>
    </r>
    <r>
      <rPr>
        <i/>
        <sz val="12"/>
        <color theme="1"/>
        <rFont val="Times New Roman"/>
        <family val="1"/>
        <charset val="186"/>
      </rPr>
      <t>euro</t>
    </r>
    <r>
      <rPr>
        <sz val="12"/>
        <color theme="1"/>
        <rFont val="Times New Roman"/>
        <family val="1"/>
        <charset val="186"/>
      </rPr>
      <t xml:space="preserve"> * 0.05073 (iznomātās platības koeficients) = 13,07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</si>
  <si>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1.87 stundas, (7,58 </t>
    </r>
    <r>
      <rPr>
        <i/>
        <sz val="12"/>
        <color theme="1"/>
        <rFont val="Times New Roman"/>
        <family val="1"/>
        <charset val="186"/>
      </rPr>
      <t>euro</t>
    </r>
    <r>
      <rPr>
        <sz val="12"/>
        <color theme="1"/>
        <rFont val="Times New Roman"/>
        <family val="1"/>
        <charset val="186"/>
      </rPr>
      <t xml:space="preserve"> * 1.87 h) = 14,17 </t>
    </r>
    <r>
      <rPr>
        <i/>
        <sz val="12"/>
        <color theme="1"/>
        <rFont val="Times New Roman"/>
        <family val="1"/>
        <charset val="186"/>
      </rPr>
      <t>euro</t>
    </r>
    <r>
      <rPr>
        <sz val="12"/>
        <color theme="1"/>
        <rFont val="Times New Roman"/>
        <family val="1"/>
        <charset val="186"/>
      </rPr>
      <t xml:space="preserve">/mēn. * 12. mēn. = 170,04 </t>
    </r>
    <r>
      <rPr>
        <i/>
        <sz val="12"/>
        <color theme="1"/>
        <rFont val="Times New Roman"/>
        <family val="1"/>
        <charset val="186"/>
      </rPr>
      <t>euro</t>
    </r>
    <r>
      <rPr>
        <sz val="12"/>
        <color theme="1"/>
        <rFont val="Times New Roman"/>
        <family val="1"/>
        <charset val="186"/>
      </rPr>
      <t xml:space="preserve"> * 0.05073 (iznomātās platības koeficients) = 8,63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</si>
  <si>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1.83 stundas, (11,22 </t>
    </r>
    <r>
      <rPr>
        <i/>
        <sz val="12"/>
        <color theme="1"/>
        <rFont val="Times New Roman"/>
        <family val="1"/>
        <charset val="186"/>
      </rPr>
      <t>euro</t>
    </r>
    <r>
      <rPr>
        <sz val="12"/>
        <color theme="1"/>
        <rFont val="Times New Roman"/>
        <family val="1"/>
        <charset val="186"/>
      </rPr>
      <t xml:space="preserve"> * 1.83 h) = 20,53 </t>
    </r>
    <r>
      <rPr>
        <i/>
        <sz val="12"/>
        <color theme="1"/>
        <rFont val="Times New Roman"/>
        <family val="1"/>
        <charset val="186"/>
      </rPr>
      <t>euro</t>
    </r>
    <r>
      <rPr>
        <sz val="12"/>
        <color theme="1"/>
        <rFont val="Times New Roman"/>
        <family val="1"/>
        <charset val="186"/>
      </rPr>
      <t xml:space="preserve">/mēn. * 12. mēn. = 246,36 </t>
    </r>
    <r>
      <rPr>
        <i/>
        <sz val="12"/>
        <color theme="1"/>
        <rFont val="Times New Roman"/>
        <family val="1"/>
        <charset val="186"/>
      </rPr>
      <t>euro</t>
    </r>
    <r>
      <rPr>
        <sz val="12"/>
        <color theme="1"/>
        <rFont val="Times New Roman"/>
        <family val="1"/>
        <charset val="186"/>
      </rPr>
      <t xml:space="preserve"> * 0.05073(iznomātās platības koeficients) = 12,50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</si>
  <si>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2.06 stundas, (15,03 </t>
    </r>
    <r>
      <rPr>
        <i/>
        <sz val="12"/>
        <color theme="1"/>
        <rFont val="Times New Roman"/>
        <family val="1"/>
        <charset val="186"/>
      </rPr>
      <t>euro</t>
    </r>
    <r>
      <rPr>
        <sz val="12"/>
        <color theme="1"/>
        <rFont val="Times New Roman"/>
        <family val="1"/>
        <charset val="186"/>
      </rPr>
      <t xml:space="preserve"> * 2.06 h) = 30,96 </t>
    </r>
    <r>
      <rPr>
        <i/>
        <sz val="12"/>
        <color theme="1"/>
        <rFont val="Times New Roman"/>
        <family val="1"/>
        <charset val="186"/>
      </rPr>
      <t>euro</t>
    </r>
    <r>
      <rPr>
        <sz val="12"/>
        <color theme="1"/>
        <rFont val="Times New Roman"/>
        <family val="1"/>
        <charset val="186"/>
      </rPr>
      <t xml:space="preserve">/mēn. * 12. mēn. = 371,52 </t>
    </r>
    <r>
      <rPr>
        <i/>
        <sz val="12"/>
        <color theme="1"/>
        <rFont val="Times New Roman"/>
        <family val="1"/>
        <charset val="186"/>
      </rPr>
      <t>euro</t>
    </r>
    <r>
      <rPr>
        <sz val="12"/>
        <color theme="1"/>
        <rFont val="Times New Roman"/>
        <family val="1"/>
        <charset val="186"/>
      </rPr>
      <t xml:space="preserve"> * 0.05073 (iznomātās platības koeficients) = 18,85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</si>
  <si>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1.66 stundas, (12,07 </t>
    </r>
    <r>
      <rPr>
        <i/>
        <sz val="12"/>
        <color theme="1"/>
        <rFont val="Times New Roman"/>
        <family val="1"/>
        <charset val="186"/>
      </rPr>
      <t>euro</t>
    </r>
    <r>
      <rPr>
        <sz val="12"/>
        <color theme="1"/>
        <rFont val="Times New Roman"/>
        <family val="1"/>
        <charset val="186"/>
      </rPr>
      <t xml:space="preserve"> * 1.66 h) = 20,04 </t>
    </r>
    <r>
      <rPr>
        <i/>
        <sz val="12"/>
        <color theme="1"/>
        <rFont val="Times New Roman"/>
        <family val="1"/>
        <charset val="186"/>
      </rPr>
      <t>euro</t>
    </r>
    <r>
      <rPr>
        <sz val="12"/>
        <color theme="1"/>
        <rFont val="Times New Roman"/>
        <family val="1"/>
        <charset val="186"/>
      </rPr>
      <t xml:space="preserve">/mēn. * 12. mēn. = 240,48 </t>
    </r>
    <r>
      <rPr>
        <i/>
        <sz val="12"/>
        <color theme="1"/>
        <rFont val="Times New Roman"/>
        <family val="1"/>
        <charset val="186"/>
      </rPr>
      <t>euro</t>
    </r>
    <r>
      <rPr>
        <sz val="12"/>
        <color theme="1"/>
        <rFont val="Times New Roman"/>
        <family val="1"/>
        <charset val="186"/>
      </rPr>
      <t xml:space="preserve"> * 0.05073 (iznomātās platības koeficients) = 12,20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</si>
  <si>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 xml:space="preserve">euro </t>
    </r>
    <r>
      <rPr>
        <sz val="12"/>
        <color theme="1"/>
        <rFont val="Times New Roman"/>
        <family val="1"/>
        <charset val="186"/>
      </rPr>
      <t xml:space="preserve">/ 166.92 (vid. d. stundu sk. mēnesī). Vid. mēn. noslogojums 9.23 stunda, (8,22 euro * 9.23 h) = 75,87 euro/mēn. * 12. mēn. = 910,44 euro * 0.05073 (iznomātās platības koeficients) = 46,19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</si>
  <si>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euro).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33.59 stundas, (9,11 </t>
    </r>
    <r>
      <rPr>
        <i/>
        <sz val="12"/>
        <color theme="1"/>
        <rFont val="Times New Roman"/>
        <family val="1"/>
        <charset val="186"/>
      </rPr>
      <t>euro</t>
    </r>
    <r>
      <rPr>
        <sz val="12"/>
        <color theme="1"/>
        <rFont val="Times New Roman"/>
        <family val="1"/>
        <charset val="186"/>
      </rPr>
      <t xml:space="preserve"> * 33.59 h) = 306,00 </t>
    </r>
    <r>
      <rPr>
        <i/>
        <sz val="12"/>
        <color theme="1"/>
        <rFont val="Times New Roman"/>
        <family val="1"/>
        <charset val="186"/>
      </rPr>
      <t>euro</t>
    </r>
    <r>
      <rPr>
        <sz val="12"/>
        <color theme="1"/>
        <rFont val="Times New Roman"/>
        <family val="1"/>
        <charset val="186"/>
      </rPr>
      <t xml:space="preserve">/mēn. * 12. mēn. = 3 672,00 </t>
    </r>
    <r>
      <rPr>
        <i/>
        <sz val="12"/>
        <color theme="1"/>
        <rFont val="Times New Roman"/>
        <family val="1"/>
        <charset val="186"/>
      </rPr>
      <t>euro</t>
    </r>
    <r>
      <rPr>
        <sz val="12"/>
        <color theme="1"/>
        <rFont val="Times New Roman"/>
        <family val="1"/>
        <charset val="186"/>
      </rPr>
      <t xml:space="preserve"> * 0.05073 (iznomātās platības koeficients) = 186,28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</si>
  <si>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58.67 stundas, (8,22 </t>
    </r>
    <r>
      <rPr>
        <i/>
        <sz val="12"/>
        <color theme="1"/>
        <rFont val="Times New Roman"/>
        <family val="1"/>
        <charset val="186"/>
      </rPr>
      <t>euro</t>
    </r>
    <r>
      <rPr>
        <sz val="12"/>
        <color theme="1"/>
        <rFont val="Times New Roman"/>
        <family val="1"/>
        <charset val="186"/>
      </rPr>
      <t xml:space="preserve"> * 58.67 h) = 482,27 </t>
    </r>
    <r>
      <rPr>
        <i/>
        <sz val="12"/>
        <color theme="1"/>
        <rFont val="Times New Roman"/>
        <family val="1"/>
        <charset val="186"/>
      </rPr>
      <t>euro</t>
    </r>
    <r>
      <rPr>
        <sz val="12"/>
        <color theme="1"/>
        <rFont val="Times New Roman"/>
        <family val="1"/>
        <charset val="186"/>
      </rPr>
      <t xml:space="preserve">/mēn. * 12. mēn. = 5 787,24 </t>
    </r>
    <r>
      <rPr>
        <i/>
        <sz val="12"/>
        <color theme="1"/>
        <rFont val="Times New Roman"/>
        <family val="1"/>
        <charset val="186"/>
      </rPr>
      <t>euro</t>
    </r>
    <r>
      <rPr>
        <sz val="12"/>
        <color theme="1"/>
        <rFont val="Times New Roman"/>
        <family val="1"/>
        <charset val="186"/>
      </rPr>
      <t xml:space="preserve"> * 0.05073 (iznomātās platības koeficients) = 293,59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</si>
  <si>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7.2 stundas, (24,34 </t>
    </r>
    <r>
      <rPr>
        <i/>
        <sz val="12"/>
        <color theme="1"/>
        <rFont val="Times New Roman"/>
        <family val="1"/>
        <charset val="186"/>
      </rPr>
      <t>euro</t>
    </r>
    <r>
      <rPr>
        <sz val="12"/>
        <color theme="1"/>
        <rFont val="Times New Roman"/>
        <family val="1"/>
        <charset val="186"/>
      </rPr>
      <t xml:space="preserve"> * 7.2 h) = 175,25 </t>
    </r>
    <r>
      <rPr>
        <i/>
        <sz val="12"/>
        <color theme="1"/>
        <rFont val="Times New Roman"/>
        <family val="1"/>
        <charset val="186"/>
      </rPr>
      <t>euro</t>
    </r>
    <r>
      <rPr>
        <sz val="12"/>
        <color theme="1"/>
        <rFont val="Times New Roman"/>
        <family val="1"/>
        <charset val="186"/>
      </rPr>
      <t xml:space="preserve">/mēn. * 12. mēn. = 2 103,00 </t>
    </r>
    <r>
      <rPr>
        <i/>
        <sz val="12"/>
        <color theme="1"/>
        <rFont val="Times New Roman"/>
        <family val="1"/>
        <charset val="186"/>
      </rPr>
      <t>euro</t>
    </r>
    <r>
      <rPr>
        <sz val="12"/>
        <color theme="1"/>
        <rFont val="Times New Roman"/>
        <family val="1"/>
        <charset val="186"/>
      </rPr>
      <t xml:space="preserve"> * 0.05073 (iznomātās platības koeficients) = 106,69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</si>
  <si>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1.65 stundas, (26,96 </t>
    </r>
    <r>
      <rPr>
        <i/>
        <sz val="12"/>
        <color theme="1"/>
        <rFont val="Times New Roman"/>
        <family val="1"/>
        <charset val="186"/>
      </rPr>
      <t>euro</t>
    </r>
    <r>
      <rPr>
        <sz val="12"/>
        <color theme="1"/>
        <rFont val="Times New Roman"/>
        <family val="1"/>
        <charset val="186"/>
      </rPr>
      <t xml:space="preserve"> * 1.65 h) = 44,48 </t>
    </r>
    <r>
      <rPr>
        <i/>
        <sz val="12"/>
        <color theme="1"/>
        <rFont val="Times New Roman"/>
        <family val="1"/>
        <charset val="186"/>
      </rPr>
      <t>euro</t>
    </r>
    <r>
      <rPr>
        <sz val="12"/>
        <color theme="1"/>
        <rFont val="Times New Roman"/>
        <family val="1"/>
        <charset val="186"/>
      </rPr>
      <t xml:space="preserve">/mēn. * 12. mēn. = 533,76 </t>
    </r>
    <r>
      <rPr>
        <i/>
        <sz val="12"/>
        <color theme="1"/>
        <rFont val="Times New Roman"/>
        <family val="1"/>
        <charset val="186"/>
      </rPr>
      <t>euro</t>
    </r>
    <r>
      <rPr>
        <sz val="12"/>
        <color theme="1"/>
        <rFont val="Times New Roman"/>
        <family val="1"/>
        <charset val="186"/>
      </rPr>
      <t xml:space="preserve"> * 0.05073 (iznomātās platības koeficients) = 27,08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</si>
  <si>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725,08 </t>
    </r>
    <r>
      <rPr>
        <i/>
        <sz val="12"/>
        <color theme="1"/>
        <rFont val="Times New Roman"/>
        <family val="1"/>
        <charset val="186"/>
      </rPr>
      <t>euro</t>
    </r>
    <r>
      <rPr>
        <sz val="12"/>
        <color theme="1"/>
        <rFont val="Times New Roman"/>
        <family val="1"/>
        <charset val="186"/>
      </rPr>
      <t xml:space="preserve"> * 23,59 % = 171,05 </t>
    </r>
    <r>
      <rPr>
        <i/>
        <sz val="12"/>
        <color theme="1"/>
        <rFont val="Times New Roman"/>
        <family val="1"/>
        <charset val="186"/>
      </rPr>
      <t>euro.</t>
    </r>
  </si>
  <si>
    <r>
      <t xml:space="preserve">Pamatlīdzekļu amortizācija 492,88 </t>
    </r>
    <r>
      <rPr>
        <i/>
        <sz val="12"/>
        <color theme="1"/>
        <rFont val="Times New Roman"/>
        <family val="1"/>
        <charset val="186"/>
      </rPr>
      <t>euro</t>
    </r>
    <r>
      <rPr>
        <sz val="12"/>
        <color theme="1"/>
        <rFont val="Times New Roman"/>
        <family val="1"/>
        <charset val="186"/>
      </rPr>
      <t xml:space="preserve"> gadā * 0.05073 (iznomātās platības koeficients) = 25,00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</si>
  <si>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166.92 (vid. d. stundu sk. mēnesī). Vid. mēn. noslogojums 6.26 stundas, (8,14 </t>
    </r>
    <r>
      <rPr>
        <i/>
        <sz val="12"/>
        <color theme="1"/>
        <rFont val="Times New Roman"/>
        <family val="1"/>
        <charset val="186"/>
      </rPr>
      <t>euro</t>
    </r>
    <r>
      <rPr>
        <sz val="12"/>
        <color theme="1"/>
        <rFont val="Times New Roman"/>
        <family val="1"/>
        <charset val="186"/>
      </rPr>
      <t xml:space="preserve"> * 6.26 h) = 50,96 </t>
    </r>
    <r>
      <rPr>
        <i/>
        <sz val="12"/>
        <color theme="1"/>
        <rFont val="Times New Roman"/>
        <family val="1"/>
        <charset val="186"/>
      </rPr>
      <t>euro</t>
    </r>
    <r>
      <rPr>
        <sz val="12"/>
        <color theme="1"/>
        <rFont val="Times New Roman"/>
        <family val="1"/>
        <charset val="186"/>
      </rPr>
      <t xml:space="preserve">/mēn. * 12 mēn. = 611,52 </t>
    </r>
    <r>
      <rPr>
        <i/>
        <sz val="12"/>
        <color theme="1"/>
        <rFont val="Times New Roman"/>
        <family val="1"/>
        <charset val="186"/>
      </rPr>
      <t>euro</t>
    </r>
    <r>
      <rPr>
        <sz val="12"/>
        <color theme="1"/>
        <rFont val="Times New Roman"/>
        <family val="1"/>
        <charset val="186"/>
      </rPr>
      <t xml:space="preserve"> * 0.0107 (iznomātās platības koeficients) = 6,54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</si>
  <si>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166.92 (vid. d. stundu sk. mēnesī). Vid. mēn. noslogojums 6.26 stundas, (8,14 </t>
    </r>
    <r>
      <rPr>
        <i/>
        <sz val="12"/>
        <color theme="1"/>
        <rFont val="Times New Roman"/>
        <family val="1"/>
        <charset val="186"/>
      </rPr>
      <t>euro</t>
    </r>
    <r>
      <rPr>
        <sz val="12"/>
        <color theme="1"/>
        <rFont val="Times New Roman"/>
        <family val="1"/>
        <charset val="186"/>
      </rPr>
      <t xml:space="preserve"> * 6.26 h) = 50,96 </t>
    </r>
    <r>
      <rPr>
        <i/>
        <sz val="12"/>
        <color theme="1"/>
        <rFont val="Times New Roman"/>
        <family val="1"/>
        <charset val="186"/>
      </rPr>
      <t>euro</t>
    </r>
    <r>
      <rPr>
        <sz val="12"/>
        <color theme="1"/>
        <rFont val="Times New Roman"/>
        <family val="1"/>
        <charset val="186"/>
      </rPr>
      <t xml:space="preserve">/mēn. * 12 mēn. = 611,52 </t>
    </r>
    <r>
      <rPr>
        <i/>
        <sz val="12"/>
        <color theme="1"/>
        <rFont val="Times New Roman"/>
        <family val="1"/>
        <charset val="186"/>
      </rPr>
      <t>euro</t>
    </r>
    <r>
      <rPr>
        <sz val="12"/>
        <color theme="1"/>
        <rFont val="Times New Roman"/>
        <family val="1"/>
        <charset val="186"/>
      </rPr>
      <t xml:space="preserve"> * 0.0155 (iznomātās platības koeficients) = 9,48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</si>
  <si>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166.92 (vid. d. stundu sk. mēnesī). Vid. mēn. noslogojums 6.26 stundas, (8,14 </t>
    </r>
    <r>
      <rPr>
        <i/>
        <sz val="12"/>
        <color theme="1"/>
        <rFont val="Times New Roman"/>
        <family val="1"/>
        <charset val="186"/>
      </rPr>
      <t>euro</t>
    </r>
    <r>
      <rPr>
        <sz val="12"/>
        <color theme="1"/>
        <rFont val="Times New Roman"/>
        <family val="1"/>
        <charset val="186"/>
      </rPr>
      <t xml:space="preserve"> * 6.26 h) = 50,96 </t>
    </r>
    <r>
      <rPr>
        <i/>
        <sz val="12"/>
        <color theme="1"/>
        <rFont val="Times New Roman"/>
        <family val="1"/>
        <charset val="186"/>
      </rPr>
      <t>euro</t>
    </r>
    <r>
      <rPr>
        <sz val="12"/>
        <color theme="1"/>
        <rFont val="Times New Roman"/>
        <family val="1"/>
        <charset val="186"/>
      </rPr>
      <t xml:space="preserve">/mēn. * 12 mēn. = 611,52 </t>
    </r>
    <r>
      <rPr>
        <i/>
        <sz val="12"/>
        <color theme="1"/>
        <rFont val="Times New Roman"/>
        <family val="1"/>
        <charset val="186"/>
      </rPr>
      <t>euro</t>
    </r>
    <r>
      <rPr>
        <sz val="12"/>
        <color theme="1"/>
        <rFont val="Times New Roman"/>
        <family val="1"/>
        <charset val="186"/>
      </rPr>
      <t xml:space="preserve"> * 0.4169 (iznomātās platības koeficients) = 254,94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</si>
  <si>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166.92 (vid. d. stundu sk. mēnesī). Vid. mēn. noslogojums 6.26 stundas, (8,14 </t>
    </r>
    <r>
      <rPr>
        <i/>
        <sz val="12"/>
        <color theme="1"/>
        <rFont val="Times New Roman"/>
        <family val="1"/>
        <charset val="186"/>
      </rPr>
      <t>euro</t>
    </r>
    <r>
      <rPr>
        <sz val="12"/>
        <color theme="1"/>
        <rFont val="Times New Roman"/>
        <family val="1"/>
        <charset val="186"/>
      </rPr>
      <t xml:space="preserve"> * 6.26 h) = 50,96 </t>
    </r>
    <r>
      <rPr>
        <i/>
        <sz val="12"/>
        <color theme="1"/>
        <rFont val="Times New Roman"/>
        <family val="1"/>
        <charset val="186"/>
      </rPr>
      <t>euro</t>
    </r>
    <r>
      <rPr>
        <sz val="12"/>
        <color theme="1"/>
        <rFont val="Times New Roman"/>
        <family val="1"/>
        <charset val="186"/>
      </rPr>
      <t xml:space="preserve">/mēn. * 12 mēn. = 611,52 </t>
    </r>
    <r>
      <rPr>
        <i/>
        <sz val="12"/>
        <color theme="1"/>
        <rFont val="Times New Roman"/>
        <family val="1"/>
        <charset val="186"/>
      </rPr>
      <t>euro</t>
    </r>
    <r>
      <rPr>
        <sz val="12"/>
        <color theme="1"/>
        <rFont val="Times New Roman"/>
        <family val="1"/>
        <charset val="186"/>
      </rPr>
      <t xml:space="preserve"> * 0.05073 (Iznomātās platības koeficients) = 31,02 </t>
    </r>
    <r>
      <rPr>
        <i/>
        <sz val="12"/>
        <color theme="1"/>
        <rFont val="Times New Roman"/>
        <family val="1"/>
        <charset val="186"/>
      </rPr>
      <t>euro</t>
    </r>
    <r>
      <rPr>
        <sz val="12"/>
        <color theme="1"/>
        <rFont val="Times New Roman"/>
        <family val="1"/>
        <charset val="186"/>
      </rPr>
      <t xml:space="preserve">. </t>
    </r>
  </si>
  <si>
    <r>
      <t xml:space="preserve">Pārējie uzturēšanas izdevumi 2 168,13 </t>
    </r>
    <r>
      <rPr>
        <i/>
        <sz val="12"/>
        <color theme="1"/>
        <rFont val="Times New Roman"/>
        <family val="1"/>
        <charset val="186"/>
      </rPr>
      <t>euro</t>
    </r>
    <r>
      <rPr>
        <sz val="12"/>
        <color theme="1"/>
        <rFont val="Times New Roman"/>
        <family val="1"/>
        <charset val="186"/>
      </rPr>
      <t xml:space="preserve"> gadā * 0.2444 (iznomātās platības koeficients) = 529,89 </t>
    </r>
    <r>
      <rPr>
        <i/>
        <sz val="12"/>
        <color theme="1"/>
        <rFont val="Times New Roman"/>
        <family val="1"/>
        <charset val="186"/>
      </rPr>
      <t>euro</t>
    </r>
    <r>
      <rPr>
        <sz val="12"/>
        <color theme="1"/>
        <rFont val="Times New Roman"/>
        <family val="1"/>
        <charset val="186"/>
      </rPr>
      <t>.</t>
    </r>
  </si>
  <si>
    <r>
      <t xml:space="preserve">Pamatlīdzekļu amortizācija 492,88 </t>
    </r>
    <r>
      <rPr>
        <i/>
        <sz val="12"/>
        <color theme="1"/>
        <rFont val="Times New Roman"/>
        <family val="1"/>
        <charset val="186"/>
      </rPr>
      <t>euro</t>
    </r>
    <r>
      <rPr>
        <sz val="12"/>
        <color theme="1"/>
        <rFont val="Times New Roman"/>
        <family val="1"/>
        <charset val="186"/>
      </rPr>
      <t xml:space="preserve"> gadā * 0.2444 (iznomātās platības koeficients) = 120,46 </t>
    </r>
    <r>
      <rPr>
        <i/>
        <sz val="12"/>
        <color theme="1"/>
        <rFont val="Times New Roman"/>
        <family val="1"/>
        <charset val="186"/>
      </rPr>
      <t>euro</t>
    </r>
    <r>
      <rPr>
        <sz val="12"/>
        <color theme="1"/>
        <rFont val="Times New Roman"/>
        <family val="1"/>
        <charset val="186"/>
      </rPr>
      <t>.</t>
    </r>
  </si>
  <si>
    <r>
      <t xml:space="preserve">Pamatlīdzekļu amortizācija 4 439,23 </t>
    </r>
    <r>
      <rPr>
        <i/>
        <sz val="12"/>
        <color theme="1"/>
        <rFont val="Times New Roman"/>
        <family val="1"/>
        <charset val="186"/>
      </rPr>
      <t>euro</t>
    </r>
    <r>
      <rPr>
        <sz val="12"/>
        <color theme="1"/>
        <rFont val="Times New Roman"/>
        <family val="1"/>
        <charset val="186"/>
      </rPr>
      <t xml:space="preserve"> gadā * 0.2444 (iznomātās platības koeficients) = 1 084,95 </t>
    </r>
    <r>
      <rPr>
        <i/>
        <sz val="12"/>
        <color theme="1"/>
        <rFont val="Times New Roman"/>
        <family val="1"/>
        <charset val="186"/>
      </rPr>
      <t>euro.</t>
    </r>
  </si>
  <si>
    <r>
      <t xml:space="preserve">Ēku amortizācija 6 565,16 </t>
    </r>
    <r>
      <rPr>
        <i/>
        <sz val="12"/>
        <color theme="1"/>
        <rFont val="Times New Roman"/>
        <family val="1"/>
        <charset val="186"/>
      </rPr>
      <t>euro</t>
    </r>
    <r>
      <rPr>
        <sz val="12"/>
        <color theme="1"/>
        <rFont val="Times New Roman"/>
        <family val="1"/>
        <charset val="186"/>
      </rPr>
      <t xml:space="preserve"> gadā * 0.2444 (iznomātās platības koeficients) = 1 604,53 </t>
    </r>
    <r>
      <rPr>
        <i/>
        <sz val="12"/>
        <color theme="1"/>
        <rFont val="Times New Roman"/>
        <family val="1"/>
        <charset val="186"/>
      </rPr>
      <t>euro</t>
    </r>
    <r>
      <rPr>
        <sz val="12"/>
        <color theme="1"/>
        <rFont val="Times New Roman"/>
        <family val="1"/>
        <charset val="186"/>
      </rPr>
      <t>.</t>
    </r>
  </si>
  <si>
    <r>
      <t xml:space="preserve">Nekustamā īpašuma nodoklis 10 541,01 </t>
    </r>
    <r>
      <rPr>
        <i/>
        <sz val="12"/>
        <color theme="1"/>
        <rFont val="Times New Roman"/>
        <family val="1"/>
        <charset val="186"/>
      </rPr>
      <t>euro</t>
    </r>
    <r>
      <rPr>
        <sz val="12"/>
        <color theme="1"/>
        <rFont val="Times New Roman"/>
        <family val="1"/>
        <charset val="186"/>
      </rPr>
      <t xml:space="preserve"> gadā * 0.2444 (iznomātās platības koeficients) = 2 576,22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</si>
  <si>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aizkari, podu vāki, u.c. higiēnas, saimniecības preces) iegādes izdevumi 905,02 </t>
    </r>
    <r>
      <rPr>
        <i/>
        <sz val="12"/>
        <color theme="1"/>
        <rFont val="Times New Roman"/>
        <family val="1"/>
        <charset val="186"/>
      </rPr>
      <t>euro</t>
    </r>
    <r>
      <rPr>
        <sz val="12"/>
        <color theme="1"/>
        <rFont val="Times New Roman"/>
        <family val="1"/>
        <charset val="186"/>
      </rPr>
      <t xml:space="preserve"> gadā * 0.2444 (iznomātās platības koeficients) = 221,19 </t>
    </r>
    <r>
      <rPr>
        <i/>
        <sz val="12"/>
        <color theme="1"/>
        <rFont val="Times New Roman"/>
        <family val="1"/>
        <charset val="186"/>
      </rPr>
      <t>euro</t>
    </r>
    <r>
      <rPr>
        <sz val="12"/>
        <color theme="1"/>
        <rFont val="Times New Roman"/>
        <family val="1"/>
        <charset val="186"/>
      </rPr>
      <t>.</t>
    </r>
  </si>
  <si>
    <r>
      <t xml:space="preserve">Inventāra iegādes izdevumi 607,49 </t>
    </r>
    <r>
      <rPr>
        <i/>
        <sz val="12"/>
        <color theme="1"/>
        <rFont val="Times New Roman"/>
        <family val="1"/>
        <charset val="186"/>
      </rPr>
      <t>euro</t>
    </r>
    <r>
      <rPr>
        <sz val="12"/>
        <color theme="1"/>
        <rFont val="Times New Roman"/>
        <family val="1"/>
        <charset val="186"/>
      </rPr>
      <t xml:space="preserve"> gadā * 0.2444 (iznomātās platības koeficients) = 148,47 </t>
    </r>
    <r>
      <rPr>
        <i/>
        <sz val="12"/>
        <color theme="1"/>
        <rFont val="Times New Roman"/>
        <family val="1"/>
        <charset val="186"/>
      </rPr>
      <t>euro</t>
    </r>
    <r>
      <rPr>
        <sz val="12"/>
        <color theme="1"/>
        <rFont val="Times New Roman"/>
        <family val="1"/>
        <charset val="186"/>
      </rPr>
      <t>.</t>
    </r>
  </si>
  <si>
    <r>
      <t xml:space="preserve">Biotualetes noma gadā 121,00 </t>
    </r>
    <r>
      <rPr>
        <i/>
        <sz val="12"/>
        <color theme="1"/>
        <rFont val="Times New Roman"/>
        <family val="1"/>
        <charset val="186"/>
      </rPr>
      <t>euro</t>
    </r>
    <r>
      <rPr>
        <sz val="12"/>
        <color theme="1"/>
        <rFont val="Times New Roman"/>
        <family val="1"/>
        <charset val="186"/>
      </rPr>
      <t xml:space="preserve"> * 0.2444 (iznomātās platības koeficients) = 29,57 </t>
    </r>
    <r>
      <rPr>
        <i/>
        <sz val="12"/>
        <color theme="1"/>
        <rFont val="Times New Roman"/>
        <family val="1"/>
        <charset val="186"/>
      </rPr>
      <t>euro</t>
    </r>
    <r>
      <rPr>
        <sz val="12"/>
        <color theme="1"/>
        <rFont val="Times New Roman"/>
        <family val="1"/>
        <charset val="186"/>
      </rPr>
      <t>.</t>
    </r>
  </si>
  <si>
    <r>
      <t xml:space="preserve">Pārējie uzturēšanas izdevumi 1 602,25 </t>
    </r>
    <r>
      <rPr>
        <i/>
        <sz val="12"/>
        <color theme="1"/>
        <rFont val="Times New Roman"/>
        <family val="1"/>
        <charset val="186"/>
      </rPr>
      <t>euro</t>
    </r>
    <r>
      <rPr>
        <sz val="12"/>
        <color theme="1"/>
        <rFont val="Times New Roman"/>
        <family val="1"/>
        <charset val="186"/>
      </rPr>
      <t xml:space="preserve"> gadā * 0.2444 (iznomātās platības koeficients) = 391,59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</si>
  <si>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133 418,65 </t>
    </r>
    <r>
      <rPr>
        <i/>
        <sz val="12"/>
        <color theme="1"/>
        <rFont val="Times New Roman"/>
        <family val="1"/>
        <charset val="186"/>
      </rPr>
      <t>euro</t>
    </r>
    <r>
      <rPr>
        <sz val="12"/>
        <color theme="1"/>
        <rFont val="Times New Roman"/>
        <family val="1"/>
        <charset val="186"/>
      </rPr>
      <t xml:space="preserve"> gadā * 0.2444 (iznomātās platības koeficients) = 32 607,52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</si>
  <si>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1 715,08 </t>
    </r>
    <r>
      <rPr>
        <i/>
        <sz val="12"/>
        <color theme="1"/>
        <rFont val="Times New Roman"/>
        <family val="1"/>
        <charset val="186"/>
      </rPr>
      <t>euro</t>
    </r>
    <r>
      <rPr>
        <sz val="12"/>
        <color theme="1"/>
        <rFont val="Times New Roman"/>
        <family val="1"/>
        <charset val="186"/>
      </rPr>
      <t xml:space="preserve"> gadā * 0.2444 (iznomātās platības koeficients) = 419,17 </t>
    </r>
    <r>
      <rPr>
        <i/>
        <sz val="12"/>
        <color theme="1"/>
        <rFont val="Times New Roman"/>
        <family val="1"/>
        <charset val="186"/>
      </rPr>
      <t>euro</t>
    </r>
    <r>
      <rPr>
        <sz val="12"/>
        <color theme="1"/>
        <rFont val="Times New Roman"/>
        <family val="1"/>
        <charset val="186"/>
      </rPr>
      <t>.</t>
    </r>
  </si>
  <si>
    <r>
      <t xml:space="preserve">Izdevumi par energoefektivitātes paaugstināšanas atzinumu 464,98 </t>
    </r>
    <r>
      <rPr>
        <i/>
        <sz val="12"/>
        <color theme="1"/>
        <rFont val="Times New Roman"/>
        <family val="1"/>
        <charset val="186"/>
      </rPr>
      <t>euro</t>
    </r>
    <r>
      <rPr>
        <sz val="12"/>
        <color theme="1"/>
        <rFont val="Times New Roman"/>
        <family val="1"/>
        <charset val="186"/>
      </rPr>
      <t xml:space="preserve"> gadā * 0.2444 (iznomātās platības koeficients) = 113,64 </t>
    </r>
    <r>
      <rPr>
        <i/>
        <sz val="12"/>
        <color theme="1"/>
        <rFont val="Times New Roman"/>
        <family val="1"/>
        <charset val="186"/>
      </rPr>
      <t>euro</t>
    </r>
    <r>
      <rPr>
        <sz val="12"/>
        <color theme="1"/>
        <rFont val="Times New Roman"/>
        <family val="1"/>
        <charset val="186"/>
      </rPr>
      <t>.</t>
    </r>
  </si>
  <si>
    <r>
      <t xml:space="preserve">Izdevumi par atkritumu izvešanu 23 680,95 </t>
    </r>
    <r>
      <rPr>
        <i/>
        <sz val="12"/>
        <color theme="1"/>
        <rFont val="Times New Roman"/>
        <family val="1"/>
        <charset val="186"/>
      </rPr>
      <t>euro</t>
    </r>
    <r>
      <rPr>
        <sz val="12"/>
        <color theme="1"/>
        <rFont val="Times New Roman"/>
        <family val="1"/>
        <charset val="186"/>
      </rPr>
      <t xml:space="preserve"> gadā * 0.2444 (iznomātās platības koeficients) = 5 787,62 </t>
    </r>
    <r>
      <rPr>
        <i/>
        <sz val="12"/>
        <color theme="1"/>
        <rFont val="Times New Roman"/>
        <family val="1"/>
        <charset val="186"/>
      </rPr>
      <t>euro.</t>
    </r>
  </si>
  <si>
    <r>
      <t xml:space="preserve">Izdevumi par ūdeni un kanalizāciju 52 111,24 </t>
    </r>
    <r>
      <rPr>
        <i/>
        <sz val="12"/>
        <color theme="1"/>
        <rFont val="Times New Roman"/>
        <family val="1"/>
        <charset val="186"/>
      </rPr>
      <t>euro</t>
    </r>
    <r>
      <rPr>
        <sz val="12"/>
        <color theme="1"/>
        <rFont val="Times New Roman"/>
        <family val="1"/>
        <charset val="186"/>
      </rPr>
      <t xml:space="preserve"> gadā * 0.2444 (iznomātās platības koeficients) = 12 735,99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</si>
  <si>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166.92 (vid. d. stundu sk. mēnesī). Vid. mēn. noslogojums 6.26 stundas, (8,14 </t>
    </r>
    <r>
      <rPr>
        <i/>
        <sz val="12"/>
        <color theme="1"/>
        <rFont val="Times New Roman"/>
        <family val="1"/>
        <charset val="186"/>
      </rPr>
      <t>euro</t>
    </r>
    <r>
      <rPr>
        <sz val="12"/>
        <color theme="1"/>
        <rFont val="Times New Roman"/>
        <family val="1"/>
        <charset val="186"/>
      </rPr>
      <t xml:space="preserve"> * 6.26 h) = 50,96 </t>
    </r>
    <r>
      <rPr>
        <i/>
        <sz val="12"/>
        <color theme="1"/>
        <rFont val="Times New Roman"/>
        <family val="1"/>
        <charset val="186"/>
      </rPr>
      <t>euro</t>
    </r>
    <r>
      <rPr>
        <sz val="12"/>
        <color theme="1"/>
        <rFont val="Times New Roman"/>
        <family val="1"/>
        <charset val="186"/>
      </rPr>
      <t xml:space="preserve">/mēn. * 12 mēn. = 611,52 </t>
    </r>
    <r>
      <rPr>
        <i/>
        <sz val="12"/>
        <color theme="1"/>
        <rFont val="Times New Roman"/>
        <family val="1"/>
        <charset val="186"/>
      </rPr>
      <t>euro</t>
    </r>
    <r>
      <rPr>
        <sz val="12"/>
        <color theme="1"/>
        <rFont val="Times New Roman"/>
        <family val="1"/>
        <charset val="186"/>
      </rPr>
      <t xml:space="preserve"> * 0.2444 (iznomātās platības koeficients) = 149,46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</si>
  <si>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142.54 stundas, (8,14 </t>
    </r>
    <r>
      <rPr>
        <i/>
        <sz val="12"/>
        <color theme="1"/>
        <rFont val="Times New Roman"/>
        <family val="1"/>
        <charset val="186"/>
      </rPr>
      <t>euro</t>
    </r>
    <r>
      <rPr>
        <sz val="12"/>
        <color theme="1"/>
        <rFont val="Times New Roman"/>
        <family val="1"/>
        <charset val="186"/>
      </rPr>
      <t xml:space="preserve"> * 142.54 h) = 1 160,28 </t>
    </r>
    <r>
      <rPr>
        <i/>
        <sz val="12"/>
        <color theme="1"/>
        <rFont val="Times New Roman"/>
        <family val="1"/>
        <charset val="186"/>
      </rPr>
      <t>euro</t>
    </r>
    <r>
      <rPr>
        <sz val="12"/>
        <color theme="1"/>
        <rFont val="Times New Roman"/>
        <family val="1"/>
        <charset val="186"/>
      </rPr>
      <t xml:space="preserve">/mēn.  * 12 mēn. = 13 923,36 </t>
    </r>
    <r>
      <rPr>
        <i/>
        <sz val="12"/>
        <color theme="1"/>
        <rFont val="Times New Roman"/>
        <family val="1"/>
        <charset val="186"/>
      </rPr>
      <t>euro</t>
    </r>
    <r>
      <rPr>
        <sz val="12"/>
        <color theme="1"/>
        <rFont val="Times New Roman"/>
        <family val="1"/>
        <charset val="186"/>
      </rPr>
      <t xml:space="preserve"> * 0.2444 (iznomātās platības koeficients) = 3 402,87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</si>
  <si>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10.44 stundas, (5,37 </t>
    </r>
    <r>
      <rPr>
        <i/>
        <sz val="12"/>
        <color theme="1"/>
        <rFont val="Times New Roman"/>
        <family val="1"/>
        <charset val="186"/>
      </rPr>
      <t>euro</t>
    </r>
    <r>
      <rPr>
        <sz val="12"/>
        <color theme="1"/>
        <rFont val="Times New Roman"/>
        <family val="1"/>
        <charset val="186"/>
      </rPr>
      <t xml:space="preserve"> * 10.44 h) = 56,06 </t>
    </r>
    <r>
      <rPr>
        <i/>
        <sz val="12"/>
        <color theme="1"/>
        <rFont val="Times New Roman"/>
        <family val="1"/>
        <charset val="186"/>
      </rPr>
      <t>euro</t>
    </r>
    <r>
      <rPr>
        <sz val="12"/>
        <color theme="1"/>
        <rFont val="Times New Roman"/>
        <family val="1"/>
        <charset val="186"/>
      </rPr>
      <t xml:space="preserve">/mēn. * 12 mēn. = 672,72 </t>
    </r>
    <r>
      <rPr>
        <i/>
        <sz val="12"/>
        <color theme="1"/>
        <rFont val="Times New Roman"/>
        <family val="1"/>
        <charset val="186"/>
      </rPr>
      <t>euro</t>
    </r>
    <r>
      <rPr>
        <sz val="12"/>
        <color theme="1"/>
        <rFont val="Times New Roman"/>
        <family val="1"/>
        <charset val="186"/>
      </rPr>
      <t xml:space="preserve"> * 0.2444 (iznomātās platības koeficients) = 164,41 </t>
    </r>
    <r>
      <rPr>
        <i/>
        <sz val="12"/>
        <color theme="1"/>
        <rFont val="Times New Roman"/>
        <family val="1"/>
        <charset val="186"/>
      </rPr>
      <t>euro</t>
    </r>
    <r>
      <rPr>
        <sz val="12"/>
        <color theme="1"/>
        <rFont val="Times New Roman"/>
        <family val="1"/>
        <charset val="186"/>
      </rPr>
      <t xml:space="preserve">. </t>
    </r>
  </si>
  <si>
    <r>
      <t xml:space="preserve">Galv. nekust. īpaš. pārvaldnieks (149,46 </t>
    </r>
    <r>
      <rPr>
        <i/>
        <sz val="12"/>
        <color theme="1"/>
        <rFont val="Times New Roman"/>
        <family val="1"/>
        <charset val="186"/>
      </rPr>
      <t>euro</t>
    </r>
    <r>
      <rPr>
        <sz val="12"/>
        <color theme="1"/>
        <rFont val="Times New Roman"/>
        <family val="1"/>
        <charset val="186"/>
      </rPr>
      <t xml:space="preserve"> * 10%) = 14,95 </t>
    </r>
    <r>
      <rPr>
        <i/>
        <sz val="12"/>
        <color theme="1"/>
        <rFont val="Times New Roman"/>
        <family val="1"/>
        <charset val="186"/>
      </rPr>
      <t>euro</t>
    </r>
    <r>
      <rPr>
        <sz val="12"/>
        <color theme="1"/>
        <rFont val="Times New Roman"/>
        <family val="1"/>
        <charset val="186"/>
      </rPr>
      <t xml:space="preserve">, Dienesta viesnīcas vadīotājs (3 402,87 </t>
    </r>
    <r>
      <rPr>
        <i/>
        <sz val="12"/>
        <color theme="1"/>
        <rFont val="Times New Roman"/>
        <family val="1"/>
        <charset val="186"/>
      </rPr>
      <t>euro</t>
    </r>
    <r>
      <rPr>
        <sz val="12"/>
        <color theme="1"/>
        <rFont val="Times New Roman"/>
        <family val="1"/>
        <charset val="186"/>
      </rPr>
      <t xml:space="preserve"> * 10%) = 340,29 </t>
    </r>
    <r>
      <rPr>
        <i/>
        <sz val="12"/>
        <color theme="1"/>
        <rFont val="Times New Roman"/>
        <family val="1"/>
        <charset val="186"/>
      </rPr>
      <t>euro</t>
    </r>
    <r>
      <rPr>
        <sz val="12"/>
        <color theme="1"/>
        <rFont val="Times New Roman"/>
        <family val="1"/>
        <charset val="186"/>
      </rPr>
      <t xml:space="preserve">. Saimniecības pārzinis (164,41 </t>
    </r>
    <r>
      <rPr>
        <i/>
        <sz val="12"/>
        <color theme="1"/>
        <rFont val="Times New Roman"/>
        <family val="1"/>
        <charset val="186"/>
      </rPr>
      <t>euro</t>
    </r>
    <r>
      <rPr>
        <sz val="12"/>
        <color theme="1"/>
        <rFont val="Times New Roman"/>
        <family val="1"/>
        <charset val="186"/>
      </rPr>
      <t xml:space="preserve"> * 10%) = 16,44 </t>
    </r>
    <r>
      <rPr>
        <i/>
        <sz val="12"/>
        <color theme="1"/>
        <rFont val="Times New Roman"/>
        <family val="1"/>
        <charset val="186"/>
      </rPr>
      <t>euro.</t>
    </r>
    <r>
      <rPr>
        <sz val="12"/>
        <color theme="1"/>
        <rFont val="Times New Roman"/>
        <family val="1"/>
        <charset val="186"/>
      </rPr>
      <t xml:space="preserve"> Kopā (14,95 </t>
    </r>
    <r>
      <rPr>
        <i/>
        <sz val="12"/>
        <color theme="1"/>
        <rFont val="Times New Roman"/>
        <family val="1"/>
        <charset val="186"/>
      </rPr>
      <t>euro</t>
    </r>
    <r>
      <rPr>
        <sz val="12"/>
        <color theme="1"/>
        <rFont val="Times New Roman"/>
        <family val="1"/>
        <charset val="186"/>
      </rPr>
      <t xml:space="preserve"> + 340,29 </t>
    </r>
    <r>
      <rPr>
        <i/>
        <sz val="12"/>
        <color theme="1"/>
        <rFont val="Times New Roman"/>
        <family val="1"/>
        <charset val="186"/>
      </rPr>
      <t>euro</t>
    </r>
    <r>
      <rPr>
        <sz val="12"/>
        <color theme="1"/>
        <rFont val="Times New Roman"/>
        <family val="1"/>
        <charset val="186"/>
      </rPr>
      <t xml:space="preserve"> + 16,44 </t>
    </r>
    <r>
      <rPr>
        <i/>
        <sz val="12"/>
        <color theme="1"/>
        <rFont val="Times New Roman"/>
        <family val="1"/>
        <charset val="186"/>
      </rPr>
      <t>euro</t>
    </r>
    <r>
      <rPr>
        <sz val="12"/>
        <color theme="1"/>
        <rFont val="Times New Roman"/>
        <family val="1"/>
        <charset val="186"/>
      </rPr>
      <t xml:space="preserve">) = 371,67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</si>
  <si>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4 088,41 </t>
    </r>
    <r>
      <rPr>
        <i/>
        <sz val="12"/>
        <color theme="1"/>
        <rFont val="Times New Roman"/>
        <family val="1"/>
        <charset val="186"/>
      </rPr>
      <t>euro</t>
    </r>
    <r>
      <rPr>
        <sz val="12"/>
        <color theme="1"/>
        <rFont val="Times New Roman"/>
        <family val="1"/>
        <charset val="186"/>
      </rPr>
      <t xml:space="preserve"> * 23,59 % = 964,46 </t>
    </r>
    <r>
      <rPr>
        <i/>
        <sz val="12"/>
        <color theme="1"/>
        <rFont val="Times New Roman"/>
        <family val="1"/>
        <charset val="186"/>
      </rPr>
      <t xml:space="preserve">euro. </t>
    </r>
  </si>
  <si>
    <r>
      <t xml:space="preserve">Darba devēja valsts sociālās apdrošināšanas obligātās iemaksas 964,46 </t>
    </r>
    <r>
      <rPr>
        <i/>
        <sz val="12"/>
        <color theme="1"/>
        <rFont val="Times New Roman"/>
        <family val="1"/>
        <charset val="186"/>
      </rPr>
      <t>euro</t>
    </r>
    <r>
      <rPr>
        <sz val="12"/>
        <color theme="1"/>
        <rFont val="Times New Roman"/>
        <family val="1"/>
        <charset val="186"/>
      </rPr>
      <t xml:space="preserve">. Veselības apdrošināšana 185,83 </t>
    </r>
    <r>
      <rPr>
        <i/>
        <sz val="12"/>
        <color theme="1"/>
        <rFont val="Times New Roman"/>
        <family val="1"/>
        <charset val="186"/>
      </rPr>
      <t>euro</t>
    </r>
    <r>
      <rPr>
        <sz val="12"/>
        <color theme="1"/>
        <rFont val="Times New Roman"/>
        <family val="1"/>
        <charset val="186"/>
      </rPr>
      <t xml:space="preserve">. Kopā 1 150,29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</si>
  <si>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1.91 stundas, (11,24 </t>
    </r>
    <r>
      <rPr>
        <i/>
        <sz val="12"/>
        <color theme="1"/>
        <rFont val="Times New Roman"/>
        <family val="1"/>
        <charset val="186"/>
      </rPr>
      <t>euro</t>
    </r>
    <r>
      <rPr>
        <sz val="12"/>
        <color theme="1"/>
        <rFont val="Times New Roman"/>
        <family val="1"/>
        <charset val="186"/>
      </rPr>
      <t xml:space="preserve"> * 1.91 h) = 21,47 </t>
    </r>
    <r>
      <rPr>
        <i/>
        <sz val="12"/>
        <color theme="1"/>
        <rFont val="Times New Roman"/>
        <family val="1"/>
        <charset val="186"/>
      </rPr>
      <t>euro</t>
    </r>
    <r>
      <rPr>
        <sz val="12"/>
        <color theme="1"/>
        <rFont val="Times New Roman"/>
        <family val="1"/>
        <charset val="186"/>
      </rPr>
      <t xml:space="preserve">/mēn. * 12. mēn. = 257,64 </t>
    </r>
    <r>
      <rPr>
        <i/>
        <sz val="12"/>
        <color theme="1"/>
        <rFont val="Times New Roman"/>
        <family val="1"/>
        <charset val="186"/>
      </rPr>
      <t>euro</t>
    </r>
    <r>
      <rPr>
        <sz val="12"/>
        <color theme="1"/>
        <rFont val="Times New Roman"/>
        <family val="1"/>
        <charset val="186"/>
      </rPr>
      <t xml:space="preserve"> * 0.2444 (iznomātās platības koeficients) = 62,97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</si>
  <si>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1.87 stundas, (7,58 </t>
    </r>
    <r>
      <rPr>
        <i/>
        <sz val="12"/>
        <color theme="1"/>
        <rFont val="Times New Roman"/>
        <family val="1"/>
        <charset val="186"/>
      </rPr>
      <t>euro</t>
    </r>
    <r>
      <rPr>
        <sz val="12"/>
        <color theme="1"/>
        <rFont val="Times New Roman"/>
        <family val="1"/>
        <charset val="186"/>
      </rPr>
      <t xml:space="preserve"> * 1.87 h) = 14,17 </t>
    </r>
    <r>
      <rPr>
        <i/>
        <sz val="12"/>
        <color theme="1"/>
        <rFont val="Times New Roman"/>
        <family val="1"/>
        <charset val="186"/>
      </rPr>
      <t>euro</t>
    </r>
    <r>
      <rPr>
        <sz val="12"/>
        <color theme="1"/>
        <rFont val="Times New Roman"/>
        <family val="1"/>
        <charset val="186"/>
      </rPr>
      <t xml:space="preserve">/mēn. * 12. mēn. = 170,04 </t>
    </r>
    <r>
      <rPr>
        <i/>
        <sz val="12"/>
        <color theme="1"/>
        <rFont val="Times New Roman"/>
        <family val="1"/>
        <charset val="186"/>
      </rPr>
      <t>euro</t>
    </r>
    <r>
      <rPr>
        <sz val="12"/>
        <color theme="1"/>
        <rFont val="Times New Roman"/>
        <family val="1"/>
        <charset val="186"/>
      </rPr>
      <t xml:space="preserve"> * 0.2444 (iznomātās platības koeficients) = 41,56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</si>
  <si>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1.83 stundas, (11,22 </t>
    </r>
    <r>
      <rPr>
        <i/>
        <sz val="12"/>
        <color theme="1"/>
        <rFont val="Times New Roman"/>
        <family val="1"/>
        <charset val="186"/>
      </rPr>
      <t>euro</t>
    </r>
    <r>
      <rPr>
        <sz val="12"/>
        <color theme="1"/>
        <rFont val="Times New Roman"/>
        <family val="1"/>
        <charset val="186"/>
      </rPr>
      <t xml:space="preserve"> * 1.83 h) = 20,53 </t>
    </r>
    <r>
      <rPr>
        <i/>
        <sz val="12"/>
        <color theme="1"/>
        <rFont val="Times New Roman"/>
        <family val="1"/>
        <charset val="186"/>
      </rPr>
      <t>euro</t>
    </r>
    <r>
      <rPr>
        <sz val="12"/>
        <color theme="1"/>
        <rFont val="Times New Roman"/>
        <family val="1"/>
        <charset val="186"/>
      </rPr>
      <t xml:space="preserve">/mēn. * 12. mēn. = 246,36 </t>
    </r>
    <r>
      <rPr>
        <i/>
        <sz val="12"/>
        <color theme="1"/>
        <rFont val="Times New Roman"/>
        <family val="1"/>
        <charset val="186"/>
      </rPr>
      <t>euro</t>
    </r>
    <r>
      <rPr>
        <sz val="12"/>
        <color theme="1"/>
        <rFont val="Times New Roman"/>
        <family val="1"/>
        <charset val="186"/>
      </rPr>
      <t xml:space="preserve"> * 0.2444 (iznomātās platības koeficients) = 60,21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</si>
  <si>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2.06 stundas, (15,03 </t>
    </r>
    <r>
      <rPr>
        <i/>
        <sz val="12"/>
        <color theme="1"/>
        <rFont val="Times New Roman"/>
        <family val="1"/>
        <charset val="186"/>
      </rPr>
      <t>euro</t>
    </r>
    <r>
      <rPr>
        <sz val="12"/>
        <color theme="1"/>
        <rFont val="Times New Roman"/>
        <family val="1"/>
        <charset val="186"/>
      </rPr>
      <t xml:space="preserve"> * 2.06 h) = 30,96 </t>
    </r>
    <r>
      <rPr>
        <i/>
        <sz val="12"/>
        <color theme="1"/>
        <rFont val="Times New Roman"/>
        <family val="1"/>
        <charset val="186"/>
      </rPr>
      <t>euro</t>
    </r>
    <r>
      <rPr>
        <sz val="12"/>
        <color theme="1"/>
        <rFont val="Times New Roman"/>
        <family val="1"/>
        <charset val="186"/>
      </rPr>
      <t xml:space="preserve">/mēn. * 12. mēn. = 371,52 </t>
    </r>
    <r>
      <rPr>
        <i/>
        <sz val="12"/>
        <color theme="1"/>
        <rFont val="Times New Roman"/>
        <family val="1"/>
        <charset val="186"/>
      </rPr>
      <t>euro</t>
    </r>
    <r>
      <rPr>
        <sz val="12"/>
        <color theme="1"/>
        <rFont val="Times New Roman"/>
        <family val="1"/>
        <charset val="186"/>
      </rPr>
      <t xml:space="preserve"> * 0.2444 (iznomātās platības koeficients) = 90,80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</si>
  <si>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7.2 stundas, (24,34 </t>
    </r>
    <r>
      <rPr>
        <i/>
        <sz val="12"/>
        <color theme="1"/>
        <rFont val="Times New Roman"/>
        <family val="1"/>
        <charset val="186"/>
      </rPr>
      <t>euro</t>
    </r>
    <r>
      <rPr>
        <sz val="12"/>
        <color theme="1"/>
        <rFont val="Times New Roman"/>
        <family val="1"/>
        <charset val="186"/>
      </rPr>
      <t xml:space="preserve"> * 7.2 h) = 175,25 </t>
    </r>
    <r>
      <rPr>
        <i/>
        <sz val="12"/>
        <color theme="1"/>
        <rFont val="Times New Roman"/>
        <family val="1"/>
        <charset val="186"/>
      </rPr>
      <t>euro</t>
    </r>
    <r>
      <rPr>
        <sz val="12"/>
        <color theme="1"/>
        <rFont val="Times New Roman"/>
        <family val="1"/>
        <charset val="186"/>
      </rPr>
      <t xml:space="preserve">/mēn. * 12. mēn. = 2 103,00 </t>
    </r>
    <r>
      <rPr>
        <i/>
        <sz val="12"/>
        <color theme="1"/>
        <rFont val="Times New Roman"/>
        <family val="1"/>
        <charset val="186"/>
      </rPr>
      <t>euro</t>
    </r>
    <r>
      <rPr>
        <sz val="12"/>
        <color theme="1"/>
        <rFont val="Times New Roman"/>
        <family val="1"/>
        <charset val="186"/>
      </rPr>
      <t xml:space="preserve"> * 0.2444 (iznomātās platības koeficients) = 513,97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</si>
  <si>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58.67 stundas, (8,22 </t>
    </r>
    <r>
      <rPr>
        <i/>
        <sz val="12"/>
        <color theme="1"/>
        <rFont val="Times New Roman"/>
        <family val="1"/>
        <charset val="186"/>
      </rPr>
      <t>euro</t>
    </r>
    <r>
      <rPr>
        <sz val="12"/>
        <color theme="1"/>
        <rFont val="Times New Roman"/>
        <family val="1"/>
        <charset val="186"/>
      </rPr>
      <t xml:space="preserve"> * 58.67 h) = 482,27 </t>
    </r>
    <r>
      <rPr>
        <i/>
        <sz val="12"/>
        <color theme="1"/>
        <rFont val="Times New Roman"/>
        <family val="1"/>
        <charset val="186"/>
      </rPr>
      <t>euro</t>
    </r>
    <r>
      <rPr>
        <sz val="12"/>
        <color theme="1"/>
        <rFont val="Times New Roman"/>
        <family val="1"/>
        <charset val="186"/>
      </rPr>
      <t xml:space="preserve">/mēn. * 12. mēn. = 5 787,24 </t>
    </r>
    <r>
      <rPr>
        <i/>
        <sz val="12"/>
        <color theme="1"/>
        <rFont val="Times New Roman"/>
        <family val="1"/>
        <charset val="186"/>
      </rPr>
      <t>euro</t>
    </r>
    <r>
      <rPr>
        <sz val="12"/>
        <color theme="1"/>
        <rFont val="Times New Roman"/>
        <family val="1"/>
        <charset val="186"/>
      </rPr>
      <t xml:space="preserve"> * 0.2444 (iznomātās platības koeficients) = 1 414,40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</si>
  <si>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1.65 stundas, (26,96 </t>
    </r>
    <r>
      <rPr>
        <i/>
        <sz val="12"/>
        <color theme="1"/>
        <rFont val="Times New Roman"/>
        <family val="1"/>
        <charset val="186"/>
      </rPr>
      <t>euro</t>
    </r>
    <r>
      <rPr>
        <sz val="12"/>
        <color theme="1"/>
        <rFont val="Times New Roman"/>
        <family val="1"/>
        <charset val="186"/>
      </rPr>
      <t xml:space="preserve"> * 1.65 h) = 44,48 </t>
    </r>
    <r>
      <rPr>
        <i/>
        <sz val="12"/>
        <color theme="1"/>
        <rFont val="Times New Roman"/>
        <family val="1"/>
        <charset val="186"/>
      </rPr>
      <t>euro</t>
    </r>
    <r>
      <rPr>
        <sz val="12"/>
        <color theme="1"/>
        <rFont val="Times New Roman"/>
        <family val="1"/>
        <charset val="186"/>
      </rPr>
      <t xml:space="preserve">/mēn. * 12. mēn. = 533,76 </t>
    </r>
    <r>
      <rPr>
        <i/>
        <sz val="12"/>
        <color theme="1"/>
        <rFont val="Times New Roman"/>
        <family val="1"/>
        <charset val="186"/>
      </rPr>
      <t>euro</t>
    </r>
    <r>
      <rPr>
        <sz val="12"/>
        <color theme="1"/>
        <rFont val="Times New Roman"/>
        <family val="1"/>
        <charset val="186"/>
      </rPr>
      <t xml:space="preserve"> * 0.2444 (iznomātās platības koeficients) = 130,45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</si>
  <si>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9.23 stunda, (8,22 </t>
    </r>
    <r>
      <rPr>
        <i/>
        <sz val="12"/>
        <color theme="1"/>
        <rFont val="Times New Roman"/>
        <family val="1"/>
        <charset val="186"/>
      </rPr>
      <t>euro</t>
    </r>
    <r>
      <rPr>
        <sz val="12"/>
        <color theme="1"/>
        <rFont val="Times New Roman"/>
        <family val="1"/>
        <charset val="186"/>
      </rPr>
      <t xml:space="preserve"> * 9.23 h) = 75,87 </t>
    </r>
    <r>
      <rPr>
        <i/>
        <sz val="12"/>
        <color theme="1"/>
        <rFont val="Times New Roman"/>
        <family val="1"/>
        <charset val="186"/>
      </rPr>
      <t>euro</t>
    </r>
    <r>
      <rPr>
        <sz val="12"/>
        <color theme="1"/>
        <rFont val="Times New Roman"/>
        <family val="1"/>
        <charset val="186"/>
      </rPr>
      <t xml:space="preserve">/mēn. * 12. mēn. = 910,44 </t>
    </r>
    <r>
      <rPr>
        <i/>
        <sz val="12"/>
        <color theme="1"/>
        <rFont val="Times New Roman"/>
        <family val="1"/>
        <charset val="186"/>
      </rPr>
      <t>euro</t>
    </r>
    <r>
      <rPr>
        <sz val="12"/>
        <color theme="1"/>
        <rFont val="Times New Roman"/>
        <family val="1"/>
        <charset val="186"/>
      </rPr>
      <t xml:space="preserve"> * 0.2444 (iznomātās platības koeficients) = 222,51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</si>
  <si>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1.66 stundas, (12,07 </t>
    </r>
    <r>
      <rPr>
        <i/>
        <sz val="12"/>
        <color theme="1"/>
        <rFont val="Times New Roman"/>
        <family val="1"/>
        <charset val="186"/>
      </rPr>
      <t>euro</t>
    </r>
    <r>
      <rPr>
        <sz val="12"/>
        <color theme="1"/>
        <rFont val="Times New Roman"/>
        <family val="1"/>
        <charset val="186"/>
      </rPr>
      <t xml:space="preserve"> * 1.66 h) = 20,04 </t>
    </r>
    <r>
      <rPr>
        <i/>
        <sz val="12"/>
        <color theme="1"/>
        <rFont val="Times New Roman"/>
        <family val="1"/>
        <charset val="186"/>
      </rPr>
      <t>euro</t>
    </r>
    <r>
      <rPr>
        <sz val="12"/>
        <color theme="1"/>
        <rFont val="Times New Roman"/>
        <family val="1"/>
        <charset val="186"/>
      </rPr>
      <t xml:space="preserve">/mēn. * 12. mēn. = 240,48 </t>
    </r>
    <r>
      <rPr>
        <i/>
        <sz val="12"/>
        <color theme="1"/>
        <rFont val="Times New Roman"/>
        <family val="1"/>
        <charset val="186"/>
      </rPr>
      <t>euro</t>
    </r>
    <r>
      <rPr>
        <sz val="12"/>
        <color theme="1"/>
        <rFont val="Times New Roman"/>
        <family val="1"/>
        <charset val="186"/>
      </rPr>
      <t xml:space="preserve"> * 0.2444 (iznomātās platības koeficients) = 58,77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</si>
  <si>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3 493,08 </t>
    </r>
    <r>
      <rPr>
        <i/>
        <sz val="12"/>
        <color theme="1"/>
        <rFont val="Times New Roman"/>
        <family val="1"/>
        <charset val="186"/>
      </rPr>
      <t>euro</t>
    </r>
    <r>
      <rPr>
        <sz val="12"/>
        <color theme="1"/>
        <rFont val="Times New Roman"/>
        <family val="1"/>
        <charset val="186"/>
      </rPr>
      <t xml:space="preserve"> * 23,59 % = 824,02 </t>
    </r>
    <r>
      <rPr>
        <i/>
        <sz val="12"/>
        <color theme="1"/>
        <rFont val="Times New Roman"/>
        <family val="1"/>
        <charset val="186"/>
      </rPr>
      <t>euro</t>
    </r>
    <r>
      <rPr>
        <sz val="12"/>
        <color theme="1"/>
        <rFont val="Times New Roman"/>
        <family val="1"/>
        <charset val="186"/>
      </rPr>
      <t>.</t>
    </r>
  </si>
  <si>
    <r>
      <rPr>
        <b/>
        <i/>
        <sz val="12"/>
        <color theme="1"/>
        <rFont val="Times New Roman"/>
        <family val="1"/>
        <charset val="186"/>
      </rPr>
      <t>euro</t>
    </r>
    <r>
      <rPr>
        <b/>
        <sz val="12"/>
        <color theme="1"/>
        <rFont val="Times New Roman"/>
        <family val="1"/>
        <charset val="186"/>
      </rPr>
      <t>, mēnesī par papildvietu</t>
    </r>
  </si>
  <si>
    <r>
      <t xml:space="preserve">Pamatlīdzekļu amortizācija 492,88 </t>
    </r>
    <r>
      <rPr>
        <i/>
        <sz val="12"/>
        <color theme="1"/>
        <rFont val="Times New Roman"/>
        <family val="1"/>
        <charset val="186"/>
      </rPr>
      <t>euro</t>
    </r>
    <r>
      <rPr>
        <sz val="12"/>
        <color theme="1"/>
        <rFont val="Times New Roman"/>
        <family val="1"/>
        <charset val="186"/>
      </rPr>
      <t xml:space="preserve"> gadā * 0.0026 (iznomātās platības koeficients) = 1,28 </t>
    </r>
    <r>
      <rPr>
        <i/>
        <sz val="12"/>
        <color theme="1"/>
        <rFont val="Times New Roman"/>
        <family val="1"/>
        <charset val="186"/>
      </rPr>
      <t>euro</t>
    </r>
    <r>
      <rPr>
        <sz val="12"/>
        <color theme="1"/>
        <rFont val="Times New Roman"/>
        <family val="1"/>
        <charset val="186"/>
      </rPr>
      <t>.</t>
    </r>
  </si>
  <si>
    <r>
      <t xml:space="preserve">Pamatlīdzekļu amortizācija 4 439,23 </t>
    </r>
    <r>
      <rPr>
        <i/>
        <sz val="12"/>
        <color theme="1"/>
        <rFont val="Times New Roman"/>
        <family val="1"/>
        <charset val="186"/>
      </rPr>
      <t>euro</t>
    </r>
    <r>
      <rPr>
        <sz val="12"/>
        <color theme="1"/>
        <rFont val="Times New Roman"/>
        <family val="1"/>
        <charset val="186"/>
      </rPr>
      <t xml:space="preserve"> gadā * 0.0026 (iznomātās platības koeficients) = 11,54 </t>
    </r>
    <r>
      <rPr>
        <i/>
        <sz val="12"/>
        <color theme="1"/>
        <rFont val="Times New Roman"/>
        <family val="1"/>
        <charset val="186"/>
      </rPr>
      <t>euro</t>
    </r>
    <r>
      <rPr>
        <sz val="12"/>
        <color theme="1"/>
        <rFont val="Times New Roman"/>
        <family val="1"/>
        <charset val="186"/>
      </rPr>
      <t>.</t>
    </r>
  </si>
  <si>
    <r>
      <t xml:space="preserve">Ēku amortizācija 6 565,16 </t>
    </r>
    <r>
      <rPr>
        <i/>
        <sz val="12"/>
        <color theme="1"/>
        <rFont val="Times New Roman"/>
        <family val="1"/>
        <charset val="186"/>
      </rPr>
      <t>euro</t>
    </r>
    <r>
      <rPr>
        <sz val="12"/>
        <color theme="1"/>
        <rFont val="Times New Roman"/>
        <family val="1"/>
        <charset val="186"/>
      </rPr>
      <t xml:space="preserve"> gadā * 0.0026 (iznomātās platības koeficients) = 17,07 </t>
    </r>
    <r>
      <rPr>
        <i/>
        <sz val="12"/>
        <color theme="1"/>
        <rFont val="Times New Roman"/>
        <family val="1"/>
        <charset val="186"/>
      </rPr>
      <t>euro.</t>
    </r>
  </si>
  <si>
    <r>
      <t xml:space="preserve">Saimniecības inventāra un materiālu (izlietnes krāni, dušas krāni, dušas pievadi, aizkari, podu vāki, u.c. higiēnas, saimniecības preces) iegādes izdevumi 905,02 </t>
    </r>
    <r>
      <rPr>
        <i/>
        <sz val="12"/>
        <color theme="1"/>
        <rFont val="Times New Roman"/>
        <family val="1"/>
        <charset val="186"/>
      </rPr>
      <t>euro</t>
    </r>
    <r>
      <rPr>
        <sz val="12"/>
        <color theme="1"/>
        <rFont val="Times New Roman"/>
        <family val="1"/>
        <charset val="186"/>
      </rPr>
      <t xml:space="preserve"> gadā * 0.0026 (iznomātās platības koeficients) = 2,35 </t>
    </r>
    <r>
      <rPr>
        <i/>
        <sz val="12"/>
        <color theme="1"/>
        <rFont val="Times New Roman"/>
        <family val="1"/>
        <charset val="186"/>
      </rPr>
      <t>euro</t>
    </r>
    <r>
      <rPr>
        <sz val="12"/>
        <color theme="1"/>
        <rFont val="Times New Roman"/>
        <family val="1"/>
        <charset val="186"/>
      </rPr>
      <t>.</t>
    </r>
  </si>
  <si>
    <r>
      <t xml:space="preserve">Inventāra iegādes izdevumi 607,49 </t>
    </r>
    <r>
      <rPr>
        <i/>
        <sz val="12"/>
        <color theme="1"/>
        <rFont val="Times New Roman"/>
        <family val="1"/>
        <charset val="186"/>
      </rPr>
      <t>euro</t>
    </r>
    <r>
      <rPr>
        <sz val="12"/>
        <color theme="1"/>
        <rFont val="Times New Roman"/>
        <family val="1"/>
        <charset val="186"/>
      </rPr>
      <t xml:space="preserve"> gadā * 0.0026 (iznomātās platības koeficients) = 1,58 </t>
    </r>
    <r>
      <rPr>
        <i/>
        <sz val="12"/>
        <color theme="1"/>
        <rFont val="Times New Roman"/>
        <family val="1"/>
        <charset val="186"/>
      </rPr>
      <t>euro</t>
    </r>
    <r>
      <rPr>
        <sz val="12"/>
        <color theme="1"/>
        <rFont val="Times New Roman"/>
        <family val="1"/>
        <charset val="186"/>
      </rPr>
      <t>.</t>
    </r>
  </si>
  <si>
    <r>
      <t xml:space="preserve">Biotualetes noma gadā 121,00 </t>
    </r>
    <r>
      <rPr>
        <i/>
        <sz val="12"/>
        <color theme="1"/>
        <rFont val="Times New Roman"/>
        <family val="1"/>
        <charset val="186"/>
      </rPr>
      <t>euro</t>
    </r>
    <r>
      <rPr>
        <sz val="12"/>
        <color theme="1"/>
        <rFont val="Times New Roman"/>
        <family val="1"/>
        <charset val="186"/>
      </rPr>
      <t xml:space="preserve"> * 0.0026 (iznomātās platības koeficients) = 0,31 </t>
    </r>
    <r>
      <rPr>
        <i/>
        <sz val="12"/>
        <color theme="1"/>
        <rFont val="Times New Roman"/>
        <family val="1"/>
        <charset val="186"/>
      </rPr>
      <t>euro</t>
    </r>
    <r>
      <rPr>
        <sz val="12"/>
        <color theme="1"/>
        <rFont val="Times New Roman"/>
        <family val="1"/>
        <charset val="186"/>
      </rPr>
      <t>.</t>
    </r>
  </si>
  <si>
    <r>
      <t xml:space="preserve">Pārējie uzturēšanas izdevumi 1 602,25 </t>
    </r>
    <r>
      <rPr>
        <i/>
        <sz val="12"/>
        <color theme="1"/>
        <rFont val="Times New Roman"/>
        <family val="1"/>
        <charset val="186"/>
      </rPr>
      <t>euro</t>
    </r>
    <r>
      <rPr>
        <sz val="12"/>
        <color theme="1"/>
        <rFont val="Times New Roman"/>
        <family val="1"/>
        <charset val="186"/>
      </rPr>
      <t xml:space="preserve"> gadā * 0.0026 (iznomātās platības koeficients) = 4,17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</si>
  <si>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133 418,65 </t>
    </r>
    <r>
      <rPr>
        <i/>
        <sz val="12"/>
        <color theme="1"/>
        <rFont val="Times New Roman"/>
        <family val="1"/>
        <charset val="186"/>
      </rPr>
      <t>euro</t>
    </r>
    <r>
      <rPr>
        <sz val="12"/>
        <color theme="1"/>
        <rFont val="Times New Roman"/>
        <family val="1"/>
        <charset val="186"/>
      </rPr>
      <t xml:space="preserve"> gadā * 0.0026 (iznomātās platības koeficients) = 346,89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</si>
  <si>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1 715,08 </t>
    </r>
    <r>
      <rPr>
        <i/>
        <sz val="12"/>
        <color theme="1"/>
        <rFont val="Times New Roman"/>
        <family val="1"/>
        <charset val="186"/>
      </rPr>
      <t>euro</t>
    </r>
    <r>
      <rPr>
        <sz val="12"/>
        <color theme="1"/>
        <rFont val="Times New Roman"/>
        <family val="1"/>
        <charset val="186"/>
      </rPr>
      <t xml:space="preserve"> gadā * 0.0026 (iznomātās platības koeficients) = 4,46 </t>
    </r>
    <r>
      <rPr>
        <i/>
        <sz val="12"/>
        <color theme="1"/>
        <rFont val="Times New Roman"/>
        <family val="1"/>
        <charset val="186"/>
      </rPr>
      <t>euro</t>
    </r>
    <r>
      <rPr>
        <sz val="12"/>
        <color theme="1"/>
        <rFont val="Times New Roman"/>
        <family val="1"/>
        <charset val="186"/>
      </rPr>
      <t>.</t>
    </r>
  </si>
  <si>
    <r>
      <t xml:space="preserve">Izdevumi par energoefektivitātes paaugstināšanas atzinumu  464,98 </t>
    </r>
    <r>
      <rPr>
        <i/>
        <sz val="12"/>
        <color theme="1"/>
        <rFont val="Times New Roman"/>
        <family val="1"/>
        <charset val="186"/>
      </rPr>
      <t>euro</t>
    </r>
    <r>
      <rPr>
        <sz val="12"/>
        <color theme="1"/>
        <rFont val="Times New Roman"/>
        <family val="1"/>
        <charset val="186"/>
      </rPr>
      <t xml:space="preserve"> gadā * 0.0026 (iznomātās platības koeficients) = 1,21 </t>
    </r>
    <r>
      <rPr>
        <i/>
        <sz val="12"/>
        <color theme="1"/>
        <rFont val="Times New Roman"/>
        <family val="1"/>
        <charset val="186"/>
      </rPr>
      <t>euro</t>
    </r>
    <r>
      <rPr>
        <sz val="12"/>
        <color theme="1"/>
        <rFont val="Times New Roman"/>
        <family val="1"/>
        <charset val="186"/>
      </rPr>
      <t>.</t>
    </r>
  </si>
  <si>
    <r>
      <t xml:space="preserve">Izdevumi par atkritumu izvešanu 23 680,95 </t>
    </r>
    <r>
      <rPr>
        <i/>
        <sz val="12"/>
        <color theme="1"/>
        <rFont val="Times New Roman"/>
        <family val="1"/>
        <charset val="186"/>
      </rPr>
      <t>euro</t>
    </r>
    <r>
      <rPr>
        <sz val="12"/>
        <color theme="1"/>
        <rFont val="Times New Roman"/>
        <family val="1"/>
        <charset val="186"/>
      </rPr>
      <t xml:space="preserve"> gadā * 0.0026 (iznomātās platības koeficients) = 61,57 </t>
    </r>
    <r>
      <rPr>
        <i/>
        <sz val="12"/>
        <color theme="1"/>
        <rFont val="Times New Roman"/>
        <family val="1"/>
        <charset val="186"/>
      </rPr>
      <t>euro</t>
    </r>
    <r>
      <rPr>
        <sz val="12"/>
        <color theme="1"/>
        <rFont val="Times New Roman"/>
        <family val="1"/>
        <charset val="186"/>
      </rPr>
      <t>.</t>
    </r>
  </si>
  <si>
    <r>
      <t xml:space="preserve">Izdevumi par apkuri 48 868,00 </t>
    </r>
    <r>
      <rPr>
        <i/>
        <sz val="12"/>
        <color theme="1"/>
        <rFont val="Times New Roman"/>
        <family val="1"/>
        <charset val="186"/>
      </rPr>
      <t>euro</t>
    </r>
    <r>
      <rPr>
        <sz val="12"/>
        <color theme="1"/>
        <rFont val="Times New Roman"/>
        <family val="1"/>
        <charset val="186"/>
      </rPr>
      <t xml:space="preserve"> gadā * 0.0026 (iznomātās platības koeficients) = 127,06 </t>
    </r>
    <r>
      <rPr>
        <i/>
        <sz val="12"/>
        <color theme="1"/>
        <rFont val="Times New Roman"/>
        <family val="1"/>
        <charset val="186"/>
      </rPr>
      <t>euro</t>
    </r>
    <r>
      <rPr>
        <sz val="12"/>
        <color theme="1"/>
        <rFont val="Times New Roman"/>
        <family val="1"/>
        <charset val="186"/>
      </rPr>
      <t>.</t>
    </r>
  </si>
  <si>
    <r>
      <t xml:space="preserve">Izdevumi par ūdeni un kanalizāciju 52 111,24 </t>
    </r>
    <r>
      <rPr>
        <i/>
        <sz val="12"/>
        <color theme="1"/>
        <rFont val="Times New Roman"/>
        <family val="1"/>
        <charset val="186"/>
      </rPr>
      <t>euro</t>
    </r>
    <r>
      <rPr>
        <sz val="12"/>
        <color theme="1"/>
        <rFont val="Times New Roman"/>
        <family val="1"/>
        <charset val="186"/>
      </rPr>
      <t xml:space="preserve"> gadā * 0.0026 (iznomātās platības koeficients) = 135,49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</si>
  <si>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6.26 stundas, (8,14 </t>
    </r>
    <r>
      <rPr>
        <i/>
        <sz val="12"/>
        <color theme="1"/>
        <rFont val="Times New Roman"/>
        <family val="1"/>
        <charset val="186"/>
      </rPr>
      <t>euro</t>
    </r>
    <r>
      <rPr>
        <sz val="12"/>
        <color theme="1"/>
        <rFont val="Times New Roman"/>
        <family val="1"/>
        <charset val="186"/>
      </rPr>
      <t xml:space="preserve"> * 6.26 h) = 50,96 </t>
    </r>
    <r>
      <rPr>
        <i/>
        <sz val="12"/>
        <color theme="1"/>
        <rFont val="Times New Roman"/>
        <family val="1"/>
        <charset val="186"/>
      </rPr>
      <t>euro</t>
    </r>
    <r>
      <rPr>
        <sz val="12"/>
        <color theme="1"/>
        <rFont val="Times New Roman"/>
        <family val="1"/>
        <charset val="186"/>
      </rPr>
      <t xml:space="preserve">/mēn. * 12 mēn. = 611,52 </t>
    </r>
    <r>
      <rPr>
        <i/>
        <sz val="12"/>
        <color theme="1"/>
        <rFont val="Times New Roman"/>
        <family val="1"/>
        <charset val="186"/>
      </rPr>
      <t>euro</t>
    </r>
    <r>
      <rPr>
        <sz val="12"/>
        <color theme="1"/>
        <rFont val="Times New Roman"/>
        <family val="1"/>
        <charset val="186"/>
      </rPr>
      <t xml:space="preserve"> * 0.0026 (iznomātās platības koeficients) = 1,59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</si>
  <si>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142.54 stundas, (8,14 </t>
    </r>
    <r>
      <rPr>
        <i/>
        <sz val="12"/>
        <color theme="1"/>
        <rFont val="Times New Roman"/>
        <family val="1"/>
        <charset val="186"/>
      </rPr>
      <t>euro</t>
    </r>
    <r>
      <rPr>
        <sz val="12"/>
        <color theme="1"/>
        <rFont val="Times New Roman"/>
        <family val="1"/>
        <charset val="186"/>
      </rPr>
      <t xml:space="preserve"> * 142.54 h) = 1 160,28 </t>
    </r>
    <r>
      <rPr>
        <i/>
        <sz val="12"/>
        <color theme="1"/>
        <rFont val="Times New Roman"/>
        <family val="1"/>
        <charset val="186"/>
      </rPr>
      <t>euro</t>
    </r>
    <r>
      <rPr>
        <sz val="12"/>
        <color theme="1"/>
        <rFont val="Times New Roman"/>
        <family val="1"/>
        <charset val="186"/>
      </rPr>
      <t xml:space="preserve">/mēn.  * 12 mēn. = 13 923,36 </t>
    </r>
    <r>
      <rPr>
        <i/>
        <sz val="12"/>
        <color theme="1"/>
        <rFont val="Times New Roman"/>
        <family val="1"/>
        <charset val="186"/>
      </rPr>
      <t>euro</t>
    </r>
    <r>
      <rPr>
        <sz val="12"/>
        <color theme="1"/>
        <rFont val="Times New Roman"/>
        <family val="1"/>
        <charset val="186"/>
      </rPr>
      <t xml:space="preserve"> * 0.0026 (iznomātās platības koeficients) = 36,20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</si>
  <si>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1.91 stundas, (11,24 </t>
    </r>
    <r>
      <rPr>
        <i/>
        <sz val="12"/>
        <color theme="1"/>
        <rFont val="Times New Roman"/>
        <family val="1"/>
        <charset val="186"/>
      </rPr>
      <t>euro</t>
    </r>
    <r>
      <rPr>
        <sz val="12"/>
        <color theme="1"/>
        <rFont val="Times New Roman"/>
        <family val="1"/>
        <charset val="186"/>
      </rPr>
      <t xml:space="preserve"> * 1.91 h) = 21,47 </t>
    </r>
    <r>
      <rPr>
        <i/>
        <sz val="12"/>
        <color theme="1"/>
        <rFont val="Times New Roman"/>
        <family val="1"/>
        <charset val="186"/>
      </rPr>
      <t>euro</t>
    </r>
    <r>
      <rPr>
        <sz val="12"/>
        <color theme="1"/>
        <rFont val="Times New Roman"/>
        <family val="1"/>
        <charset val="186"/>
      </rPr>
      <t xml:space="preserve">/mēn. * 12. mēn. = 257,64 </t>
    </r>
    <r>
      <rPr>
        <i/>
        <sz val="12"/>
        <color theme="1"/>
        <rFont val="Times New Roman"/>
        <family val="1"/>
        <charset val="186"/>
      </rPr>
      <t>euro</t>
    </r>
    <r>
      <rPr>
        <sz val="12"/>
        <color theme="1"/>
        <rFont val="Times New Roman"/>
        <family val="1"/>
        <charset val="186"/>
      </rPr>
      <t xml:space="preserve"> * 0.0026 (iznomātās platības koeficients) = 0,67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</si>
  <si>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1.87 stundas, (7,58 </t>
    </r>
    <r>
      <rPr>
        <i/>
        <sz val="12"/>
        <color theme="1"/>
        <rFont val="Times New Roman"/>
        <family val="1"/>
        <charset val="186"/>
      </rPr>
      <t>euro</t>
    </r>
    <r>
      <rPr>
        <sz val="12"/>
        <color theme="1"/>
        <rFont val="Times New Roman"/>
        <family val="1"/>
        <charset val="186"/>
      </rPr>
      <t xml:space="preserve"> * 1.87 h) = 14,17 </t>
    </r>
    <r>
      <rPr>
        <i/>
        <sz val="12"/>
        <color theme="1"/>
        <rFont val="Times New Roman"/>
        <family val="1"/>
        <charset val="186"/>
      </rPr>
      <t>euro</t>
    </r>
    <r>
      <rPr>
        <sz val="12"/>
        <color theme="1"/>
        <rFont val="Times New Roman"/>
        <family val="1"/>
        <charset val="186"/>
      </rPr>
      <t xml:space="preserve">/mēn. * 12. mēn. = 170,04 </t>
    </r>
    <r>
      <rPr>
        <i/>
        <sz val="12"/>
        <color theme="1"/>
        <rFont val="Times New Roman"/>
        <family val="1"/>
        <charset val="186"/>
      </rPr>
      <t>euro</t>
    </r>
    <r>
      <rPr>
        <sz val="12"/>
        <color theme="1"/>
        <rFont val="Times New Roman"/>
        <family val="1"/>
        <charset val="186"/>
      </rPr>
      <t xml:space="preserve"> * 0.0026 (iznomātās platības koeficients) = 0,44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</si>
  <si>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1.83 stundas, (11,22 </t>
    </r>
    <r>
      <rPr>
        <i/>
        <sz val="12"/>
        <color theme="1"/>
        <rFont val="Times New Roman"/>
        <family val="1"/>
        <charset val="186"/>
      </rPr>
      <t>euro</t>
    </r>
    <r>
      <rPr>
        <sz val="12"/>
        <color theme="1"/>
        <rFont val="Times New Roman"/>
        <family val="1"/>
        <charset val="186"/>
      </rPr>
      <t xml:space="preserve"> * 1.83 h) = 20,53 </t>
    </r>
    <r>
      <rPr>
        <i/>
        <sz val="12"/>
        <color theme="1"/>
        <rFont val="Times New Roman"/>
        <family val="1"/>
        <charset val="186"/>
      </rPr>
      <t>euro</t>
    </r>
    <r>
      <rPr>
        <sz val="12"/>
        <color theme="1"/>
        <rFont val="Times New Roman"/>
        <family val="1"/>
        <charset val="186"/>
      </rPr>
      <t xml:space="preserve">/mēn. * 12. mēn. = 246,36 </t>
    </r>
    <r>
      <rPr>
        <i/>
        <sz val="12"/>
        <color theme="1"/>
        <rFont val="Times New Roman"/>
        <family val="1"/>
        <charset val="186"/>
      </rPr>
      <t>euro</t>
    </r>
    <r>
      <rPr>
        <sz val="12"/>
        <color theme="1"/>
        <rFont val="Times New Roman"/>
        <family val="1"/>
        <charset val="186"/>
      </rPr>
      <t xml:space="preserve"> * 0.0026 (iznomātās platības koeficients) = 0,64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</si>
  <si>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2.06 stundas, (15,03 </t>
    </r>
    <r>
      <rPr>
        <i/>
        <sz val="12"/>
        <color theme="1"/>
        <rFont val="Times New Roman"/>
        <family val="1"/>
        <charset val="186"/>
      </rPr>
      <t>euro</t>
    </r>
    <r>
      <rPr>
        <sz val="12"/>
        <color theme="1"/>
        <rFont val="Times New Roman"/>
        <family val="1"/>
        <charset val="186"/>
      </rPr>
      <t xml:space="preserve"> * 2.06 h) = 30,96 </t>
    </r>
    <r>
      <rPr>
        <i/>
        <sz val="12"/>
        <color theme="1"/>
        <rFont val="Times New Roman"/>
        <family val="1"/>
        <charset val="186"/>
      </rPr>
      <t>euro</t>
    </r>
    <r>
      <rPr>
        <sz val="12"/>
        <color theme="1"/>
        <rFont val="Times New Roman"/>
        <family val="1"/>
        <charset val="186"/>
      </rPr>
      <t xml:space="preserve">/mēn. * 12. mēn. = 371,52 </t>
    </r>
    <r>
      <rPr>
        <i/>
        <sz val="12"/>
        <color theme="1"/>
        <rFont val="Times New Roman"/>
        <family val="1"/>
        <charset val="186"/>
      </rPr>
      <t>euro</t>
    </r>
    <r>
      <rPr>
        <sz val="12"/>
        <color theme="1"/>
        <rFont val="Times New Roman"/>
        <family val="1"/>
        <charset val="186"/>
      </rPr>
      <t xml:space="preserve"> * 0.0026 (iznomātās platības koeficients) = 0,97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</si>
  <si>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1.66 stundas, (12,07 </t>
    </r>
    <r>
      <rPr>
        <i/>
        <sz val="12"/>
        <color theme="1"/>
        <rFont val="Times New Roman"/>
        <family val="1"/>
        <charset val="186"/>
      </rPr>
      <t>euro</t>
    </r>
    <r>
      <rPr>
        <sz val="12"/>
        <color theme="1"/>
        <rFont val="Times New Roman"/>
        <family val="1"/>
        <charset val="186"/>
      </rPr>
      <t xml:space="preserve"> * 1.66 h) = 20,04 </t>
    </r>
    <r>
      <rPr>
        <i/>
        <sz val="12"/>
        <color theme="1"/>
        <rFont val="Times New Roman"/>
        <family val="1"/>
        <charset val="186"/>
      </rPr>
      <t>euro</t>
    </r>
    <r>
      <rPr>
        <sz val="12"/>
        <color theme="1"/>
        <rFont val="Times New Roman"/>
        <family val="1"/>
        <charset val="186"/>
      </rPr>
      <t xml:space="preserve">/mēn. * 12. mēn. = 240,48 </t>
    </r>
    <r>
      <rPr>
        <i/>
        <sz val="12"/>
        <color theme="1"/>
        <rFont val="Times New Roman"/>
        <family val="1"/>
        <charset val="186"/>
      </rPr>
      <t>euro</t>
    </r>
    <r>
      <rPr>
        <sz val="12"/>
        <color theme="1"/>
        <rFont val="Times New Roman"/>
        <family val="1"/>
        <charset val="186"/>
      </rPr>
      <t xml:space="preserve"> * 0.0026 (iznomātās platības koeficients) = 0,63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</si>
  <si>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9.23 stunda, (8,22 </t>
    </r>
    <r>
      <rPr>
        <i/>
        <sz val="12"/>
        <color theme="1"/>
        <rFont val="Times New Roman"/>
        <family val="1"/>
        <charset val="186"/>
      </rPr>
      <t>euro</t>
    </r>
    <r>
      <rPr>
        <sz val="12"/>
        <color theme="1"/>
        <rFont val="Times New Roman"/>
        <family val="1"/>
        <charset val="186"/>
      </rPr>
      <t xml:space="preserve"> * 9.23 h) = 75,87 </t>
    </r>
    <r>
      <rPr>
        <i/>
        <sz val="12"/>
        <color theme="1"/>
        <rFont val="Times New Roman"/>
        <family val="1"/>
        <charset val="186"/>
      </rPr>
      <t>euro</t>
    </r>
    <r>
      <rPr>
        <sz val="12"/>
        <color theme="1"/>
        <rFont val="Times New Roman"/>
        <family val="1"/>
        <charset val="186"/>
      </rPr>
      <t xml:space="preserve">/mēn. * 12. mēn. = 910,44 </t>
    </r>
    <r>
      <rPr>
        <i/>
        <sz val="12"/>
        <color theme="1"/>
        <rFont val="Times New Roman"/>
        <family val="1"/>
        <charset val="186"/>
      </rPr>
      <t>euro</t>
    </r>
    <r>
      <rPr>
        <sz val="12"/>
        <color theme="1"/>
        <rFont val="Times New Roman"/>
        <family val="1"/>
        <charset val="186"/>
      </rPr>
      <t xml:space="preserve"> * 0.0026 (iznomātās platības koeficients) = 2,37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</si>
  <si>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33.59 stundas, (9,11 </t>
    </r>
    <r>
      <rPr>
        <i/>
        <sz val="12"/>
        <color theme="1"/>
        <rFont val="Times New Roman"/>
        <family val="1"/>
        <charset val="186"/>
      </rPr>
      <t>euro</t>
    </r>
    <r>
      <rPr>
        <sz val="12"/>
        <color theme="1"/>
        <rFont val="Times New Roman"/>
        <family val="1"/>
        <charset val="186"/>
      </rPr>
      <t xml:space="preserve"> * 33.59 h) = 306,00 </t>
    </r>
    <r>
      <rPr>
        <i/>
        <sz val="12"/>
        <color theme="1"/>
        <rFont val="Times New Roman"/>
        <family val="1"/>
        <charset val="186"/>
      </rPr>
      <t>euro</t>
    </r>
    <r>
      <rPr>
        <sz val="12"/>
        <color theme="1"/>
        <rFont val="Times New Roman"/>
        <family val="1"/>
        <charset val="186"/>
      </rPr>
      <t xml:space="preserve">/mēn. * 12. mēn. = 3 672,00 </t>
    </r>
    <r>
      <rPr>
        <i/>
        <sz val="12"/>
        <color theme="1"/>
        <rFont val="Times New Roman"/>
        <family val="1"/>
        <charset val="186"/>
      </rPr>
      <t>euro</t>
    </r>
    <r>
      <rPr>
        <sz val="12"/>
        <color theme="1"/>
        <rFont val="Times New Roman"/>
        <family val="1"/>
        <charset val="186"/>
      </rPr>
      <t xml:space="preserve"> * 0.0026 (iznomātās platības koeficients) = 9,55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</si>
  <si>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58.67 stundas, (8,22 </t>
    </r>
    <r>
      <rPr>
        <i/>
        <sz val="12"/>
        <color theme="1"/>
        <rFont val="Times New Roman"/>
        <family val="1"/>
        <charset val="186"/>
      </rPr>
      <t>euro</t>
    </r>
    <r>
      <rPr>
        <sz val="12"/>
        <color theme="1"/>
        <rFont val="Times New Roman"/>
        <family val="1"/>
        <charset val="186"/>
      </rPr>
      <t xml:space="preserve"> * 58.67 h) = 482,27 </t>
    </r>
    <r>
      <rPr>
        <i/>
        <sz val="12"/>
        <color theme="1"/>
        <rFont val="Times New Roman"/>
        <family val="1"/>
        <charset val="186"/>
      </rPr>
      <t>euro</t>
    </r>
    <r>
      <rPr>
        <sz val="12"/>
        <color theme="1"/>
        <rFont val="Times New Roman"/>
        <family val="1"/>
        <charset val="186"/>
      </rPr>
      <t xml:space="preserve">/mēn. * 12. mēn. = 5 787,24 </t>
    </r>
    <r>
      <rPr>
        <i/>
        <sz val="12"/>
        <color theme="1"/>
        <rFont val="Times New Roman"/>
        <family val="1"/>
        <charset val="186"/>
      </rPr>
      <t>euro</t>
    </r>
    <r>
      <rPr>
        <sz val="12"/>
        <color theme="1"/>
        <rFont val="Times New Roman"/>
        <family val="1"/>
        <charset val="186"/>
      </rPr>
      <t xml:space="preserve"> * 0.0026 (iznomātās platības koeficients) = 15,05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</si>
  <si>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7.2 stundas, (24,34 </t>
    </r>
    <r>
      <rPr>
        <i/>
        <sz val="12"/>
        <color theme="1"/>
        <rFont val="Times New Roman"/>
        <family val="1"/>
        <charset val="186"/>
      </rPr>
      <t>euro</t>
    </r>
    <r>
      <rPr>
        <sz val="12"/>
        <color theme="1"/>
        <rFont val="Times New Roman"/>
        <family val="1"/>
        <charset val="186"/>
      </rPr>
      <t xml:space="preserve"> * 7.2 h) = 175,25 </t>
    </r>
    <r>
      <rPr>
        <i/>
        <sz val="12"/>
        <color theme="1"/>
        <rFont val="Times New Roman"/>
        <family val="1"/>
        <charset val="186"/>
      </rPr>
      <t>euro</t>
    </r>
    <r>
      <rPr>
        <sz val="12"/>
        <color theme="1"/>
        <rFont val="Times New Roman"/>
        <family val="1"/>
        <charset val="186"/>
      </rPr>
      <t xml:space="preserve">/mēn. * 12. mēn. = 2 103,00 </t>
    </r>
    <r>
      <rPr>
        <i/>
        <sz val="12"/>
        <color theme="1"/>
        <rFont val="Times New Roman"/>
        <family val="1"/>
        <charset val="186"/>
      </rPr>
      <t>euro</t>
    </r>
    <r>
      <rPr>
        <sz val="12"/>
        <color theme="1"/>
        <rFont val="Times New Roman"/>
        <family val="1"/>
        <charset val="186"/>
      </rPr>
      <t xml:space="preserve"> * 0.0026 (iznomātās platības koeficients) = 5,47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</si>
  <si>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1.65 stundas, (26,96 </t>
    </r>
    <r>
      <rPr>
        <i/>
        <sz val="12"/>
        <color theme="1"/>
        <rFont val="Times New Roman"/>
        <family val="1"/>
        <charset val="186"/>
      </rPr>
      <t>euro</t>
    </r>
    <r>
      <rPr>
        <sz val="12"/>
        <color theme="1"/>
        <rFont val="Times New Roman"/>
        <family val="1"/>
        <charset val="186"/>
      </rPr>
      <t xml:space="preserve"> * 1.65 h) = 44,48 </t>
    </r>
    <r>
      <rPr>
        <i/>
        <sz val="12"/>
        <color theme="1"/>
        <rFont val="Times New Roman"/>
        <family val="1"/>
        <charset val="186"/>
      </rPr>
      <t>euro</t>
    </r>
    <r>
      <rPr>
        <sz val="12"/>
        <color theme="1"/>
        <rFont val="Times New Roman"/>
        <family val="1"/>
        <charset val="186"/>
      </rPr>
      <t xml:space="preserve">/mēn. * 12. mēn. = 533,76 euro * 0.0026 (iznomātās platības koeficients) = 1,39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</si>
  <si>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37,18 </t>
    </r>
    <r>
      <rPr>
        <i/>
        <sz val="12"/>
        <color theme="1"/>
        <rFont val="Times New Roman"/>
        <family val="1"/>
        <charset val="186"/>
      </rPr>
      <t>euro</t>
    </r>
    <r>
      <rPr>
        <sz val="12"/>
        <color theme="1"/>
        <rFont val="Times New Roman"/>
        <family val="1"/>
        <charset val="186"/>
      </rPr>
      <t xml:space="preserve"> * 23,59 % = 8,77 </t>
    </r>
    <r>
      <rPr>
        <i/>
        <sz val="12"/>
        <color theme="1"/>
        <rFont val="Times New Roman"/>
        <family val="1"/>
        <charset val="186"/>
      </rPr>
      <t>euro</t>
    </r>
    <r>
      <rPr>
        <sz val="12"/>
        <color theme="1"/>
        <rFont val="Times New Roman"/>
        <family val="1"/>
        <charset val="186"/>
      </rPr>
      <t>.</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</si>
  <si>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10.44 stundas, (5,37 </t>
    </r>
    <r>
      <rPr>
        <i/>
        <sz val="12"/>
        <color theme="1"/>
        <rFont val="Times New Roman"/>
        <family val="1"/>
        <charset val="186"/>
      </rPr>
      <t>euro</t>
    </r>
    <r>
      <rPr>
        <sz val="12"/>
        <color theme="1"/>
        <rFont val="Times New Roman"/>
        <family val="1"/>
        <charset val="186"/>
      </rPr>
      <t xml:space="preserve"> * 10.44 h) = 56,06 </t>
    </r>
    <r>
      <rPr>
        <i/>
        <sz val="12"/>
        <color theme="1"/>
        <rFont val="Times New Roman"/>
        <family val="1"/>
        <charset val="186"/>
      </rPr>
      <t>euro</t>
    </r>
    <r>
      <rPr>
        <sz val="12"/>
        <color theme="1"/>
        <rFont val="Times New Roman"/>
        <family val="1"/>
        <charset val="186"/>
      </rPr>
      <t xml:space="preserve">/mēn. * 12 mēn. = 672,72 </t>
    </r>
    <r>
      <rPr>
        <i/>
        <sz val="12"/>
        <color theme="1"/>
        <rFont val="Times New Roman"/>
        <family val="1"/>
        <charset val="186"/>
      </rPr>
      <t>euro</t>
    </r>
    <r>
      <rPr>
        <sz val="12"/>
        <color theme="1"/>
        <rFont val="Times New Roman"/>
        <family val="1"/>
        <charset val="186"/>
      </rPr>
      <t xml:space="preserve"> * 0.0026 (iznomātās platības koeficients) = 1,75 </t>
    </r>
    <r>
      <rPr>
        <i/>
        <sz val="12"/>
        <color theme="1"/>
        <rFont val="Times New Roman"/>
        <family val="1"/>
        <charset val="186"/>
      </rPr>
      <t>euro</t>
    </r>
    <r>
      <rPr>
        <sz val="12"/>
        <color theme="1"/>
        <rFont val="Times New Roman"/>
        <family val="1"/>
        <charset val="186"/>
      </rPr>
      <t xml:space="preserve">. </t>
    </r>
  </si>
  <si>
    <r>
      <t xml:space="preserve">Pārējie uzturēšanas izdevumi 2 168,13 </t>
    </r>
    <r>
      <rPr>
        <i/>
        <sz val="12"/>
        <color theme="1"/>
        <rFont val="Times New Roman"/>
        <family val="1"/>
        <charset val="186"/>
      </rPr>
      <t>euro</t>
    </r>
    <r>
      <rPr>
        <sz val="12"/>
        <color theme="1"/>
        <rFont val="Times New Roman"/>
        <family val="1"/>
        <charset val="186"/>
      </rPr>
      <t xml:space="preserve"> gadā * 0.0026 (iznomātās platības koeficients) = 5,64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</si>
  <si>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10,26 </t>
    </r>
    <r>
      <rPr>
        <i/>
        <sz val="12"/>
        <color theme="1"/>
        <rFont val="Times New Roman"/>
        <family val="1"/>
        <charset val="186"/>
      </rPr>
      <t>euro</t>
    </r>
    <r>
      <rPr>
        <sz val="12"/>
        <color theme="1"/>
        <rFont val="Times New Roman"/>
        <family val="1"/>
        <charset val="186"/>
      </rPr>
      <t xml:space="preserve">. Veselības apdrošināšana 1,98 </t>
    </r>
    <r>
      <rPr>
        <i/>
        <sz val="12"/>
        <color theme="1"/>
        <rFont val="Times New Roman"/>
        <family val="1"/>
        <charset val="186"/>
      </rPr>
      <t>euro</t>
    </r>
    <r>
      <rPr>
        <sz val="12"/>
        <color theme="1"/>
        <rFont val="Times New Roman"/>
        <family val="1"/>
        <charset val="186"/>
      </rPr>
      <t xml:space="preserve">. Kopā 12,24 </t>
    </r>
    <r>
      <rPr>
        <i/>
        <sz val="12"/>
        <color theme="1"/>
        <rFont val="Times New Roman"/>
        <family val="1"/>
        <charset val="186"/>
      </rPr>
      <t>euro</t>
    </r>
    <r>
      <rPr>
        <sz val="12"/>
        <color theme="1"/>
        <rFont val="Times New Roman"/>
        <family val="1"/>
        <charset val="186"/>
      </rPr>
      <t>.</t>
    </r>
  </si>
  <si>
    <r>
      <t xml:space="preserve">Izdevumi par ūdeni un kanalizāciju 52 111,24 </t>
    </r>
    <r>
      <rPr>
        <i/>
        <sz val="12"/>
        <color theme="1"/>
        <rFont val="Times New Roman"/>
        <family val="1"/>
        <charset val="186"/>
      </rPr>
      <t>euro</t>
    </r>
    <r>
      <rPr>
        <sz val="12"/>
        <color theme="1"/>
        <rFont val="Times New Roman"/>
        <family val="1"/>
        <charset val="186"/>
      </rPr>
      <t xml:space="preserve"> gadā * 0.0117 (iznomātās platības koeficients) = 609,70 </t>
    </r>
    <r>
      <rPr>
        <i/>
        <sz val="12"/>
        <color theme="1"/>
        <rFont val="Times New Roman"/>
        <family val="1"/>
        <charset val="186"/>
      </rPr>
      <t>euro.</t>
    </r>
  </si>
  <si>
    <r>
      <t xml:space="preserve">Izdevumi par apkuri 48 868,00 </t>
    </r>
    <r>
      <rPr>
        <i/>
        <sz val="12"/>
        <color theme="1"/>
        <rFont val="Times New Roman"/>
        <family val="1"/>
        <charset val="186"/>
      </rPr>
      <t>euro</t>
    </r>
    <r>
      <rPr>
        <sz val="12"/>
        <color theme="1"/>
        <rFont val="Times New Roman"/>
        <family val="1"/>
        <charset val="186"/>
      </rPr>
      <t xml:space="preserve"> gadā * 0.0117 (iznomātās platības koeficients) = 571,76 </t>
    </r>
    <r>
      <rPr>
        <i/>
        <sz val="12"/>
        <color theme="1"/>
        <rFont val="Times New Roman"/>
        <family val="1"/>
        <charset val="186"/>
      </rPr>
      <t>euro.</t>
    </r>
  </si>
  <si>
    <r>
      <t xml:space="preserve">Izdevumi par atkritumu izvešanu 23 680,95 </t>
    </r>
    <r>
      <rPr>
        <i/>
        <sz val="12"/>
        <color theme="1"/>
        <rFont val="Times New Roman"/>
        <family val="1"/>
        <charset val="186"/>
      </rPr>
      <t>euro</t>
    </r>
    <r>
      <rPr>
        <sz val="12"/>
        <color theme="1"/>
        <rFont val="Times New Roman"/>
        <family val="1"/>
        <charset val="186"/>
      </rPr>
      <t xml:space="preserve"> gadā * 0.0117 (iznomātās platības koeficients) = 277,07 </t>
    </r>
    <r>
      <rPr>
        <i/>
        <sz val="12"/>
        <color theme="1"/>
        <rFont val="Times New Roman"/>
        <family val="1"/>
        <charset val="186"/>
      </rPr>
      <t>euro</t>
    </r>
    <r>
      <rPr>
        <sz val="12"/>
        <color theme="1"/>
        <rFont val="Times New Roman"/>
        <family val="1"/>
        <charset val="186"/>
      </rPr>
      <t>.</t>
    </r>
  </si>
  <si>
    <r>
      <t xml:space="preserve">Izdevumi par energoefektivitātes paaugstināšanas atzinumu  464,98 </t>
    </r>
    <r>
      <rPr>
        <i/>
        <sz val="12"/>
        <color theme="1"/>
        <rFont val="Times New Roman"/>
        <family val="1"/>
        <charset val="186"/>
      </rPr>
      <t>euro</t>
    </r>
    <r>
      <rPr>
        <sz val="12"/>
        <color theme="1"/>
        <rFont val="Times New Roman"/>
        <family val="1"/>
        <charset val="186"/>
      </rPr>
      <t xml:space="preserve"> gadā * 0.0117 (iznomātās platības koeficients) = 5,44 </t>
    </r>
    <r>
      <rPr>
        <i/>
        <sz val="12"/>
        <color theme="1"/>
        <rFont val="Times New Roman"/>
        <family val="1"/>
        <charset val="186"/>
      </rPr>
      <t>euro.</t>
    </r>
  </si>
  <si>
    <r>
      <t xml:space="preserve">Video novērošanas un apsardzes signalizācijas sistēmas tehniskā apkope, Ugunsdzēsības krānu, ūdensvada, sirēnu iekārtu un citu iekārtu apkope un remonts, evakuācijas plānu izstrāde, avāriju bojājumu novēršanas izdevumi 1 715,08 </t>
    </r>
    <r>
      <rPr>
        <i/>
        <sz val="12"/>
        <color theme="1"/>
        <rFont val="Times New Roman"/>
        <family val="1"/>
        <charset val="186"/>
      </rPr>
      <t>euro</t>
    </r>
    <r>
      <rPr>
        <sz val="12"/>
        <color theme="1"/>
        <rFont val="Times New Roman"/>
        <family val="1"/>
        <charset val="186"/>
      </rPr>
      <t xml:space="preserve"> gadā * 0.0117 (iznomātās platības koeficients) = 20,07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</si>
  <si>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133 418,65 </t>
    </r>
    <r>
      <rPr>
        <i/>
        <sz val="12"/>
        <color theme="1"/>
        <rFont val="Times New Roman"/>
        <family val="1"/>
        <charset val="186"/>
      </rPr>
      <t>euro</t>
    </r>
    <r>
      <rPr>
        <sz val="12"/>
        <color theme="1"/>
        <rFont val="Times New Roman"/>
        <family val="1"/>
        <charset val="186"/>
      </rPr>
      <t xml:space="preserve"> gadā * 0.0117 (iznomātās platības koeficients) = 1 561,00 </t>
    </r>
    <r>
      <rPr>
        <i/>
        <sz val="12"/>
        <color theme="1"/>
        <rFont val="Times New Roman"/>
        <family val="1"/>
        <charset val="186"/>
      </rPr>
      <t>euro</t>
    </r>
    <r>
      <rPr>
        <sz val="12"/>
        <color theme="1"/>
        <rFont val="Times New Roman"/>
        <family val="1"/>
        <charset val="186"/>
      </rPr>
      <t>.</t>
    </r>
  </si>
  <si>
    <r>
      <t xml:space="preserve">Pārējie uzturēšanas izdevumi 1 602,25 </t>
    </r>
    <r>
      <rPr>
        <i/>
        <sz val="12"/>
        <color theme="1"/>
        <rFont val="Times New Roman"/>
        <family val="1"/>
        <charset val="186"/>
      </rPr>
      <t>euro</t>
    </r>
    <r>
      <rPr>
        <sz val="12"/>
        <color theme="1"/>
        <rFont val="Times New Roman"/>
        <family val="1"/>
        <charset val="186"/>
      </rPr>
      <t xml:space="preserve"> gadā * 0.0117 (iznomātās platības koeficients) = 18,75 </t>
    </r>
    <r>
      <rPr>
        <i/>
        <sz val="12"/>
        <color theme="1"/>
        <rFont val="Times New Roman"/>
        <family val="1"/>
        <charset val="186"/>
      </rPr>
      <t>euro</t>
    </r>
    <r>
      <rPr>
        <sz val="12"/>
        <color theme="1"/>
        <rFont val="Times New Roman"/>
        <family val="1"/>
        <charset val="186"/>
      </rPr>
      <t>.</t>
    </r>
  </si>
  <si>
    <r>
      <t xml:space="preserve">Biotualetes noma gadā 121,00 </t>
    </r>
    <r>
      <rPr>
        <i/>
        <sz val="12"/>
        <color theme="1"/>
        <rFont val="Times New Roman"/>
        <family val="1"/>
        <charset val="186"/>
      </rPr>
      <t>euro</t>
    </r>
    <r>
      <rPr>
        <sz val="12"/>
        <color theme="1"/>
        <rFont val="Times New Roman"/>
        <family val="1"/>
        <charset val="186"/>
      </rPr>
      <t xml:space="preserve"> * 0.0117 (iznomātās platības koeficients) = 1,42 </t>
    </r>
    <r>
      <rPr>
        <i/>
        <sz val="12"/>
        <color theme="1"/>
        <rFont val="Times New Roman"/>
        <family val="1"/>
        <charset val="186"/>
      </rPr>
      <t>euro</t>
    </r>
    <r>
      <rPr>
        <sz val="12"/>
        <color theme="1"/>
        <rFont val="Times New Roman"/>
        <family val="1"/>
        <charset val="186"/>
      </rPr>
      <t>.</t>
    </r>
  </si>
  <si>
    <r>
      <t xml:space="preserve">Inventāra iegādes izdevumi 607,49 </t>
    </r>
    <r>
      <rPr>
        <i/>
        <sz val="12"/>
        <color theme="1"/>
        <rFont val="Times New Roman"/>
        <family val="1"/>
        <charset val="186"/>
      </rPr>
      <t>euro</t>
    </r>
    <r>
      <rPr>
        <sz val="12"/>
        <color theme="1"/>
        <rFont val="Times New Roman"/>
        <family val="1"/>
        <charset val="186"/>
      </rPr>
      <t xml:space="preserve"> gadā * 0.0117 (iznomātās platības koeficients) = 7,11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</si>
  <si>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podu vāki, u.c. higiēnas, saimniecības preces) iegādes izdevumi 905,02 </t>
    </r>
    <r>
      <rPr>
        <i/>
        <sz val="12"/>
        <color theme="1"/>
        <rFont val="Times New Roman"/>
        <family val="1"/>
        <charset val="186"/>
      </rPr>
      <t>euro</t>
    </r>
    <r>
      <rPr>
        <sz val="12"/>
        <color theme="1"/>
        <rFont val="Times New Roman"/>
        <family val="1"/>
        <charset val="186"/>
      </rPr>
      <t xml:space="preserve"> gadā * 0.0117 (iznomātās platības koeficients) = 10,59 </t>
    </r>
    <r>
      <rPr>
        <i/>
        <sz val="12"/>
        <color theme="1"/>
        <rFont val="Times New Roman"/>
        <family val="1"/>
        <charset val="186"/>
      </rPr>
      <t>euro</t>
    </r>
    <r>
      <rPr>
        <sz val="12"/>
        <color theme="1"/>
        <rFont val="Times New Roman"/>
        <family val="1"/>
        <charset val="186"/>
      </rPr>
      <t>.</t>
    </r>
  </si>
  <si>
    <r>
      <t xml:space="preserve">Nekustamā īpašuma nodoklis 10 541,01 </t>
    </r>
    <r>
      <rPr>
        <i/>
        <sz val="12"/>
        <color theme="1"/>
        <rFont val="Times New Roman"/>
        <family val="1"/>
        <charset val="186"/>
      </rPr>
      <t>euro</t>
    </r>
    <r>
      <rPr>
        <sz val="12"/>
        <color theme="1"/>
        <rFont val="Times New Roman"/>
        <family val="1"/>
        <charset val="186"/>
      </rPr>
      <t xml:space="preserve"> gadā * 0.0117 (iznomātās platības koeficients) = 123,33 </t>
    </r>
    <r>
      <rPr>
        <i/>
        <sz val="12"/>
        <color theme="1"/>
        <rFont val="Times New Roman"/>
        <family val="1"/>
        <charset val="186"/>
      </rPr>
      <t>euro</t>
    </r>
    <r>
      <rPr>
        <sz val="12"/>
        <color theme="1"/>
        <rFont val="Times New Roman"/>
        <family val="1"/>
        <charset val="186"/>
      </rPr>
      <t>.</t>
    </r>
  </si>
  <si>
    <r>
      <t xml:space="preserve">Ēku amortizācija 6 565,16 </t>
    </r>
    <r>
      <rPr>
        <i/>
        <sz val="12"/>
        <color theme="1"/>
        <rFont val="Times New Roman"/>
        <family val="1"/>
        <charset val="186"/>
      </rPr>
      <t>euro</t>
    </r>
    <r>
      <rPr>
        <sz val="12"/>
        <color theme="1"/>
        <rFont val="Times New Roman"/>
        <family val="1"/>
        <charset val="186"/>
      </rPr>
      <t xml:space="preserve"> gadā * 0.0117 (iznomātās platības koeficients) = 76,81 </t>
    </r>
    <r>
      <rPr>
        <i/>
        <sz val="12"/>
        <color theme="1"/>
        <rFont val="Times New Roman"/>
        <family val="1"/>
        <charset val="186"/>
      </rPr>
      <t>euro</t>
    </r>
    <r>
      <rPr>
        <sz val="12"/>
        <color theme="1"/>
        <rFont val="Times New Roman"/>
        <family val="1"/>
        <charset val="186"/>
      </rPr>
      <t>.</t>
    </r>
  </si>
  <si>
    <r>
      <t xml:space="preserve">Pamatlīdzekļu amortizācija 492,88 </t>
    </r>
    <r>
      <rPr>
        <i/>
        <sz val="12"/>
        <color theme="1"/>
        <rFont val="Times New Roman"/>
        <family val="1"/>
        <charset val="186"/>
      </rPr>
      <t>euro</t>
    </r>
    <r>
      <rPr>
        <sz val="12"/>
        <color theme="1"/>
        <rFont val="Times New Roman"/>
        <family val="1"/>
        <charset val="186"/>
      </rPr>
      <t xml:space="preserve"> gadā * 0.0117 (iznomātās platības koeficients) = 5,77 </t>
    </r>
    <r>
      <rPr>
        <i/>
        <sz val="12"/>
        <color theme="1"/>
        <rFont val="Times New Roman"/>
        <family val="1"/>
        <charset val="186"/>
      </rPr>
      <t>euro</t>
    </r>
    <r>
      <rPr>
        <sz val="12"/>
        <color theme="1"/>
        <rFont val="Times New Roman"/>
        <family val="1"/>
        <charset val="186"/>
      </rPr>
      <t>.</t>
    </r>
  </si>
  <si>
    <r>
      <t xml:space="preserve">Pārējie uzturēšanas izdevumi 2 168,13 </t>
    </r>
    <r>
      <rPr>
        <i/>
        <sz val="12"/>
        <color theme="1"/>
        <rFont val="Times New Roman"/>
        <family val="1"/>
        <charset val="186"/>
      </rPr>
      <t>euro</t>
    </r>
    <r>
      <rPr>
        <sz val="12"/>
        <color theme="1"/>
        <rFont val="Times New Roman"/>
        <family val="1"/>
        <charset val="186"/>
      </rPr>
      <t xml:space="preserve"> gadā * 0.0117 (iznomātās platības koeficients) = 25,37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</si>
  <si>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6.26 stundas, (8,14 </t>
    </r>
    <r>
      <rPr>
        <i/>
        <sz val="12"/>
        <color theme="1"/>
        <rFont val="Times New Roman"/>
        <family val="1"/>
        <charset val="186"/>
      </rPr>
      <t>euro</t>
    </r>
    <r>
      <rPr>
        <sz val="12"/>
        <color theme="1"/>
        <rFont val="Times New Roman"/>
        <family val="1"/>
        <charset val="186"/>
      </rPr>
      <t xml:space="preserve"> * 6.26 h) = 50,96 </t>
    </r>
    <r>
      <rPr>
        <i/>
        <sz val="12"/>
        <color theme="1"/>
        <rFont val="Times New Roman"/>
        <family val="1"/>
        <charset val="186"/>
      </rPr>
      <t>euro</t>
    </r>
    <r>
      <rPr>
        <sz val="12"/>
        <color theme="1"/>
        <rFont val="Times New Roman"/>
        <family val="1"/>
        <charset val="186"/>
      </rPr>
      <t xml:space="preserve">/mēn. * 12 mēn. = 611,52 </t>
    </r>
    <r>
      <rPr>
        <i/>
        <sz val="12"/>
        <color theme="1"/>
        <rFont val="Times New Roman"/>
        <family val="1"/>
        <charset val="186"/>
      </rPr>
      <t>euro</t>
    </r>
    <r>
      <rPr>
        <sz val="12"/>
        <color theme="1"/>
        <rFont val="Times New Roman"/>
        <family val="1"/>
        <charset val="186"/>
      </rPr>
      <t xml:space="preserve"> * 0.0117 (iznomātās platības koeficients) = 7,15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</si>
  <si>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142.54 stundas, (8,14 </t>
    </r>
    <r>
      <rPr>
        <i/>
        <sz val="12"/>
        <color theme="1"/>
        <rFont val="Times New Roman"/>
        <family val="1"/>
        <charset val="186"/>
      </rPr>
      <t>euro</t>
    </r>
    <r>
      <rPr>
        <sz val="12"/>
        <color theme="1"/>
        <rFont val="Times New Roman"/>
        <family val="1"/>
        <charset val="186"/>
      </rPr>
      <t xml:space="preserve"> * 142.54 h) = 1 160,28 </t>
    </r>
    <r>
      <rPr>
        <i/>
        <sz val="12"/>
        <color theme="1"/>
        <rFont val="Times New Roman"/>
        <family val="1"/>
        <charset val="186"/>
      </rPr>
      <t>euro</t>
    </r>
    <r>
      <rPr>
        <sz val="12"/>
        <color theme="1"/>
        <rFont val="Times New Roman"/>
        <family val="1"/>
        <charset val="186"/>
      </rPr>
      <t xml:space="preserve">/mēn.  * 12 mēn. = 13 923,36 </t>
    </r>
    <r>
      <rPr>
        <i/>
        <sz val="12"/>
        <color theme="1"/>
        <rFont val="Times New Roman"/>
        <family val="1"/>
        <charset val="186"/>
      </rPr>
      <t>euro</t>
    </r>
    <r>
      <rPr>
        <sz val="12"/>
        <color theme="1"/>
        <rFont val="Times New Roman"/>
        <family val="1"/>
        <charset val="186"/>
      </rPr>
      <t xml:space="preserve"> * 0.0117 (iznomātās platības koeficients) = 162,90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</si>
  <si>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10.44 stundas, (5,37 </t>
    </r>
    <r>
      <rPr>
        <i/>
        <sz val="12"/>
        <color theme="1"/>
        <rFont val="Times New Roman"/>
        <family val="1"/>
        <charset val="186"/>
      </rPr>
      <t>euro</t>
    </r>
    <r>
      <rPr>
        <sz val="12"/>
        <color theme="1"/>
        <rFont val="Times New Roman"/>
        <family val="1"/>
        <charset val="186"/>
      </rPr>
      <t xml:space="preserve"> * 10.44 h) = 56,06 </t>
    </r>
    <r>
      <rPr>
        <i/>
        <sz val="12"/>
        <color theme="1"/>
        <rFont val="Times New Roman"/>
        <family val="1"/>
        <charset val="186"/>
      </rPr>
      <t>euro</t>
    </r>
    <r>
      <rPr>
        <sz val="12"/>
        <color theme="1"/>
        <rFont val="Times New Roman"/>
        <family val="1"/>
        <charset val="186"/>
      </rPr>
      <t xml:space="preserve">/mēn. * 12 mēn. = 672,72 </t>
    </r>
    <r>
      <rPr>
        <i/>
        <sz val="12"/>
        <color theme="1"/>
        <rFont val="Times New Roman"/>
        <family val="1"/>
        <charset val="186"/>
      </rPr>
      <t>euro</t>
    </r>
    <r>
      <rPr>
        <sz val="12"/>
        <color theme="1"/>
        <rFont val="Times New Roman"/>
        <family val="1"/>
        <charset val="186"/>
      </rPr>
      <t xml:space="preserve"> * 0.0117 (iznomātās platības koeficients) = 7,87 </t>
    </r>
    <r>
      <rPr>
        <i/>
        <sz val="12"/>
        <color theme="1"/>
        <rFont val="Times New Roman"/>
        <family val="1"/>
        <charset val="186"/>
      </rPr>
      <t>euro</t>
    </r>
    <r>
      <rPr>
        <sz val="12"/>
        <color theme="1"/>
        <rFont val="Times New Roman"/>
        <family val="1"/>
        <charset val="186"/>
      </rPr>
      <t xml:space="preserve">. </t>
    </r>
  </si>
  <si>
    <r>
      <t xml:space="preserve">Galv. nekust. īpaš. pārvaldnieks (7,15 </t>
    </r>
    <r>
      <rPr>
        <i/>
        <sz val="12"/>
        <color theme="1"/>
        <rFont val="Times New Roman"/>
        <family val="1"/>
        <charset val="186"/>
      </rPr>
      <t>euro</t>
    </r>
    <r>
      <rPr>
        <sz val="12"/>
        <color theme="1"/>
        <rFont val="Times New Roman"/>
        <family val="1"/>
        <charset val="186"/>
      </rPr>
      <t xml:space="preserve"> * 10%) = 0,72 </t>
    </r>
    <r>
      <rPr>
        <i/>
        <sz val="12"/>
        <color theme="1"/>
        <rFont val="Times New Roman"/>
        <family val="1"/>
        <charset val="186"/>
      </rPr>
      <t>euro</t>
    </r>
    <r>
      <rPr>
        <sz val="12"/>
        <color theme="1"/>
        <rFont val="Times New Roman"/>
        <family val="1"/>
        <charset val="186"/>
      </rPr>
      <t xml:space="preserve">, Dienesta viesnīcas vadīotājs (162,90 </t>
    </r>
    <r>
      <rPr>
        <i/>
        <sz val="12"/>
        <color theme="1"/>
        <rFont val="Times New Roman"/>
        <family val="1"/>
        <charset val="186"/>
      </rPr>
      <t>euro</t>
    </r>
    <r>
      <rPr>
        <sz val="12"/>
        <color theme="1"/>
        <rFont val="Times New Roman"/>
        <family val="1"/>
        <charset val="186"/>
      </rPr>
      <t xml:space="preserve"> * 10%) = 16,29 </t>
    </r>
    <r>
      <rPr>
        <i/>
        <sz val="12"/>
        <color theme="1"/>
        <rFont val="Times New Roman"/>
        <family val="1"/>
        <charset val="186"/>
      </rPr>
      <t>euro</t>
    </r>
    <r>
      <rPr>
        <sz val="12"/>
        <color theme="1"/>
        <rFont val="Times New Roman"/>
        <family val="1"/>
        <charset val="186"/>
      </rPr>
      <t xml:space="preserve">. Saimniecības pārzinis (7,87 </t>
    </r>
    <r>
      <rPr>
        <i/>
        <sz val="12"/>
        <color theme="1"/>
        <rFont val="Times New Roman"/>
        <family val="1"/>
        <charset val="186"/>
      </rPr>
      <t>euro</t>
    </r>
    <r>
      <rPr>
        <sz val="12"/>
        <color theme="1"/>
        <rFont val="Times New Roman"/>
        <family val="1"/>
        <charset val="186"/>
      </rPr>
      <t xml:space="preserve"> * 10%) = 0,79 </t>
    </r>
    <r>
      <rPr>
        <i/>
        <sz val="12"/>
        <color theme="1"/>
        <rFont val="Times New Roman"/>
        <family val="1"/>
        <charset val="186"/>
      </rPr>
      <t>euro.</t>
    </r>
    <r>
      <rPr>
        <sz val="12"/>
        <color theme="1"/>
        <rFont val="Times New Roman"/>
        <family val="1"/>
        <charset val="186"/>
      </rPr>
      <t xml:space="preserve"> Kopā (0,72 </t>
    </r>
    <r>
      <rPr>
        <i/>
        <sz val="12"/>
        <color theme="1"/>
        <rFont val="Times New Roman"/>
        <family val="1"/>
        <charset val="186"/>
      </rPr>
      <t>euro</t>
    </r>
    <r>
      <rPr>
        <sz val="12"/>
        <color theme="1"/>
        <rFont val="Times New Roman"/>
        <family val="1"/>
        <charset val="186"/>
      </rPr>
      <t xml:space="preserve"> + 16,29 </t>
    </r>
    <r>
      <rPr>
        <i/>
        <sz val="12"/>
        <color theme="1"/>
        <rFont val="Times New Roman"/>
        <family val="1"/>
        <charset val="186"/>
      </rPr>
      <t>euro</t>
    </r>
    <r>
      <rPr>
        <sz val="12"/>
        <color theme="1"/>
        <rFont val="Times New Roman"/>
        <family val="1"/>
        <charset val="186"/>
      </rPr>
      <t xml:space="preserve"> + 0,79 </t>
    </r>
    <r>
      <rPr>
        <i/>
        <sz val="12"/>
        <color theme="1"/>
        <rFont val="Times New Roman"/>
        <family val="1"/>
        <charset val="186"/>
      </rPr>
      <t>euro</t>
    </r>
    <r>
      <rPr>
        <sz val="12"/>
        <color theme="1"/>
        <rFont val="Times New Roman"/>
        <family val="1"/>
        <charset val="186"/>
      </rPr>
      <t xml:space="preserve">) = 17,80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</si>
  <si>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1.91 stundas, (11,24 </t>
    </r>
    <r>
      <rPr>
        <i/>
        <sz val="12"/>
        <color theme="1"/>
        <rFont val="Times New Roman"/>
        <family val="1"/>
        <charset val="186"/>
      </rPr>
      <t>euro</t>
    </r>
    <r>
      <rPr>
        <sz val="12"/>
        <color theme="1"/>
        <rFont val="Times New Roman"/>
        <family val="1"/>
        <charset val="186"/>
      </rPr>
      <t xml:space="preserve"> * 1.91 h) = 21,47 </t>
    </r>
    <r>
      <rPr>
        <i/>
        <sz val="12"/>
        <color theme="1"/>
        <rFont val="Times New Roman"/>
        <family val="1"/>
        <charset val="186"/>
      </rPr>
      <t>euro</t>
    </r>
    <r>
      <rPr>
        <sz val="12"/>
        <color theme="1"/>
        <rFont val="Times New Roman"/>
        <family val="1"/>
        <charset val="186"/>
      </rPr>
      <t xml:space="preserve">/mēn. * 12. mēn. = 257,64 </t>
    </r>
    <r>
      <rPr>
        <i/>
        <sz val="12"/>
        <color theme="1"/>
        <rFont val="Times New Roman"/>
        <family val="1"/>
        <charset val="186"/>
      </rPr>
      <t>euro</t>
    </r>
    <r>
      <rPr>
        <sz val="12"/>
        <color theme="1"/>
        <rFont val="Times New Roman"/>
        <family val="1"/>
        <charset val="186"/>
      </rPr>
      <t xml:space="preserve"> * 0.0117 (iznomātās platības koeficients) = 3,01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</si>
  <si>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1.87 stundas, (7,58 </t>
    </r>
    <r>
      <rPr>
        <i/>
        <sz val="12"/>
        <color theme="1"/>
        <rFont val="Times New Roman"/>
        <family val="1"/>
        <charset val="186"/>
      </rPr>
      <t>euro</t>
    </r>
    <r>
      <rPr>
        <sz val="12"/>
        <color theme="1"/>
        <rFont val="Times New Roman"/>
        <family val="1"/>
        <charset val="186"/>
      </rPr>
      <t xml:space="preserve"> * 1.87 h) = 14,17 </t>
    </r>
    <r>
      <rPr>
        <i/>
        <sz val="12"/>
        <color theme="1"/>
        <rFont val="Times New Roman"/>
        <family val="1"/>
        <charset val="186"/>
      </rPr>
      <t>euro</t>
    </r>
    <r>
      <rPr>
        <sz val="12"/>
        <color theme="1"/>
        <rFont val="Times New Roman"/>
        <family val="1"/>
        <charset val="186"/>
      </rPr>
      <t xml:space="preserve">/mēn. * 12. mēn. = 170,04 </t>
    </r>
    <r>
      <rPr>
        <i/>
        <sz val="12"/>
        <color theme="1"/>
        <rFont val="Times New Roman"/>
        <family val="1"/>
        <charset val="186"/>
      </rPr>
      <t>euro</t>
    </r>
    <r>
      <rPr>
        <sz val="12"/>
        <color theme="1"/>
        <rFont val="Times New Roman"/>
        <family val="1"/>
        <charset val="186"/>
      </rPr>
      <t xml:space="preserve"> * 0.0117 (iznomātās platības koeficients) = 1,99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</si>
  <si>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1.83 stundas, (11,22 </t>
    </r>
    <r>
      <rPr>
        <i/>
        <sz val="12"/>
        <color theme="1"/>
        <rFont val="Times New Roman"/>
        <family val="1"/>
        <charset val="186"/>
      </rPr>
      <t>euro</t>
    </r>
    <r>
      <rPr>
        <sz val="12"/>
        <color theme="1"/>
        <rFont val="Times New Roman"/>
        <family val="1"/>
        <charset val="186"/>
      </rPr>
      <t xml:space="preserve"> * 1.83 h) = 20,53 </t>
    </r>
    <r>
      <rPr>
        <i/>
        <sz val="12"/>
        <color theme="1"/>
        <rFont val="Times New Roman"/>
        <family val="1"/>
        <charset val="186"/>
      </rPr>
      <t>euro</t>
    </r>
    <r>
      <rPr>
        <sz val="12"/>
        <color theme="1"/>
        <rFont val="Times New Roman"/>
        <family val="1"/>
        <charset val="186"/>
      </rPr>
      <t xml:space="preserve">/mēn. * 12. mēn. = 246,36 </t>
    </r>
    <r>
      <rPr>
        <i/>
        <sz val="12"/>
        <color theme="1"/>
        <rFont val="Times New Roman"/>
        <family val="1"/>
        <charset val="186"/>
      </rPr>
      <t>euro</t>
    </r>
    <r>
      <rPr>
        <sz val="12"/>
        <color theme="1"/>
        <rFont val="Times New Roman"/>
        <family val="1"/>
        <charset val="186"/>
      </rPr>
      <t xml:space="preserve"> * 0.0117 (iznomātās platības koeficients) = 2,88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</si>
  <si>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46,17 </t>
    </r>
    <r>
      <rPr>
        <i/>
        <sz val="12"/>
        <color theme="1"/>
        <rFont val="Times New Roman"/>
        <family val="1"/>
        <charset val="186"/>
      </rPr>
      <t>euro</t>
    </r>
    <r>
      <rPr>
        <sz val="12"/>
        <color theme="1"/>
        <rFont val="Times New Roman"/>
        <family val="1"/>
        <charset val="186"/>
      </rPr>
      <t xml:space="preserve">. Veselības apdrošināšana 8,90 </t>
    </r>
    <r>
      <rPr>
        <i/>
        <sz val="12"/>
        <color theme="1"/>
        <rFont val="Times New Roman"/>
        <family val="1"/>
        <charset val="186"/>
      </rPr>
      <t>euro</t>
    </r>
    <r>
      <rPr>
        <sz val="12"/>
        <color theme="1"/>
        <rFont val="Times New Roman"/>
        <family val="1"/>
        <charset val="186"/>
      </rPr>
      <t xml:space="preserve">. Kopā 55,07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</si>
  <si>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195,72 </t>
    </r>
    <r>
      <rPr>
        <i/>
        <sz val="12"/>
        <color theme="1"/>
        <rFont val="Times New Roman"/>
        <family val="1"/>
        <charset val="186"/>
      </rPr>
      <t>euro</t>
    </r>
    <r>
      <rPr>
        <sz val="12"/>
        <color theme="1"/>
        <rFont val="Times New Roman"/>
        <family val="1"/>
        <charset val="186"/>
      </rPr>
      <t xml:space="preserve"> * 23,59 % = 46,17 </t>
    </r>
    <r>
      <rPr>
        <i/>
        <sz val="12"/>
        <color theme="1"/>
        <rFont val="Times New Roman"/>
        <family val="1"/>
        <charset val="186"/>
      </rPr>
      <t xml:space="preserve">euro. </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</si>
  <si>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2.06 stundas, (15,03 </t>
    </r>
    <r>
      <rPr>
        <i/>
        <sz val="12"/>
        <color theme="1"/>
        <rFont val="Times New Roman"/>
        <family val="1"/>
        <charset val="186"/>
      </rPr>
      <t>euro</t>
    </r>
    <r>
      <rPr>
        <sz val="12"/>
        <color theme="1"/>
        <rFont val="Times New Roman"/>
        <family val="1"/>
        <charset val="186"/>
      </rPr>
      <t xml:space="preserve"> * 2.06 h) = 30,96 </t>
    </r>
    <r>
      <rPr>
        <i/>
        <sz val="12"/>
        <color theme="1"/>
        <rFont val="Times New Roman"/>
        <family val="1"/>
        <charset val="186"/>
      </rPr>
      <t>euro</t>
    </r>
    <r>
      <rPr>
        <sz val="12"/>
        <color theme="1"/>
        <rFont val="Times New Roman"/>
        <family val="1"/>
        <charset val="186"/>
      </rPr>
      <t xml:space="preserve">/mēn. * 12. mēn. = 371,52 </t>
    </r>
    <r>
      <rPr>
        <i/>
        <sz val="12"/>
        <color theme="1"/>
        <rFont val="Times New Roman"/>
        <family val="1"/>
        <charset val="186"/>
      </rPr>
      <t>euro</t>
    </r>
    <r>
      <rPr>
        <sz val="12"/>
        <color theme="1"/>
        <rFont val="Times New Roman"/>
        <family val="1"/>
        <charset val="186"/>
      </rPr>
      <t xml:space="preserve"> * 0.0117 (iznomātās platības koeficients) = 4,35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</si>
  <si>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euro = 2 015 euro / 166.92 (vid. d. stundu sk. mēnesī). Vid. mēn. noslogojums 1.66 stundas, (12,07 </t>
    </r>
    <r>
      <rPr>
        <i/>
        <sz val="12"/>
        <color theme="1"/>
        <rFont val="Times New Roman"/>
        <family val="1"/>
        <charset val="186"/>
      </rPr>
      <t>euro</t>
    </r>
    <r>
      <rPr>
        <sz val="12"/>
        <color theme="1"/>
        <rFont val="Times New Roman"/>
        <family val="1"/>
        <charset val="186"/>
      </rPr>
      <t xml:space="preserve"> * 1.66 h) = 20,04 </t>
    </r>
    <r>
      <rPr>
        <i/>
        <sz val="12"/>
        <color theme="1"/>
        <rFont val="Times New Roman"/>
        <family val="1"/>
        <charset val="186"/>
      </rPr>
      <t>euro</t>
    </r>
    <r>
      <rPr>
        <sz val="12"/>
        <color theme="1"/>
        <rFont val="Times New Roman"/>
        <family val="1"/>
        <charset val="186"/>
      </rPr>
      <t xml:space="preserve">/mēn. * 12. mēn. = 240,48 </t>
    </r>
    <r>
      <rPr>
        <i/>
        <sz val="12"/>
        <color theme="1"/>
        <rFont val="Times New Roman"/>
        <family val="1"/>
        <charset val="186"/>
      </rPr>
      <t>euro</t>
    </r>
    <r>
      <rPr>
        <sz val="12"/>
        <color theme="1"/>
        <rFont val="Times New Roman"/>
        <family val="1"/>
        <charset val="186"/>
      </rPr>
      <t xml:space="preserve"> * 0.0117 (iznomātās platības koeficients) = 2,81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</si>
  <si>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9.23 stunda, (8,22 </t>
    </r>
    <r>
      <rPr>
        <i/>
        <sz val="12"/>
        <color theme="1"/>
        <rFont val="Times New Roman"/>
        <family val="1"/>
        <charset val="186"/>
      </rPr>
      <t>euro</t>
    </r>
    <r>
      <rPr>
        <sz val="12"/>
        <color theme="1"/>
        <rFont val="Times New Roman"/>
        <family val="1"/>
        <charset val="186"/>
      </rPr>
      <t xml:space="preserve"> * 9.23 h) = 75,87 </t>
    </r>
    <r>
      <rPr>
        <i/>
        <sz val="12"/>
        <color theme="1"/>
        <rFont val="Times New Roman"/>
        <family val="1"/>
        <charset val="186"/>
      </rPr>
      <t>euro</t>
    </r>
    <r>
      <rPr>
        <sz val="12"/>
        <color theme="1"/>
        <rFont val="Times New Roman"/>
        <family val="1"/>
        <charset val="186"/>
      </rPr>
      <t xml:space="preserve">/mēn. * 12. mēn. = 910,44 </t>
    </r>
    <r>
      <rPr>
        <i/>
        <sz val="12"/>
        <color theme="1"/>
        <rFont val="Times New Roman"/>
        <family val="1"/>
        <charset val="186"/>
      </rPr>
      <t>euro</t>
    </r>
    <r>
      <rPr>
        <sz val="12"/>
        <color theme="1"/>
        <rFont val="Times New Roman"/>
        <family val="1"/>
        <charset val="186"/>
      </rPr>
      <t xml:space="preserve"> * 0.0117 (iznomātās platības koeficients) = 10,65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</si>
  <si>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58.67 stundas, (8,22 </t>
    </r>
    <r>
      <rPr>
        <i/>
        <sz val="12"/>
        <color theme="1"/>
        <rFont val="Times New Roman"/>
        <family val="1"/>
        <charset val="186"/>
      </rPr>
      <t>euro</t>
    </r>
    <r>
      <rPr>
        <sz val="12"/>
        <color theme="1"/>
        <rFont val="Times New Roman"/>
        <family val="1"/>
        <charset val="186"/>
      </rPr>
      <t xml:space="preserve"> * 58.67 h) = 482,27 </t>
    </r>
    <r>
      <rPr>
        <i/>
        <sz val="12"/>
        <color theme="1"/>
        <rFont val="Times New Roman"/>
        <family val="1"/>
        <charset val="186"/>
      </rPr>
      <t>euro</t>
    </r>
    <r>
      <rPr>
        <sz val="12"/>
        <color theme="1"/>
        <rFont val="Times New Roman"/>
        <family val="1"/>
        <charset val="186"/>
      </rPr>
      <t xml:space="preserve">/mēn. * 12. mēn. = 5 787,24 </t>
    </r>
    <r>
      <rPr>
        <i/>
        <sz val="12"/>
        <color theme="1"/>
        <rFont val="Times New Roman"/>
        <family val="1"/>
        <charset val="186"/>
      </rPr>
      <t>euro</t>
    </r>
    <r>
      <rPr>
        <sz val="12"/>
        <color theme="1"/>
        <rFont val="Times New Roman"/>
        <family val="1"/>
        <charset val="186"/>
      </rPr>
      <t xml:space="preserve"> * 0.0117 (iznomātās platības koeficients) = 67,71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</si>
  <si>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7.2 stundas, (24,34 </t>
    </r>
    <r>
      <rPr>
        <i/>
        <sz val="12"/>
        <color theme="1"/>
        <rFont val="Times New Roman"/>
        <family val="1"/>
        <charset val="186"/>
      </rPr>
      <t>euro</t>
    </r>
    <r>
      <rPr>
        <sz val="12"/>
        <color theme="1"/>
        <rFont val="Times New Roman"/>
        <family val="1"/>
        <charset val="186"/>
      </rPr>
      <t xml:space="preserve"> * 7.2 h) = 175,25 </t>
    </r>
    <r>
      <rPr>
        <i/>
        <sz val="12"/>
        <color theme="1"/>
        <rFont val="Times New Roman"/>
        <family val="1"/>
        <charset val="186"/>
      </rPr>
      <t>euro</t>
    </r>
    <r>
      <rPr>
        <sz val="12"/>
        <color theme="1"/>
        <rFont val="Times New Roman"/>
        <family val="1"/>
        <charset val="186"/>
      </rPr>
      <t xml:space="preserve">/mēn. * 12. mēn. = 2 103,00 </t>
    </r>
    <r>
      <rPr>
        <i/>
        <sz val="12"/>
        <color theme="1"/>
        <rFont val="Times New Roman"/>
        <family val="1"/>
        <charset val="186"/>
      </rPr>
      <t>euro</t>
    </r>
    <r>
      <rPr>
        <sz val="12"/>
        <color theme="1"/>
        <rFont val="Times New Roman"/>
        <family val="1"/>
        <charset val="186"/>
      </rPr>
      <t xml:space="preserve"> * 0.0117 (iznomātās platības koeficients) = 24,61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</si>
  <si>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1.65 stundas, (26,96 </t>
    </r>
    <r>
      <rPr>
        <i/>
        <sz val="12"/>
        <color theme="1"/>
        <rFont val="Times New Roman"/>
        <family val="1"/>
        <charset val="186"/>
      </rPr>
      <t>euro</t>
    </r>
    <r>
      <rPr>
        <sz val="12"/>
        <color theme="1"/>
        <rFont val="Times New Roman"/>
        <family val="1"/>
        <charset val="186"/>
      </rPr>
      <t xml:space="preserve"> * 1.65 h) = 44,48 </t>
    </r>
    <r>
      <rPr>
        <i/>
        <sz val="12"/>
        <color theme="1"/>
        <rFont val="Times New Roman"/>
        <family val="1"/>
        <charset val="186"/>
      </rPr>
      <t>euro</t>
    </r>
    <r>
      <rPr>
        <sz val="12"/>
        <color theme="1"/>
        <rFont val="Times New Roman"/>
        <family val="1"/>
        <charset val="186"/>
      </rPr>
      <t xml:space="preserve">/mēn. * 12. mēn. = 533,76 </t>
    </r>
    <r>
      <rPr>
        <i/>
        <sz val="12"/>
        <color theme="1"/>
        <rFont val="Times New Roman"/>
        <family val="1"/>
        <charset val="186"/>
      </rPr>
      <t>euro</t>
    </r>
    <r>
      <rPr>
        <sz val="12"/>
        <color theme="1"/>
        <rFont val="Times New Roman"/>
        <family val="1"/>
        <charset val="186"/>
      </rPr>
      <t xml:space="preserve"> * 0.0117 (iznomātās platības koeficients) = 6,24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</si>
  <si>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167,21 </t>
    </r>
    <r>
      <rPr>
        <i/>
        <sz val="12"/>
        <color theme="1"/>
        <rFont val="Times New Roman"/>
        <family val="1"/>
        <charset val="186"/>
      </rPr>
      <t>euro</t>
    </r>
    <r>
      <rPr>
        <sz val="12"/>
        <color theme="1"/>
        <rFont val="Times New Roman"/>
        <family val="1"/>
        <charset val="186"/>
      </rPr>
      <t xml:space="preserve"> * 23,59 % = 39,44 </t>
    </r>
    <r>
      <rPr>
        <i/>
        <sz val="12"/>
        <color theme="1"/>
        <rFont val="Times New Roman"/>
        <family val="1"/>
        <charset val="186"/>
      </rPr>
      <t>euro.</t>
    </r>
  </si>
  <si>
    <r>
      <t xml:space="preserve">Pamatlīdzekļu amortizācija 4 439,23 </t>
    </r>
    <r>
      <rPr>
        <i/>
        <sz val="12"/>
        <color theme="1"/>
        <rFont val="Times New Roman"/>
        <family val="1"/>
        <charset val="186"/>
      </rPr>
      <t>euro</t>
    </r>
    <r>
      <rPr>
        <sz val="12"/>
        <color theme="1"/>
        <rFont val="Times New Roman"/>
        <family val="1"/>
        <charset val="186"/>
      </rPr>
      <t xml:space="preserve"> gadā * 0.0117 (iznomātās platības koeficients) = 51,94 </t>
    </r>
    <r>
      <rPr>
        <i/>
        <sz val="12"/>
        <color theme="1"/>
        <rFont val="Times New Roman"/>
        <family val="1"/>
        <charset val="186"/>
      </rPr>
      <t>euro</t>
    </r>
    <r>
      <rPr>
        <sz val="12"/>
        <color theme="1"/>
        <rFont val="Times New Roman"/>
        <family val="1"/>
        <charset val="186"/>
      </rPr>
      <t>.</t>
    </r>
  </si>
  <si>
    <r>
      <rPr>
        <b/>
        <i/>
        <sz val="12"/>
        <color theme="1"/>
        <rFont val="Times New Roman"/>
        <family val="1"/>
        <charset val="186"/>
      </rPr>
      <t>euro</t>
    </r>
    <r>
      <rPr>
        <b/>
        <sz val="12"/>
        <color theme="1"/>
        <rFont val="Times New Roman"/>
        <family val="1"/>
        <charset val="186"/>
      </rPr>
      <t>,  mēnesī par gultasvietu</t>
    </r>
  </si>
  <si>
    <r>
      <t xml:space="preserve">Galv. nekust. īpaš. pārvaldnieks (7,15 </t>
    </r>
    <r>
      <rPr>
        <i/>
        <sz val="12"/>
        <color theme="1"/>
        <rFont val="Times New Roman"/>
        <family val="1"/>
        <charset val="186"/>
      </rPr>
      <t>euro</t>
    </r>
    <r>
      <rPr>
        <sz val="12"/>
        <color theme="1"/>
        <rFont val="Times New Roman"/>
        <family val="1"/>
        <charset val="186"/>
      </rPr>
      <t xml:space="preserve"> * 5%) = 0,36 </t>
    </r>
    <r>
      <rPr>
        <i/>
        <sz val="12"/>
        <color theme="1"/>
        <rFont val="Times New Roman"/>
        <family val="1"/>
        <charset val="186"/>
      </rPr>
      <t>euro</t>
    </r>
    <r>
      <rPr>
        <sz val="12"/>
        <color theme="1"/>
        <rFont val="Times New Roman"/>
        <family val="1"/>
        <charset val="186"/>
      </rPr>
      <t xml:space="preserve">, Dienesta viesnīcas vadīotājs (162,90 </t>
    </r>
    <r>
      <rPr>
        <i/>
        <sz val="12"/>
        <color theme="1"/>
        <rFont val="Times New Roman"/>
        <family val="1"/>
        <charset val="186"/>
      </rPr>
      <t>euro</t>
    </r>
    <r>
      <rPr>
        <sz val="12"/>
        <color theme="1"/>
        <rFont val="Times New Roman"/>
        <family val="1"/>
        <charset val="186"/>
      </rPr>
      <t xml:space="preserve"> * 5%) = 8,15 </t>
    </r>
    <r>
      <rPr>
        <i/>
        <sz val="12"/>
        <color theme="1"/>
        <rFont val="Times New Roman"/>
        <family val="1"/>
        <charset val="186"/>
      </rPr>
      <t>euro</t>
    </r>
    <r>
      <rPr>
        <sz val="12"/>
        <color theme="1"/>
        <rFont val="Times New Roman"/>
        <family val="1"/>
        <charset val="186"/>
      </rPr>
      <t xml:space="preserve">. Saimniecības pārzinis (7,87 </t>
    </r>
    <r>
      <rPr>
        <i/>
        <sz val="12"/>
        <color theme="1"/>
        <rFont val="Times New Roman"/>
        <family val="1"/>
        <charset val="186"/>
      </rPr>
      <t>euro</t>
    </r>
    <r>
      <rPr>
        <sz val="12"/>
        <color theme="1"/>
        <rFont val="Times New Roman"/>
        <family val="1"/>
        <charset val="186"/>
      </rPr>
      <t xml:space="preserve"> * 5%) = 0,39 </t>
    </r>
    <r>
      <rPr>
        <i/>
        <sz val="12"/>
        <color theme="1"/>
        <rFont val="Times New Roman"/>
        <family val="1"/>
        <charset val="186"/>
      </rPr>
      <t>euro.</t>
    </r>
    <r>
      <rPr>
        <sz val="12"/>
        <color theme="1"/>
        <rFont val="Times New Roman"/>
        <family val="1"/>
        <charset val="186"/>
      </rPr>
      <t xml:space="preserve"> Kopā (0,36 </t>
    </r>
    <r>
      <rPr>
        <i/>
        <sz val="12"/>
        <color theme="1"/>
        <rFont val="Times New Roman"/>
        <family val="1"/>
        <charset val="186"/>
      </rPr>
      <t>euro</t>
    </r>
    <r>
      <rPr>
        <sz val="12"/>
        <color theme="1"/>
        <rFont val="Times New Roman"/>
        <family val="1"/>
        <charset val="186"/>
      </rPr>
      <t xml:space="preserve"> + 8,15 </t>
    </r>
    <r>
      <rPr>
        <i/>
        <sz val="12"/>
        <color theme="1"/>
        <rFont val="Times New Roman"/>
        <family val="1"/>
        <charset val="186"/>
      </rPr>
      <t>euro</t>
    </r>
    <r>
      <rPr>
        <sz val="12"/>
        <color theme="1"/>
        <rFont val="Times New Roman"/>
        <family val="1"/>
        <charset val="186"/>
      </rPr>
      <t xml:space="preserve"> + 0,39 </t>
    </r>
    <r>
      <rPr>
        <i/>
        <sz val="12"/>
        <color theme="1"/>
        <rFont val="Times New Roman"/>
        <family val="1"/>
        <charset val="186"/>
      </rPr>
      <t>euro</t>
    </r>
    <r>
      <rPr>
        <sz val="12"/>
        <color theme="1"/>
        <rFont val="Times New Roman"/>
        <family val="1"/>
        <charset val="186"/>
      </rPr>
      <t xml:space="preserve">) = 8,90 </t>
    </r>
    <r>
      <rPr>
        <i/>
        <sz val="12"/>
        <color theme="1"/>
        <rFont val="Times New Roman"/>
        <family val="1"/>
        <charset val="186"/>
      </rPr>
      <t>euro</t>
    </r>
    <r>
      <rPr>
        <sz val="12"/>
        <color theme="1"/>
        <rFont val="Times New Roman"/>
        <family val="1"/>
        <charset val="186"/>
      </rPr>
      <t>.</t>
    </r>
  </si>
  <si>
    <r>
      <rPr>
        <b/>
        <i/>
        <sz val="12"/>
        <color theme="1"/>
        <rFont val="Times New Roman"/>
        <family val="1"/>
        <charset val="186"/>
      </rPr>
      <t>euro</t>
    </r>
    <r>
      <rPr>
        <b/>
        <sz val="12"/>
        <color theme="1"/>
        <rFont val="Times New Roman"/>
        <family val="1"/>
        <charset val="186"/>
      </rPr>
      <t>, diennaktī  par gultasvietu</t>
    </r>
  </si>
  <si>
    <r>
      <t xml:space="preserve">Pamatlīdzekļu amortizācija 492,88 </t>
    </r>
    <r>
      <rPr>
        <i/>
        <sz val="12"/>
        <color theme="1"/>
        <rFont val="Times New Roman"/>
        <family val="1"/>
        <charset val="186"/>
      </rPr>
      <t>euro</t>
    </r>
    <r>
      <rPr>
        <sz val="12"/>
        <color theme="1"/>
        <rFont val="Times New Roman"/>
        <family val="1"/>
        <charset val="186"/>
      </rPr>
      <t xml:space="preserve"> gadā * 0.2415 (iznomātās platības koeficients) = 119,03 </t>
    </r>
    <r>
      <rPr>
        <i/>
        <sz val="12"/>
        <color theme="1"/>
        <rFont val="Times New Roman"/>
        <family val="1"/>
        <charset val="186"/>
      </rPr>
      <t>euro</t>
    </r>
    <r>
      <rPr>
        <sz val="12"/>
        <color theme="1"/>
        <rFont val="Times New Roman"/>
        <family val="1"/>
        <charset val="186"/>
      </rPr>
      <t>.</t>
    </r>
  </si>
  <si>
    <r>
      <t xml:space="preserve">Pamatlīdzekļu amortizācija 4 439,23 </t>
    </r>
    <r>
      <rPr>
        <i/>
        <sz val="12"/>
        <color theme="1"/>
        <rFont val="Times New Roman"/>
        <family val="1"/>
        <charset val="186"/>
      </rPr>
      <t>euro</t>
    </r>
    <r>
      <rPr>
        <sz val="12"/>
        <color theme="1"/>
        <rFont val="Times New Roman"/>
        <family val="1"/>
        <charset val="186"/>
      </rPr>
      <t xml:space="preserve"> gadā * 0.2415 (iznomātās platības koeficients) = 1 072,07 </t>
    </r>
    <r>
      <rPr>
        <i/>
        <sz val="12"/>
        <color theme="1"/>
        <rFont val="Times New Roman"/>
        <family val="1"/>
        <charset val="186"/>
      </rPr>
      <t>euro</t>
    </r>
    <r>
      <rPr>
        <sz val="12"/>
        <color theme="1"/>
        <rFont val="Times New Roman"/>
        <family val="1"/>
        <charset val="186"/>
      </rPr>
      <t>.</t>
    </r>
  </si>
  <si>
    <r>
      <t xml:space="preserve">Ēku amortizācija 6 565,16 </t>
    </r>
    <r>
      <rPr>
        <i/>
        <sz val="12"/>
        <color theme="1"/>
        <rFont val="Times New Roman"/>
        <family val="1"/>
        <charset val="186"/>
      </rPr>
      <t>euro</t>
    </r>
    <r>
      <rPr>
        <sz val="12"/>
        <color theme="1"/>
        <rFont val="Times New Roman"/>
        <family val="1"/>
        <charset val="186"/>
      </rPr>
      <t xml:space="preserve"> gadā * 0.2415 (iznomātās platības koeficients) = 1 585,49 </t>
    </r>
    <r>
      <rPr>
        <i/>
        <sz val="12"/>
        <color theme="1"/>
        <rFont val="Times New Roman"/>
        <family val="1"/>
        <charset val="186"/>
      </rPr>
      <t>euro</t>
    </r>
    <r>
      <rPr>
        <sz val="12"/>
        <color theme="1"/>
        <rFont val="Times New Roman"/>
        <family val="1"/>
        <charset val="186"/>
      </rPr>
      <t>.</t>
    </r>
  </si>
  <si>
    <r>
      <t xml:space="preserve">Nekustamā īpašuma nodoklis 10 541,01 </t>
    </r>
    <r>
      <rPr>
        <i/>
        <sz val="12"/>
        <color theme="1"/>
        <rFont val="Times New Roman"/>
        <family val="1"/>
        <charset val="186"/>
      </rPr>
      <t>euro</t>
    </r>
    <r>
      <rPr>
        <sz val="12"/>
        <color theme="1"/>
        <rFont val="Times New Roman"/>
        <family val="1"/>
        <charset val="186"/>
      </rPr>
      <t xml:space="preserve"> gadā * 0.2415 (iznomātās platības koeficients) = 2 545,65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</si>
  <si>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podu vāki, u.c. higiēnas, saimniecības preces) iegādes izdevumi 905,02 </t>
    </r>
    <r>
      <rPr>
        <i/>
        <sz val="12"/>
        <color theme="1"/>
        <rFont val="Times New Roman"/>
        <family val="1"/>
        <charset val="186"/>
      </rPr>
      <t>euro</t>
    </r>
    <r>
      <rPr>
        <sz val="12"/>
        <color theme="1"/>
        <rFont val="Times New Roman"/>
        <family val="1"/>
        <charset val="186"/>
      </rPr>
      <t xml:space="preserve"> gadā * 0.2415 (iznomātās platības koeficients) = 218,56 </t>
    </r>
    <r>
      <rPr>
        <i/>
        <sz val="12"/>
        <color theme="1"/>
        <rFont val="Times New Roman"/>
        <family val="1"/>
        <charset val="186"/>
      </rPr>
      <t>euro</t>
    </r>
    <r>
      <rPr>
        <sz val="12"/>
        <color theme="1"/>
        <rFont val="Times New Roman"/>
        <family val="1"/>
        <charset val="186"/>
      </rPr>
      <t>.</t>
    </r>
  </si>
  <si>
    <r>
      <t xml:space="preserve">Inventāra iegādes izdevumi 607,49 </t>
    </r>
    <r>
      <rPr>
        <i/>
        <sz val="12"/>
        <color theme="1"/>
        <rFont val="Times New Roman"/>
        <family val="1"/>
        <charset val="186"/>
      </rPr>
      <t>euro</t>
    </r>
    <r>
      <rPr>
        <sz val="12"/>
        <color theme="1"/>
        <rFont val="Times New Roman"/>
        <family val="1"/>
        <charset val="186"/>
      </rPr>
      <t xml:space="preserve"> gadā * 0.2415 (iznomātās platības koeficients) = 146,71 </t>
    </r>
    <r>
      <rPr>
        <i/>
        <sz val="12"/>
        <color theme="1"/>
        <rFont val="Times New Roman"/>
        <family val="1"/>
        <charset val="186"/>
      </rPr>
      <t>euro</t>
    </r>
    <r>
      <rPr>
        <sz val="12"/>
        <color theme="1"/>
        <rFont val="Times New Roman"/>
        <family val="1"/>
        <charset val="186"/>
      </rPr>
      <t>.</t>
    </r>
  </si>
  <si>
    <r>
      <t xml:space="preserve">Pārējie uzturēšanas izdevumi 1 602,25 </t>
    </r>
    <r>
      <rPr>
        <i/>
        <sz val="12"/>
        <color theme="1"/>
        <rFont val="Times New Roman"/>
        <family val="1"/>
        <charset val="186"/>
      </rPr>
      <t>euro</t>
    </r>
    <r>
      <rPr>
        <sz val="12"/>
        <color theme="1"/>
        <rFont val="Times New Roman"/>
        <family val="1"/>
        <charset val="186"/>
      </rPr>
      <t xml:space="preserve"> gadā * 0.2415 (iznomātās platības koeficients) = 386,94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</si>
  <si>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133 418,65 </t>
    </r>
    <r>
      <rPr>
        <i/>
        <sz val="12"/>
        <color theme="1"/>
        <rFont val="Times New Roman"/>
        <family val="1"/>
        <charset val="186"/>
      </rPr>
      <t>euro</t>
    </r>
    <r>
      <rPr>
        <sz val="12"/>
        <color theme="1"/>
        <rFont val="Times New Roman"/>
        <family val="1"/>
        <charset val="186"/>
      </rPr>
      <t xml:space="preserve"> gadā * 0.2415 (iznomātās platības koeficients) = 32 220,60 </t>
    </r>
    <r>
      <rPr>
        <i/>
        <sz val="12"/>
        <color theme="1"/>
        <rFont val="Times New Roman"/>
        <family val="1"/>
        <charset val="186"/>
      </rPr>
      <t>euro.</t>
    </r>
  </si>
  <si>
    <r>
      <t xml:space="preserve">Video novērošanas un apsardzes signalizācijas sistēmas tehniskā apkope, Ugunsdzēsības krānu, ūdensvada, sirēnu iekārtu un citu iekārtu apkope un remonts, evakuācijas plānu izstrāde, avāriju bojājumu novēršanas izdevumi 1 715,08 </t>
    </r>
    <r>
      <rPr>
        <i/>
        <sz val="12"/>
        <color theme="1"/>
        <rFont val="Times New Roman"/>
        <family val="1"/>
        <charset val="186"/>
      </rPr>
      <t>euro</t>
    </r>
    <r>
      <rPr>
        <sz val="12"/>
        <color theme="1"/>
        <rFont val="Times New Roman"/>
        <family val="1"/>
        <charset val="186"/>
      </rPr>
      <t xml:space="preserve"> gadā * 0.2415 (iznomātās platības koeficients) = 414,19 </t>
    </r>
    <r>
      <rPr>
        <i/>
        <sz val="12"/>
        <color theme="1"/>
        <rFont val="Times New Roman"/>
        <family val="1"/>
        <charset val="186"/>
      </rPr>
      <t>euro.</t>
    </r>
  </si>
  <si>
    <r>
      <t xml:space="preserve">Izdevumi par energoefektivitātes paaugstināšanas atzinumu  464,98 </t>
    </r>
    <r>
      <rPr>
        <i/>
        <sz val="12"/>
        <color theme="1"/>
        <rFont val="Times New Roman"/>
        <family val="1"/>
        <charset val="186"/>
      </rPr>
      <t>euro</t>
    </r>
    <r>
      <rPr>
        <sz val="12"/>
        <color theme="1"/>
        <rFont val="Times New Roman"/>
        <family val="1"/>
        <charset val="186"/>
      </rPr>
      <t xml:space="preserve"> gadā * 0.2415 (iznomātās platības koeficients) = 112,29 </t>
    </r>
    <r>
      <rPr>
        <i/>
        <sz val="12"/>
        <color theme="1"/>
        <rFont val="Times New Roman"/>
        <family val="1"/>
        <charset val="186"/>
      </rPr>
      <t>euro</t>
    </r>
    <r>
      <rPr>
        <sz val="12"/>
        <color theme="1"/>
        <rFont val="Times New Roman"/>
        <family val="1"/>
        <charset val="186"/>
      </rPr>
      <t>.</t>
    </r>
  </si>
  <si>
    <r>
      <t xml:space="preserve">Izdevumi par atkritumu izvešanu 23 680,95 </t>
    </r>
    <r>
      <rPr>
        <i/>
        <sz val="12"/>
        <color theme="1"/>
        <rFont val="Times New Roman"/>
        <family val="1"/>
        <charset val="186"/>
      </rPr>
      <t>euro</t>
    </r>
    <r>
      <rPr>
        <sz val="12"/>
        <color theme="1"/>
        <rFont val="Times New Roman"/>
        <family val="1"/>
        <charset val="186"/>
      </rPr>
      <t xml:space="preserve"> gadā * 0.2415 (iznomātās platības koeficients) = 5 718,95 </t>
    </r>
    <r>
      <rPr>
        <i/>
        <sz val="12"/>
        <color theme="1"/>
        <rFont val="Times New Roman"/>
        <family val="1"/>
        <charset val="186"/>
      </rPr>
      <t>euro</t>
    </r>
    <r>
      <rPr>
        <sz val="12"/>
        <color theme="1"/>
        <rFont val="Times New Roman"/>
        <family val="1"/>
        <charset val="186"/>
      </rPr>
      <t>.</t>
    </r>
  </si>
  <si>
    <r>
      <t xml:space="preserve">Izdevumi par ūdeni un kanalizāciju 52 111,24 </t>
    </r>
    <r>
      <rPr>
        <i/>
        <sz val="12"/>
        <color theme="1"/>
        <rFont val="Times New Roman"/>
        <family val="1"/>
        <charset val="186"/>
      </rPr>
      <t>euro</t>
    </r>
    <r>
      <rPr>
        <sz val="12"/>
        <color theme="1"/>
        <rFont val="Times New Roman"/>
        <family val="1"/>
        <charset val="186"/>
      </rPr>
      <t xml:space="preserve"> gadā * 0.2415 (iznomātās platības koeficients) = 12 584,86 </t>
    </r>
    <r>
      <rPr>
        <i/>
        <sz val="12"/>
        <color theme="1"/>
        <rFont val="Times New Roman"/>
        <family val="1"/>
        <charset val="186"/>
      </rPr>
      <t>euro</t>
    </r>
    <r>
      <rPr>
        <sz val="12"/>
        <color theme="1"/>
        <rFont val="Times New Roman"/>
        <family val="1"/>
        <charset val="186"/>
      </rPr>
      <t>.</t>
    </r>
  </si>
  <si>
    <r>
      <t xml:space="preserve">Izdevumi par apkuri 48 868,00 </t>
    </r>
    <r>
      <rPr>
        <i/>
        <sz val="12"/>
        <color theme="1"/>
        <rFont val="Times New Roman"/>
        <family val="1"/>
        <charset val="186"/>
      </rPr>
      <t>euro</t>
    </r>
    <r>
      <rPr>
        <sz val="12"/>
        <color theme="1"/>
        <rFont val="Times New Roman"/>
        <family val="1"/>
        <charset val="186"/>
      </rPr>
      <t xml:space="preserve"> gadā * 0.2415 (iznomātās platības koeficients) = 11 801,62 </t>
    </r>
    <r>
      <rPr>
        <i/>
        <sz val="12"/>
        <color theme="1"/>
        <rFont val="Times New Roman"/>
        <family val="1"/>
        <charset val="186"/>
      </rPr>
      <t>euro</t>
    </r>
    <r>
      <rPr>
        <sz val="12"/>
        <color theme="1"/>
        <rFont val="Times New Roman"/>
        <family val="1"/>
        <charset val="186"/>
      </rPr>
      <t>.</t>
    </r>
  </si>
  <si>
    <r>
      <t xml:space="preserve">Pārējie uzturēšanas izdevumi 2 168,13 euro gadā * 0.2415 (iznomātās platības koeficients) = 523,60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</si>
  <si>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6.26 stundas, (8,14 </t>
    </r>
    <r>
      <rPr>
        <i/>
        <sz val="12"/>
        <color theme="1"/>
        <rFont val="Times New Roman"/>
        <family val="1"/>
        <charset val="186"/>
      </rPr>
      <t>euro</t>
    </r>
    <r>
      <rPr>
        <sz val="12"/>
        <color theme="1"/>
        <rFont val="Times New Roman"/>
        <family val="1"/>
        <charset val="186"/>
      </rPr>
      <t xml:space="preserve"> * 6.26 h) = 50,96 </t>
    </r>
    <r>
      <rPr>
        <i/>
        <sz val="12"/>
        <color theme="1"/>
        <rFont val="Times New Roman"/>
        <family val="1"/>
        <charset val="186"/>
      </rPr>
      <t>euro</t>
    </r>
    <r>
      <rPr>
        <sz val="12"/>
        <color theme="1"/>
        <rFont val="Times New Roman"/>
        <family val="1"/>
        <charset val="186"/>
      </rPr>
      <t xml:space="preserve">/mēn. * 12 mēn. = 611,52 </t>
    </r>
    <r>
      <rPr>
        <i/>
        <sz val="12"/>
        <color theme="1"/>
        <rFont val="Times New Roman"/>
        <family val="1"/>
        <charset val="186"/>
      </rPr>
      <t>euro</t>
    </r>
    <r>
      <rPr>
        <sz val="12"/>
        <color theme="1"/>
        <rFont val="Times New Roman"/>
        <family val="1"/>
        <charset val="186"/>
      </rPr>
      <t xml:space="preserve"> * 0.2415 (iznomātās platības koeficients) = 147,68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</si>
  <si>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142.54 stundas, (8,14 </t>
    </r>
    <r>
      <rPr>
        <i/>
        <sz val="12"/>
        <color theme="1"/>
        <rFont val="Times New Roman"/>
        <family val="1"/>
        <charset val="186"/>
      </rPr>
      <t>euro</t>
    </r>
    <r>
      <rPr>
        <sz val="12"/>
        <color theme="1"/>
        <rFont val="Times New Roman"/>
        <family val="1"/>
        <charset val="186"/>
      </rPr>
      <t xml:space="preserve"> * 142.54 h) = 1 160,28 </t>
    </r>
    <r>
      <rPr>
        <i/>
        <sz val="12"/>
        <color theme="1"/>
        <rFont val="Times New Roman"/>
        <family val="1"/>
        <charset val="186"/>
      </rPr>
      <t>euro</t>
    </r>
    <r>
      <rPr>
        <sz val="12"/>
        <color theme="1"/>
        <rFont val="Times New Roman"/>
        <family val="1"/>
        <charset val="186"/>
      </rPr>
      <t xml:space="preserve">/mēn.  * 12 mēn. = 13 923,36 </t>
    </r>
    <r>
      <rPr>
        <i/>
        <sz val="12"/>
        <color theme="1"/>
        <rFont val="Times New Roman"/>
        <family val="1"/>
        <charset val="186"/>
      </rPr>
      <t>euro</t>
    </r>
    <r>
      <rPr>
        <sz val="12"/>
        <color theme="1"/>
        <rFont val="Times New Roman"/>
        <family val="1"/>
        <charset val="186"/>
      </rPr>
      <t xml:space="preserve"> * 0.2415 (iznomātās platības koeficients) = 3 362,49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</si>
  <si>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10.44 stundas, (5,37 </t>
    </r>
    <r>
      <rPr>
        <i/>
        <sz val="12"/>
        <color theme="1"/>
        <rFont val="Times New Roman"/>
        <family val="1"/>
        <charset val="186"/>
      </rPr>
      <t>euro</t>
    </r>
    <r>
      <rPr>
        <sz val="12"/>
        <color theme="1"/>
        <rFont val="Times New Roman"/>
        <family val="1"/>
        <charset val="186"/>
      </rPr>
      <t xml:space="preserve"> * 10.44 h) = 56,06 </t>
    </r>
    <r>
      <rPr>
        <i/>
        <sz val="12"/>
        <color theme="1"/>
        <rFont val="Times New Roman"/>
        <family val="1"/>
        <charset val="186"/>
      </rPr>
      <t>euro</t>
    </r>
    <r>
      <rPr>
        <sz val="12"/>
        <color theme="1"/>
        <rFont val="Times New Roman"/>
        <family val="1"/>
        <charset val="186"/>
      </rPr>
      <t xml:space="preserve">/mēn. * 12 mēn. = 672,72 </t>
    </r>
    <r>
      <rPr>
        <i/>
        <sz val="12"/>
        <color theme="1"/>
        <rFont val="Times New Roman"/>
        <family val="1"/>
        <charset val="186"/>
      </rPr>
      <t>euro</t>
    </r>
    <r>
      <rPr>
        <sz val="12"/>
        <color theme="1"/>
        <rFont val="Times New Roman"/>
        <family val="1"/>
        <charset val="186"/>
      </rPr>
      <t xml:space="preserve"> * 0.2415 (iznomātās platības koeficients) = 162,46 </t>
    </r>
    <r>
      <rPr>
        <i/>
        <sz val="12"/>
        <color theme="1"/>
        <rFont val="Times New Roman"/>
        <family val="1"/>
        <charset val="186"/>
      </rPr>
      <t>euro</t>
    </r>
    <r>
      <rPr>
        <sz val="12"/>
        <color theme="1"/>
        <rFont val="Times New Roman"/>
        <family val="1"/>
        <charset val="186"/>
      </rPr>
      <t xml:space="preserve">. </t>
    </r>
  </si>
  <si>
    <r>
      <t xml:space="preserve">Galv. nekust. īpaš. pārvaldnieks (147,68 </t>
    </r>
    <r>
      <rPr>
        <i/>
        <sz val="12"/>
        <color theme="1"/>
        <rFont val="Times New Roman"/>
        <family val="1"/>
        <charset val="186"/>
      </rPr>
      <t>euro</t>
    </r>
    <r>
      <rPr>
        <sz val="12"/>
        <color theme="1"/>
        <rFont val="Times New Roman"/>
        <family val="1"/>
        <charset val="186"/>
      </rPr>
      <t xml:space="preserve"> * 10%) = 14,77 </t>
    </r>
    <r>
      <rPr>
        <i/>
        <sz val="12"/>
        <color theme="1"/>
        <rFont val="Times New Roman"/>
        <family val="1"/>
        <charset val="186"/>
      </rPr>
      <t>euro</t>
    </r>
    <r>
      <rPr>
        <sz val="12"/>
        <color theme="1"/>
        <rFont val="Times New Roman"/>
        <family val="1"/>
        <charset val="186"/>
      </rPr>
      <t xml:space="preserve">, Dienesta viesnīcas vadīotājs (3 362,49 </t>
    </r>
    <r>
      <rPr>
        <i/>
        <sz val="12"/>
        <color theme="1"/>
        <rFont val="Times New Roman"/>
        <family val="1"/>
        <charset val="186"/>
      </rPr>
      <t>euro</t>
    </r>
    <r>
      <rPr>
        <sz val="12"/>
        <color theme="1"/>
        <rFont val="Times New Roman"/>
        <family val="1"/>
        <charset val="186"/>
      </rPr>
      <t xml:space="preserve"> * 10%) = 336,25 </t>
    </r>
    <r>
      <rPr>
        <i/>
        <sz val="12"/>
        <color theme="1"/>
        <rFont val="Times New Roman"/>
        <family val="1"/>
        <charset val="186"/>
      </rPr>
      <t>euro</t>
    </r>
    <r>
      <rPr>
        <sz val="12"/>
        <color theme="1"/>
        <rFont val="Times New Roman"/>
        <family val="1"/>
        <charset val="186"/>
      </rPr>
      <t xml:space="preserve">. Saimniecības pārzinis (162,46 </t>
    </r>
    <r>
      <rPr>
        <i/>
        <sz val="12"/>
        <color theme="1"/>
        <rFont val="Times New Roman"/>
        <family val="1"/>
        <charset val="186"/>
      </rPr>
      <t>euro</t>
    </r>
    <r>
      <rPr>
        <sz val="12"/>
        <color theme="1"/>
        <rFont val="Times New Roman"/>
        <family val="1"/>
        <charset val="186"/>
      </rPr>
      <t xml:space="preserve"> * 10%) = 16,25 </t>
    </r>
    <r>
      <rPr>
        <i/>
        <sz val="12"/>
        <color theme="1"/>
        <rFont val="Times New Roman"/>
        <family val="1"/>
        <charset val="186"/>
      </rPr>
      <t>euro.</t>
    </r>
    <r>
      <rPr>
        <sz val="12"/>
        <color theme="1"/>
        <rFont val="Times New Roman"/>
        <family val="1"/>
        <charset val="186"/>
      </rPr>
      <t xml:space="preserve"> Kopā (14,77 </t>
    </r>
    <r>
      <rPr>
        <i/>
        <sz val="12"/>
        <color theme="1"/>
        <rFont val="Times New Roman"/>
        <family val="1"/>
        <charset val="186"/>
      </rPr>
      <t>euro</t>
    </r>
    <r>
      <rPr>
        <sz val="12"/>
        <color theme="1"/>
        <rFont val="Times New Roman"/>
        <family val="1"/>
        <charset val="186"/>
      </rPr>
      <t xml:space="preserve"> + 336,25 </t>
    </r>
    <r>
      <rPr>
        <i/>
        <sz val="12"/>
        <color theme="1"/>
        <rFont val="Times New Roman"/>
        <family val="1"/>
        <charset val="186"/>
      </rPr>
      <t>euro</t>
    </r>
    <r>
      <rPr>
        <sz val="12"/>
        <color theme="1"/>
        <rFont val="Times New Roman"/>
        <family val="1"/>
        <charset val="186"/>
      </rPr>
      <t xml:space="preserve"> + 16,25 </t>
    </r>
    <r>
      <rPr>
        <i/>
        <sz val="12"/>
        <color theme="1"/>
        <rFont val="Times New Roman"/>
        <family val="1"/>
        <charset val="186"/>
      </rPr>
      <t>euro</t>
    </r>
    <r>
      <rPr>
        <sz val="12"/>
        <color theme="1"/>
        <rFont val="Times New Roman"/>
        <family val="1"/>
        <charset val="186"/>
      </rPr>
      <t xml:space="preserve">) = 367,27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</si>
  <si>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1.83 stundas, (11,22 </t>
    </r>
    <r>
      <rPr>
        <i/>
        <sz val="12"/>
        <color theme="1"/>
        <rFont val="Times New Roman"/>
        <family val="1"/>
        <charset val="186"/>
      </rPr>
      <t>euro</t>
    </r>
    <r>
      <rPr>
        <sz val="12"/>
        <color theme="1"/>
        <rFont val="Times New Roman"/>
        <family val="1"/>
        <charset val="186"/>
      </rPr>
      <t xml:space="preserve"> * 1.83 h) = 20,53 </t>
    </r>
    <r>
      <rPr>
        <i/>
        <sz val="12"/>
        <color theme="1"/>
        <rFont val="Times New Roman"/>
        <family val="1"/>
        <charset val="186"/>
      </rPr>
      <t>euro</t>
    </r>
    <r>
      <rPr>
        <sz val="12"/>
        <color theme="1"/>
        <rFont val="Times New Roman"/>
        <family val="1"/>
        <charset val="186"/>
      </rPr>
      <t xml:space="preserve">/mēn. * 12. mēn. = 246,36 </t>
    </r>
    <r>
      <rPr>
        <i/>
        <sz val="12"/>
        <color theme="1"/>
        <rFont val="Times New Roman"/>
        <family val="1"/>
        <charset val="186"/>
      </rPr>
      <t>euro</t>
    </r>
    <r>
      <rPr>
        <sz val="12"/>
        <color theme="1"/>
        <rFont val="Times New Roman"/>
        <family val="1"/>
        <charset val="186"/>
      </rPr>
      <t xml:space="preserve"> * 0.2415 (iznomātās platības koeficients) = 59,50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</si>
  <si>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2.06 stundas, (15,03 </t>
    </r>
    <r>
      <rPr>
        <i/>
        <sz val="12"/>
        <color theme="1"/>
        <rFont val="Times New Roman"/>
        <family val="1"/>
        <charset val="186"/>
      </rPr>
      <t>euro</t>
    </r>
    <r>
      <rPr>
        <sz val="12"/>
        <color theme="1"/>
        <rFont val="Times New Roman"/>
        <family val="1"/>
        <charset val="186"/>
      </rPr>
      <t xml:space="preserve"> * 2.06 h) = 30,96 </t>
    </r>
    <r>
      <rPr>
        <i/>
        <sz val="12"/>
        <color theme="1"/>
        <rFont val="Times New Roman"/>
        <family val="1"/>
        <charset val="186"/>
      </rPr>
      <t>euro</t>
    </r>
    <r>
      <rPr>
        <sz val="12"/>
        <color theme="1"/>
        <rFont val="Times New Roman"/>
        <family val="1"/>
        <charset val="186"/>
      </rPr>
      <t xml:space="preserve">/mēn. * 12. mēn. = 371,52 </t>
    </r>
    <r>
      <rPr>
        <i/>
        <sz val="12"/>
        <color theme="1"/>
        <rFont val="Times New Roman"/>
        <family val="1"/>
        <charset val="186"/>
      </rPr>
      <t>euro</t>
    </r>
    <r>
      <rPr>
        <sz val="12"/>
        <color theme="1"/>
        <rFont val="Times New Roman"/>
        <family val="1"/>
        <charset val="186"/>
      </rPr>
      <t xml:space="preserve"> * 0.2415 (iznomātās platības koeficients) = 89,72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</si>
  <si>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1.66 stundas, (12,07 </t>
    </r>
    <r>
      <rPr>
        <i/>
        <sz val="12"/>
        <color theme="1"/>
        <rFont val="Times New Roman"/>
        <family val="1"/>
        <charset val="186"/>
      </rPr>
      <t>euro</t>
    </r>
    <r>
      <rPr>
        <sz val="12"/>
        <color theme="1"/>
        <rFont val="Times New Roman"/>
        <family val="1"/>
        <charset val="186"/>
      </rPr>
      <t xml:space="preserve"> * 1.66 h) = 20,04 </t>
    </r>
    <r>
      <rPr>
        <i/>
        <sz val="12"/>
        <color theme="1"/>
        <rFont val="Times New Roman"/>
        <family val="1"/>
        <charset val="186"/>
      </rPr>
      <t>euro</t>
    </r>
    <r>
      <rPr>
        <sz val="12"/>
        <color theme="1"/>
        <rFont val="Times New Roman"/>
        <family val="1"/>
        <charset val="186"/>
      </rPr>
      <t xml:space="preserve">/mēn. * 12. mēn. = 240,48 </t>
    </r>
    <r>
      <rPr>
        <i/>
        <sz val="12"/>
        <color theme="1"/>
        <rFont val="Times New Roman"/>
        <family val="1"/>
        <charset val="186"/>
      </rPr>
      <t>euro</t>
    </r>
    <r>
      <rPr>
        <sz val="12"/>
        <color theme="1"/>
        <rFont val="Times New Roman"/>
        <family val="1"/>
        <charset val="186"/>
      </rPr>
      <t xml:space="preserve"> * 0.2415 (iznomātās platības koeficients) = 58,08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</si>
  <si>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9.23 stunda, (8,22 </t>
    </r>
    <r>
      <rPr>
        <i/>
        <sz val="12"/>
        <color theme="1"/>
        <rFont val="Times New Roman"/>
        <family val="1"/>
        <charset val="186"/>
      </rPr>
      <t>euro</t>
    </r>
    <r>
      <rPr>
        <sz val="12"/>
        <color theme="1"/>
        <rFont val="Times New Roman"/>
        <family val="1"/>
        <charset val="186"/>
      </rPr>
      <t xml:space="preserve"> * 9.23 h) = 75,87 </t>
    </r>
    <r>
      <rPr>
        <i/>
        <sz val="12"/>
        <color theme="1"/>
        <rFont val="Times New Roman"/>
        <family val="1"/>
        <charset val="186"/>
      </rPr>
      <t>euro</t>
    </r>
    <r>
      <rPr>
        <sz val="12"/>
        <color theme="1"/>
        <rFont val="Times New Roman"/>
        <family val="1"/>
        <charset val="186"/>
      </rPr>
      <t xml:space="preserve">/mēn. * 12. mēn. = 910,44 </t>
    </r>
    <r>
      <rPr>
        <i/>
        <sz val="12"/>
        <color theme="1"/>
        <rFont val="Times New Roman"/>
        <family val="1"/>
        <charset val="186"/>
      </rPr>
      <t>euro</t>
    </r>
    <r>
      <rPr>
        <sz val="12"/>
        <color theme="1"/>
        <rFont val="Times New Roman"/>
        <family val="1"/>
        <charset val="186"/>
      </rPr>
      <t xml:space="preserve"> * 0.2415 (iznomātās platības koeficients) = 219,87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</si>
  <si>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1.65 stundas, (26,96 </t>
    </r>
    <r>
      <rPr>
        <i/>
        <sz val="12"/>
        <color theme="1"/>
        <rFont val="Times New Roman"/>
        <family val="1"/>
        <charset val="186"/>
      </rPr>
      <t>euro</t>
    </r>
    <r>
      <rPr>
        <sz val="12"/>
        <color theme="1"/>
        <rFont val="Times New Roman"/>
        <family val="1"/>
        <charset val="186"/>
      </rPr>
      <t xml:space="preserve"> * 1.65 h) = 44,48 </t>
    </r>
    <r>
      <rPr>
        <i/>
        <sz val="12"/>
        <color theme="1"/>
        <rFont val="Times New Roman"/>
        <family val="1"/>
        <charset val="186"/>
      </rPr>
      <t>euro</t>
    </r>
    <r>
      <rPr>
        <sz val="12"/>
        <color theme="1"/>
        <rFont val="Times New Roman"/>
        <family val="1"/>
        <charset val="186"/>
      </rPr>
      <t xml:space="preserve">/mēn. * 12. mēn. = 533,76 </t>
    </r>
    <r>
      <rPr>
        <i/>
        <sz val="12"/>
        <color theme="1"/>
        <rFont val="Times New Roman"/>
        <family val="1"/>
        <charset val="186"/>
      </rPr>
      <t>euro</t>
    </r>
    <r>
      <rPr>
        <sz val="12"/>
        <color theme="1"/>
        <rFont val="Times New Roman"/>
        <family val="1"/>
        <charset val="186"/>
      </rPr>
      <t xml:space="preserve"> * 0.2415 (iznomātās platības koeficients) = 128,90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</si>
  <si>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7.2 stundas, (24,34 </t>
    </r>
    <r>
      <rPr>
        <i/>
        <sz val="12"/>
        <color theme="1"/>
        <rFont val="Times New Roman"/>
        <family val="1"/>
        <charset val="186"/>
      </rPr>
      <t>euro</t>
    </r>
    <r>
      <rPr>
        <sz val="12"/>
        <color theme="1"/>
        <rFont val="Times New Roman"/>
        <family val="1"/>
        <charset val="186"/>
      </rPr>
      <t xml:space="preserve"> * 7.2 h) = 175,25 </t>
    </r>
    <r>
      <rPr>
        <i/>
        <sz val="12"/>
        <color theme="1"/>
        <rFont val="Times New Roman"/>
        <family val="1"/>
        <charset val="186"/>
      </rPr>
      <t>euro</t>
    </r>
    <r>
      <rPr>
        <sz val="12"/>
        <color theme="1"/>
        <rFont val="Times New Roman"/>
        <family val="1"/>
        <charset val="186"/>
      </rPr>
      <t xml:space="preserve">/mēn. * 12. mēn. = 2 103,00 </t>
    </r>
    <r>
      <rPr>
        <i/>
        <sz val="12"/>
        <color theme="1"/>
        <rFont val="Times New Roman"/>
        <family val="1"/>
        <charset val="186"/>
      </rPr>
      <t>euro</t>
    </r>
    <r>
      <rPr>
        <sz val="12"/>
        <color theme="1"/>
        <rFont val="Times New Roman"/>
        <family val="1"/>
        <charset val="186"/>
      </rPr>
      <t xml:space="preserve"> * 0.2415 (iznomātās platības koeficients) = 507,87 </t>
    </r>
    <r>
      <rPr>
        <i/>
        <sz val="12"/>
        <color theme="1"/>
        <rFont val="Times New Roman"/>
        <family val="1"/>
        <charset val="186"/>
      </rPr>
      <t>euro</t>
    </r>
    <r>
      <rPr>
        <sz val="12"/>
        <color theme="1"/>
        <rFont val="Times New Roman"/>
        <family val="1"/>
        <charset val="186"/>
      </rPr>
      <t xml:space="preserve">. </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</si>
  <si>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33.59 stundas, (9,11 </t>
    </r>
    <r>
      <rPr>
        <i/>
        <sz val="12"/>
        <color theme="1"/>
        <rFont val="Times New Roman"/>
        <family val="1"/>
        <charset val="186"/>
      </rPr>
      <t>euro</t>
    </r>
    <r>
      <rPr>
        <sz val="12"/>
        <color theme="1"/>
        <rFont val="Times New Roman"/>
        <family val="1"/>
        <charset val="186"/>
      </rPr>
      <t xml:space="preserve"> * 33.59 h) = 306,00 </t>
    </r>
    <r>
      <rPr>
        <i/>
        <sz val="12"/>
        <color theme="1"/>
        <rFont val="Times New Roman"/>
        <family val="1"/>
        <charset val="186"/>
      </rPr>
      <t>euro</t>
    </r>
    <r>
      <rPr>
        <sz val="12"/>
        <color theme="1"/>
        <rFont val="Times New Roman"/>
        <family val="1"/>
        <charset val="186"/>
      </rPr>
      <t xml:space="preserve">/mēn. * 12. mēn. = 3 672,00 </t>
    </r>
    <r>
      <rPr>
        <i/>
        <sz val="12"/>
        <color theme="1"/>
        <rFont val="Times New Roman"/>
        <family val="1"/>
        <charset val="186"/>
      </rPr>
      <t>euro</t>
    </r>
    <r>
      <rPr>
        <sz val="12"/>
        <color theme="1"/>
        <rFont val="Times New Roman"/>
        <family val="1"/>
        <charset val="186"/>
      </rPr>
      <t xml:space="preserve"> * 0.2415 (iznomātās platības koeficients) = 886,79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</si>
  <si>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58.67 stundas, (8,22 </t>
    </r>
    <r>
      <rPr>
        <i/>
        <sz val="12"/>
        <color theme="1"/>
        <rFont val="Times New Roman"/>
        <family val="1"/>
        <charset val="186"/>
      </rPr>
      <t>euro</t>
    </r>
    <r>
      <rPr>
        <sz val="12"/>
        <color theme="1"/>
        <rFont val="Times New Roman"/>
        <family val="1"/>
        <charset val="186"/>
      </rPr>
      <t xml:space="preserve"> * 58.67 h) = 482,27 </t>
    </r>
    <r>
      <rPr>
        <i/>
        <sz val="12"/>
        <color theme="1"/>
        <rFont val="Times New Roman"/>
        <family val="1"/>
        <charset val="186"/>
      </rPr>
      <t>euro</t>
    </r>
    <r>
      <rPr>
        <sz val="12"/>
        <color theme="1"/>
        <rFont val="Times New Roman"/>
        <family val="1"/>
        <charset val="186"/>
      </rPr>
      <t xml:space="preserve">/mēn. * 12. mēn. = 5 787,24 </t>
    </r>
    <r>
      <rPr>
        <i/>
        <sz val="12"/>
        <color theme="1"/>
        <rFont val="Times New Roman"/>
        <family val="1"/>
        <charset val="186"/>
      </rPr>
      <t>euro</t>
    </r>
    <r>
      <rPr>
        <sz val="12"/>
        <color theme="1"/>
        <rFont val="Times New Roman"/>
        <family val="1"/>
        <charset val="186"/>
      </rPr>
      <t xml:space="preserve"> * 0.2415 (iznomātās platības koeficients) = 1 397,62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</si>
  <si>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1.87 stundas, (7,58 </t>
    </r>
    <r>
      <rPr>
        <i/>
        <sz val="12"/>
        <color theme="1"/>
        <rFont val="Times New Roman"/>
        <family val="1"/>
        <charset val="186"/>
      </rPr>
      <t>euro</t>
    </r>
    <r>
      <rPr>
        <sz val="12"/>
        <color theme="1"/>
        <rFont val="Times New Roman"/>
        <family val="1"/>
        <charset val="186"/>
      </rPr>
      <t xml:space="preserve"> * 1.87 h) = 14,17 </t>
    </r>
    <r>
      <rPr>
        <i/>
        <sz val="12"/>
        <color theme="1"/>
        <rFont val="Times New Roman"/>
        <family val="1"/>
        <charset val="186"/>
      </rPr>
      <t>euro</t>
    </r>
    <r>
      <rPr>
        <sz val="12"/>
        <color theme="1"/>
        <rFont val="Times New Roman"/>
        <family val="1"/>
        <charset val="186"/>
      </rPr>
      <t xml:space="preserve">/mēn. * 12. mēn. = 170,04 </t>
    </r>
    <r>
      <rPr>
        <i/>
        <sz val="12"/>
        <color theme="1"/>
        <rFont val="Times New Roman"/>
        <family val="1"/>
        <charset val="186"/>
      </rPr>
      <t>euro</t>
    </r>
    <r>
      <rPr>
        <sz val="12"/>
        <color theme="1"/>
        <rFont val="Times New Roman"/>
        <family val="1"/>
        <charset val="186"/>
      </rPr>
      <t xml:space="preserve"> * 0.2415 (iznomātās platības koeficients) = 41,06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</si>
  <si>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1.91 stundas, (11,24 </t>
    </r>
    <r>
      <rPr>
        <i/>
        <sz val="12"/>
        <color theme="1"/>
        <rFont val="Times New Roman"/>
        <family val="1"/>
        <charset val="186"/>
      </rPr>
      <t>euro</t>
    </r>
    <r>
      <rPr>
        <sz val="12"/>
        <color theme="1"/>
        <rFont val="Times New Roman"/>
        <family val="1"/>
        <charset val="186"/>
      </rPr>
      <t xml:space="preserve"> * 1.91 h) = 21,47 </t>
    </r>
    <r>
      <rPr>
        <i/>
        <sz val="12"/>
        <color theme="1"/>
        <rFont val="Times New Roman"/>
        <family val="1"/>
        <charset val="186"/>
      </rPr>
      <t>euro</t>
    </r>
    <r>
      <rPr>
        <sz val="12"/>
        <color theme="1"/>
        <rFont val="Times New Roman"/>
        <family val="1"/>
        <charset val="186"/>
      </rPr>
      <t xml:space="preserve">/mēn. * 12. mēn. = 257,64 </t>
    </r>
    <r>
      <rPr>
        <i/>
        <sz val="12"/>
        <color theme="1"/>
        <rFont val="Times New Roman"/>
        <family val="1"/>
        <charset val="186"/>
      </rPr>
      <t>euro</t>
    </r>
    <r>
      <rPr>
        <sz val="12"/>
        <color theme="1"/>
        <rFont val="Times New Roman"/>
        <family val="1"/>
        <charset val="186"/>
      </rPr>
      <t xml:space="preserve"> * 0.2415 (iznomātās platības koeficients) = 62,22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</si>
  <si>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3 451,63 </t>
    </r>
    <r>
      <rPr>
        <i/>
        <sz val="12"/>
        <color theme="1"/>
        <rFont val="Times New Roman"/>
        <family val="1"/>
        <charset val="186"/>
      </rPr>
      <t>euro</t>
    </r>
    <r>
      <rPr>
        <sz val="12"/>
        <color theme="1"/>
        <rFont val="Times New Roman"/>
        <family val="1"/>
        <charset val="186"/>
      </rPr>
      <t xml:space="preserve"> * 23,59 % = 814,24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</si>
  <si>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5.1 stundas, (8,14 </t>
    </r>
    <r>
      <rPr>
        <i/>
        <sz val="12"/>
        <color theme="1"/>
        <rFont val="Times New Roman"/>
        <family val="1"/>
        <charset val="186"/>
      </rPr>
      <t>euro</t>
    </r>
    <r>
      <rPr>
        <sz val="12"/>
        <color theme="1"/>
        <rFont val="Times New Roman"/>
        <family val="1"/>
        <charset val="186"/>
      </rPr>
      <t xml:space="preserve"> * 5.1 h) = 41,51 </t>
    </r>
    <r>
      <rPr>
        <i/>
        <sz val="12"/>
        <color theme="1"/>
        <rFont val="Times New Roman"/>
        <family val="1"/>
        <charset val="186"/>
      </rPr>
      <t>euro</t>
    </r>
    <r>
      <rPr>
        <sz val="12"/>
        <color theme="1"/>
        <rFont val="Times New Roman"/>
        <family val="1"/>
        <charset val="186"/>
      </rPr>
      <t xml:space="preserve">/mēn. * 12 mēn. = 498,12 </t>
    </r>
    <r>
      <rPr>
        <i/>
        <sz val="12"/>
        <color theme="1"/>
        <rFont val="Times New Roman"/>
        <family val="1"/>
        <charset val="186"/>
      </rPr>
      <t>euro</t>
    </r>
    <r>
      <rPr>
        <sz val="12"/>
        <color theme="1"/>
        <rFont val="Times New Roman"/>
        <family val="1"/>
        <charset val="186"/>
      </rPr>
      <t xml:space="preserve"> * 0.6049 (iznomātās platības koeficients) = 301,31 </t>
    </r>
    <r>
      <rPr>
        <i/>
        <sz val="12"/>
        <color theme="1"/>
        <rFont val="Times New Roman"/>
        <family val="1"/>
        <charset val="186"/>
      </rPr>
      <t>euro</t>
    </r>
    <r>
      <rPr>
        <sz val="12"/>
        <color theme="1"/>
        <rFont val="Times New Roman"/>
        <family val="1"/>
        <charset val="186"/>
      </rPr>
      <t xml:space="preserve">. </t>
    </r>
  </si>
  <si>
    <r>
      <rPr>
        <b/>
        <i/>
        <sz val="12"/>
        <color theme="1"/>
        <rFont val="Times New Roman"/>
        <family val="1"/>
        <charset val="186"/>
      </rPr>
      <t>euro</t>
    </r>
    <r>
      <rPr>
        <b/>
        <sz val="12"/>
        <color theme="1"/>
        <rFont val="Times New Roman"/>
        <family val="1"/>
        <charset val="186"/>
      </rPr>
      <t xml:space="preserve">, diennaktī par gultasvietu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</si>
  <si>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15.85 stundas, (8,14 </t>
    </r>
    <r>
      <rPr>
        <i/>
        <sz val="12"/>
        <color theme="1"/>
        <rFont val="Times New Roman"/>
        <family val="1"/>
        <charset val="186"/>
      </rPr>
      <t>euro</t>
    </r>
    <r>
      <rPr>
        <sz val="12"/>
        <color theme="1"/>
        <rFont val="Times New Roman"/>
        <family val="1"/>
        <charset val="186"/>
      </rPr>
      <t xml:space="preserve"> * 15.85 h) = 129,02 </t>
    </r>
    <r>
      <rPr>
        <i/>
        <sz val="12"/>
        <color theme="1"/>
        <rFont val="Times New Roman"/>
        <family val="1"/>
        <charset val="186"/>
      </rPr>
      <t>euro</t>
    </r>
    <r>
      <rPr>
        <sz val="12"/>
        <color theme="1"/>
        <rFont val="Times New Roman"/>
        <family val="1"/>
        <charset val="186"/>
      </rPr>
      <t xml:space="preserve">/mēn. * 12 mēn. = 1 548,24 </t>
    </r>
    <r>
      <rPr>
        <i/>
        <sz val="12"/>
        <color theme="1"/>
        <rFont val="Times New Roman"/>
        <family val="1"/>
        <charset val="186"/>
      </rPr>
      <t>euro</t>
    </r>
    <r>
      <rPr>
        <sz val="12"/>
        <color theme="1"/>
        <rFont val="Times New Roman"/>
        <family val="1"/>
        <charset val="186"/>
      </rPr>
      <t xml:space="preserve"> * 0.6049 (iznomātās platības koeficients) = 936,53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</si>
  <si>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10.2 stundas, (5,37 </t>
    </r>
    <r>
      <rPr>
        <i/>
        <sz val="12"/>
        <color theme="1"/>
        <rFont val="Times New Roman"/>
        <family val="1"/>
        <charset val="186"/>
      </rPr>
      <t>euro</t>
    </r>
    <r>
      <rPr>
        <sz val="12"/>
        <color theme="1"/>
        <rFont val="Times New Roman"/>
        <family val="1"/>
        <charset val="186"/>
      </rPr>
      <t xml:space="preserve"> * 10.2 h) = 54,77 </t>
    </r>
    <r>
      <rPr>
        <i/>
        <sz val="12"/>
        <color theme="1"/>
        <rFont val="Times New Roman"/>
        <family val="1"/>
        <charset val="186"/>
      </rPr>
      <t>euro</t>
    </r>
    <r>
      <rPr>
        <sz val="12"/>
        <color theme="1"/>
        <rFont val="Times New Roman"/>
        <family val="1"/>
        <charset val="186"/>
      </rPr>
      <t xml:space="preserve">/mēn. * 12 mēn. = 657,24 </t>
    </r>
    <r>
      <rPr>
        <i/>
        <sz val="12"/>
        <color theme="1"/>
        <rFont val="Times New Roman"/>
        <family val="1"/>
        <charset val="186"/>
      </rPr>
      <t>euro</t>
    </r>
    <r>
      <rPr>
        <sz val="12"/>
        <color theme="1"/>
        <rFont val="Times New Roman"/>
        <family val="1"/>
        <charset val="186"/>
      </rPr>
      <t xml:space="preserve"> * 0.6049 (iznomātās platības koeficients) = 397,56 </t>
    </r>
    <r>
      <rPr>
        <i/>
        <sz val="12"/>
        <color theme="1"/>
        <rFont val="Times New Roman"/>
        <family val="1"/>
        <charset val="186"/>
      </rPr>
      <t>euro</t>
    </r>
    <r>
      <rPr>
        <sz val="12"/>
        <color theme="1"/>
        <rFont val="Times New Roman"/>
        <family val="1"/>
        <charset val="186"/>
      </rPr>
      <t xml:space="preserve">. </t>
    </r>
  </si>
  <si>
    <r>
      <t xml:space="preserve">Galv. nekust. īpaš. pārvaldnieks (301,31 </t>
    </r>
    <r>
      <rPr>
        <i/>
        <sz val="12"/>
        <color theme="1"/>
        <rFont val="Times New Roman"/>
        <family val="1"/>
        <charset val="186"/>
      </rPr>
      <t>euro</t>
    </r>
    <r>
      <rPr>
        <sz val="12"/>
        <color theme="1"/>
        <rFont val="Times New Roman"/>
        <family val="1"/>
        <charset val="186"/>
      </rPr>
      <t xml:space="preserve"> * 10%) = 30,13 </t>
    </r>
    <r>
      <rPr>
        <i/>
        <sz val="12"/>
        <color theme="1"/>
        <rFont val="Times New Roman"/>
        <family val="1"/>
        <charset val="186"/>
      </rPr>
      <t>euro</t>
    </r>
    <r>
      <rPr>
        <sz val="12"/>
        <color theme="1"/>
        <rFont val="Times New Roman"/>
        <family val="1"/>
        <charset val="186"/>
      </rPr>
      <t xml:space="preserve">, Dienesta viesnīcas vadīotājs (936,53 </t>
    </r>
    <r>
      <rPr>
        <i/>
        <sz val="12"/>
        <color theme="1"/>
        <rFont val="Times New Roman"/>
        <family val="1"/>
        <charset val="186"/>
      </rPr>
      <t>euro</t>
    </r>
    <r>
      <rPr>
        <sz val="12"/>
        <color theme="1"/>
        <rFont val="Times New Roman"/>
        <family val="1"/>
        <charset val="186"/>
      </rPr>
      <t xml:space="preserve"> * 10%) = 93,65 </t>
    </r>
    <r>
      <rPr>
        <i/>
        <sz val="12"/>
        <color theme="1"/>
        <rFont val="Times New Roman"/>
        <family val="1"/>
        <charset val="186"/>
      </rPr>
      <t>euro</t>
    </r>
    <r>
      <rPr>
        <sz val="12"/>
        <color theme="1"/>
        <rFont val="Times New Roman"/>
        <family val="1"/>
        <charset val="186"/>
      </rPr>
      <t xml:space="preserve">. Saimniecības pārzinis (397,56 </t>
    </r>
    <r>
      <rPr>
        <i/>
        <sz val="12"/>
        <color theme="1"/>
        <rFont val="Times New Roman"/>
        <family val="1"/>
        <charset val="186"/>
      </rPr>
      <t>euro</t>
    </r>
    <r>
      <rPr>
        <sz val="12"/>
        <color theme="1"/>
        <rFont val="Times New Roman"/>
        <family val="1"/>
        <charset val="186"/>
      </rPr>
      <t xml:space="preserve"> * 10%) = 39,76 </t>
    </r>
    <r>
      <rPr>
        <i/>
        <sz val="12"/>
        <color theme="1"/>
        <rFont val="Times New Roman"/>
        <family val="1"/>
        <charset val="186"/>
      </rPr>
      <t>euro.</t>
    </r>
    <r>
      <rPr>
        <sz val="12"/>
        <color theme="1"/>
        <rFont val="Times New Roman"/>
        <family val="1"/>
        <charset val="186"/>
      </rPr>
      <t xml:space="preserve"> Kopā (30,13 </t>
    </r>
    <r>
      <rPr>
        <i/>
        <sz val="12"/>
        <color theme="1"/>
        <rFont val="Times New Roman"/>
        <family val="1"/>
        <charset val="186"/>
      </rPr>
      <t>euro</t>
    </r>
    <r>
      <rPr>
        <sz val="12"/>
        <color theme="1"/>
        <rFont val="Times New Roman"/>
        <family val="1"/>
        <charset val="186"/>
      </rPr>
      <t xml:space="preserve"> + 93,65 </t>
    </r>
    <r>
      <rPr>
        <i/>
        <sz val="12"/>
        <color theme="1"/>
        <rFont val="Times New Roman"/>
        <family val="1"/>
        <charset val="186"/>
      </rPr>
      <t>euro</t>
    </r>
    <r>
      <rPr>
        <sz val="12"/>
        <color theme="1"/>
        <rFont val="Times New Roman"/>
        <family val="1"/>
        <charset val="186"/>
      </rPr>
      <t xml:space="preserve"> + 39,76 </t>
    </r>
    <r>
      <rPr>
        <i/>
        <sz val="12"/>
        <color theme="1"/>
        <rFont val="Times New Roman"/>
        <family val="1"/>
        <charset val="186"/>
      </rPr>
      <t>euro</t>
    </r>
    <r>
      <rPr>
        <sz val="12"/>
        <color theme="1"/>
        <rFont val="Times New Roman"/>
        <family val="1"/>
        <charset val="186"/>
      </rPr>
      <t xml:space="preserve">) = 163,54 </t>
    </r>
    <r>
      <rPr>
        <i/>
        <sz val="12"/>
        <color theme="1"/>
        <rFont val="Times New Roman"/>
        <family val="1"/>
        <charset val="186"/>
      </rPr>
      <t>euro</t>
    </r>
    <r>
      <rPr>
        <sz val="12"/>
        <color theme="1"/>
        <rFont val="Times New Roman"/>
        <family val="1"/>
        <charset val="186"/>
      </rPr>
      <t>.</t>
    </r>
  </si>
  <si>
    <r>
      <t xml:space="preserve">Galv. nekust. īpaš. pārvaldnieks (301,31 </t>
    </r>
    <r>
      <rPr>
        <i/>
        <sz val="12"/>
        <color theme="1"/>
        <rFont val="Times New Roman"/>
        <family val="1"/>
        <charset val="186"/>
      </rPr>
      <t>euro</t>
    </r>
    <r>
      <rPr>
        <sz val="12"/>
        <color theme="1"/>
        <rFont val="Times New Roman"/>
        <family val="1"/>
        <charset val="186"/>
      </rPr>
      <t xml:space="preserve"> * 5%) = 15,07 </t>
    </r>
    <r>
      <rPr>
        <i/>
        <sz val="12"/>
        <color theme="1"/>
        <rFont val="Times New Roman"/>
        <family val="1"/>
        <charset val="186"/>
      </rPr>
      <t>euro</t>
    </r>
    <r>
      <rPr>
        <sz val="12"/>
        <color theme="1"/>
        <rFont val="Times New Roman"/>
        <family val="1"/>
        <charset val="186"/>
      </rPr>
      <t xml:space="preserve">, Dienesta viesnīcas vadīotājs (936,53 </t>
    </r>
    <r>
      <rPr>
        <i/>
        <sz val="12"/>
        <color theme="1"/>
        <rFont val="Times New Roman"/>
        <family val="1"/>
        <charset val="186"/>
      </rPr>
      <t>euro</t>
    </r>
    <r>
      <rPr>
        <sz val="12"/>
        <color theme="1"/>
        <rFont val="Times New Roman"/>
        <family val="1"/>
        <charset val="186"/>
      </rPr>
      <t xml:space="preserve"> * 5%) = 46,83 </t>
    </r>
    <r>
      <rPr>
        <i/>
        <sz val="12"/>
        <color theme="1"/>
        <rFont val="Times New Roman"/>
        <family val="1"/>
        <charset val="186"/>
      </rPr>
      <t>euro</t>
    </r>
    <r>
      <rPr>
        <sz val="12"/>
        <color theme="1"/>
        <rFont val="Times New Roman"/>
        <family val="1"/>
        <charset val="186"/>
      </rPr>
      <t xml:space="preserve">. Saimniecības pārzinis (397,56 </t>
    </r>
    <r>
      <rPr>
        <i/>
        <sz val="12"/>
        <color theme="1"/>
        <rFont val="Times New Roman"/>
        <family val="1"/>
        <charset val="186"/>
      </rPr>
      <t>euro</t>
    </r>
    <r>
      <rPr>
        <sz val="12"/>
        <color theme="1"/>
        <rFont val="Times New Roman"/>
        <family val="1"/>
        <charset val="186"/>
      </rPr>
      <t xml:space="preserve"> * 5%) = 19,88 </t>
    </r>
    <r>
      <rPr>
        <i/>
        <sz val="12"/>
        <color theme="1"/>
        <rFont val="Times New Roman"/>
        <family val="1"/>
        <charset val="186"/>
      </rPr>
      <t>euro.</t>
    </r>
    <r>
      <rPr>
        <sz val="12"/>
        <color theme="1"/>
        <rFont val="Times New Roman"/>
        <family val="1"/>
        <charset val="186"/>
      </rPr>
      <t xml:space="preserve"> Kopā (15,07 </t>
    </r>
    <r>
      <rPr>
        <i/>
        <sz val="12"/>
        <color theme="1"/>
        <rFont val="Times New Roman"/>
        <family val="1"/>
        <charset val="186"/>
      </rPr>
      <t>euro</t>
    </r>
    <r>
      <rPr>
        <sz val="12"/>
        <color theme="1"/>
        <rFont val="Times New Roman"/>
        <family val="1"/>
        <charset val="186"/>
      </rPr>
      <t xml:space="preserve"> + 46,83 </t>
    </r>
    <r>
      <rPr>
        <i/>
        <sz val="12"/>
        <color theme="1"/>
        <rFont val="Times New Roman"/>
        <family val="1"/>
        <charset val="186"/>
      </rPr>
      <t>euro</t>
    </r>
    <r>
      <rPr>
        <sz val="12"/>
        <color theme="1"/>
        <rFont val="Times New Roman"/>
        <family val="1"/>
        <charset val="186"/>
      </rPr>
      <t xml:space="preserve"> + 19,88 </t>
    </r>
    <r>
      <rPr>
        <i/>
        <sz val="12"/>
        <color theme="1"/>
        <rFont val="Times New Roman"/>
        <family val="1"/>
        <charset val="186"/>
      </rPr>
      <t>euro</t>
    </r>
    <r>
      <rPr>
        <sz val="12"/>
        <color theme="1"/>
        <rFont val="Times New Roman"/>
        <family val="1"/>
        <charset val="186"/>
      </rPr>
      <t xml:space="preserve">) = 81,78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</si>
  <si>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1 798,94 </t>
    </r>
    <r>
      <rPr>
        <i/>
        <sz val="12"/>
        <color theme="1"/>
        <rFont val="Times New Roman"/>
        <family val="1"/>
        <charset val="186"/>
      </rPr>
      <t>euro</t>
    </r>
    <r>
      <rPr>
        <sz val="12"/>
        <color theme="1"/>
        <rFont val="Times New Roman"/>
        <family val="1"/>
        <charset val="186"/>
      </rPr>
      <t xml:space="preserve"> * 23,59 % = 424,37 </t>
    </r>
    <r>
      <rPr>
        <i/>
        <sz val="12"/>
        <color theme="1"/>
        <rFont val="Times New Roman"/>
        <family val="1"/>
        <charset val="186"/>
      </rPr>
      <t xml:space="preserve">euro. </t>
    </r>
  </si>
  <si>
    <r>
      <t xml:space="preserve">Darba devēja valsts sociālās apdrošināšanas obligātās iemaksas 424,37 </t>
    </r>
    <r>
      <rPr>
        <i/>
        <sz val="12"/>
        <color theme="1"/>
        <rFont val="Times New Roman"/>
        <family val="1"/>
        <charset val="186"/>
      </rPr>
      <t>euro</t>
    </r>
    <r>
      <rPr>
        <sz val="12"/>
        <color theme="1"/>
        <rFont val="Times New Roman"/>
        <family val="1"/>
        <charset val="186"/>
      </rPr>
      <t xml:space="preserve">. Veselības apdrošināšana 81,78 </t>
    </r>
    <r>
      <rPr>
        <i/>
        <sz val="12"/>
        <color theme="1"/>
        <rFont val="Times New Roman"/>
        <family val="1"/>
        <charset val="186"/>
      </rPr>
      <t>euro</t>
    </r>
    <r>
      <rPr>
        <sz val="12"/>
        <color theme="1"/>
        <rFont val="Times New Roman"/>
        <family val="1"/>
        <charset val="186"/>
      </rPr>
      <t xml:space="preserve">. Kopā 506,15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</si>
  <si>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0.3646 (iznomātās platības koeficients) = 331,60 </t>
    </r>
    <r>
      <rPr>
        <i/>
        <sz val="12"/>
        <color theme="1"/>
        <rFont val="Times New Roman"/>
        <family val="1"/>
        <charset val="186"/>
      </rPr>
      <t>euro</t>
    </r>
    <r>
      <rPr>
        <sz val="12"/>
        <color theme="1"/>
        <rFont val="Times New Roman"/>
        <family val="1"/>
        <charset val="186"/>
      </rPr>
      <t>.</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</si>
  <si>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0.0263 ((iznomātās platības koeficients) = 163,12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</si>
  <si>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 xml:space="preserve">/mēn. * 12 mēn. = 5 834,40 </t>
    </r>
    <r>
      <rPr>
        <i/>
        <sz val="12"/>
        <color theme="1"/>
        <rFont val="Times New Roman"/>
        <family val="1"/>
        <charset val="186"/>
      </rPr>
      <t>euro</t>
    </r>
    <r>
      <rPr>
        <sz val="12"/>
        <color theme="1"/>
        <rFont val="Times New Roman"/>
        <family val="1"/>
        <charset val="186"/>
      </rPr>
      <t xml:space="preserve"> * 0.0263 (iznomātās platības koeficients) = 153,44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</si>
  <si>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t>
    </r>
    <r>
      <rPr>
        <sz val="12"/>
        <color theme="1"/>
        <rFont val="Times New Roman"/>
        <family val="1"/>
        <charset val="186"/>
      </rPr>
      <t xml:space="preserve">/mēn. * 12 mēn. = 7 361,04 </t>
    </r>
    <r>
      <rPr>
        <i/>
        <sz val="12"/>
        <color theme="1"/>
        <rFont val="Times New Roman"/>
        <family val="1"/>
        <charset val="186"/>
      </rPr>
      <t>euro</t>
    </r>
    <r>
      <rPr>
        <sz val="12"/>
        <color theme="1"/>
        <rFont val="Times New Roman"/>
        <family val="1"/>
        <charset val="186"/>
      </rPr>
      <t xml:space="preserve"> * 0.0263 (iznomātās platības koeficients) = 193,60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</si>
  <si>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t>
    </r>
    <r>
      <rPr>
        <sz val="12"/>
        <color theme="1"/>
        <rFont val="Times New Roman"/>
        <family val="1"/>
        <charset val="186"/>
      </rPr>
      <t xml:space="preserve">/mēn. * 12 mēn. = 6 893,76 </t>
    </r>
    <r>
      <rPr>
        <i/>
        <sz val="12"/>
        <color theme="1"/>
        <rFont val="Times New Roman"/>
        <family val="1"/>
        <charset val="186"/>
      </rPr>
      <t>euro</t>
    </r>
    <r>
      <rPr>
        <sz val="12"/>
        <color theme="1"/>
        <rFont val="Times New Roman"/>
        <family val="1"/>
        <charset val="186"/>
      </rPr>
      <t xml:space="preserve"> * 0.0263 (iznomātās platības koeficients) = 181,31 </t>
    </r>
    <r>
      <rPr>
        <i/>
        <sz val="12"/>
        <color theme="1"/>
        <rFont val="Times New Roman"/>
        <family val="1"/>
        <charset val="186"/>
      </rPr>
      <t>euro</t>
    </r>
    <r>
      <rPr>
        <sz val="12"/>
        <color theme="1"/>
        <rFont val="Times New Roman"/>
        <family val="1"/>
        <charset val="186"/>
      </rPr>
      <t xml:space="preserve">. </t>
    </r>
  </si>
  <si>
    <r>
      <t xml:space="preserve">Pamatlīdzekļu amortizācija 2 748,15 </t>
    </r>
    <r>
      <rPr>
        <i/>
        <sz val="12"/>
        <color theme="1"/>
        <rFont val="Times New Roman"/>
        <family val="1"/>
        <charset val="186"/>
      </rPr>
      <t>euro</t>
    </r>
    <r>
      <rPr>
        <sz val="12"/>
        <color theme="1"/>
        <rFont val="Times New Roman"/>
        <family val="1"/>
        <charset val="186"/>
      </rPr>
      <t xml:space="preserve"> gadā * 0.0085 (iznomātās platības koeficients) = 23,36 </t>
    </r>
    <r>
      <rPr>
        <i/>
        <sz val="12"/>
        <color theme="1"/>
        <rFont val="Times New Roman"/>
        <family val="1"/>
        <charset val="186"/>
      </rPr>
      <t>euro.</t>
    </r>
  </si>
  <si>
    <r>
      <t xml:space="preserve">Pamatlīdzekļu amortizācija 1 134,21 </t>
    </r>
    <r>
      <rPr>
        <i/>
        <sz val="12"/>
        <color theme="1"/>
        <rFont val="Times New Roman"/>
        <family val="1"/>
        <charset val="186"/>
      </rPr>
      <t>euro</t>
    </r>
    <r>
      <rPr>
        <sz val="12"/>
        <color theme="1"/>
        <rFont val="Times New Roman"/>
        <family val="1"/>
        <charset val="186"/>
      </rPr>
      <t xml:space="preserve"> gadā * 0.0085 (iznomātās platības koeficients) = 9,64 </t>
    </r>
    <r>
      <rPr>
        <i/>
        <sz val="12"/>
        <color theme="1"/>
        <rFont val="Times New Roman"/>
        <family val="1"/>
        <charset val="186"/>
      </rPr>
      <t>euro.</t>
    </r>
  </si>
  <si>
    <r>
      <t xml:space="preserve">Pamatlīdzekļu amortizācija 251,64 </t>
    </r>
    <r>
      <rPr>
        <i/>
        <sz val="12"/>
        <color theme="1"/>
        <rFont val="Times New Roman"/>
        <family val="1"/>
        <charset val="186"/>
      </rPr>
      <t>euro</t>
    </r>
    <r>
      <rPr>
        <sz val="12"/>
        <color theme="1"/>
        <rFont val="Times New Roman"/>
        <family val="1"/>
        <charset val="186"/>
      </rPr>
      <t xml:space="preserve"> gadā * 0.0085 (iznomātās platības koeficients) = 2,14 </t>
    </r>
    <r>
      <rPr>
        <i/>
        <sz val="12"/>
        <color theme="1"/>
        <rFont val="Times New Roman"/>
        <family val="1"/>
        <charset val="186"/>
      </rPr>
      <t>euro.</t>
    </r>
  </si>
  <si>
    <r>
      <t xml:space="preserve">Ēku amortizācija 3 809,72 </t>
    </r>
    <r>
      <rPr>
        <i/>
        <sz val="12"/>
        <color theme="1"/>
        <rFont val="Times New Roman"/>
        <family val="1"/>
        <charset val="186"/>
      </rPr>
      <t>euro</t>
    </r>
    <r>
      <rPr>
        <sz val="12"/>
        <color theme="1"/>
        <rFont val="Times New Roman"/>
        <family val="1"/>
        <charset val="186"/>
      </rPr>
      <t xml:space="preserve"> gadā * 0.0085 (iznomātās platības koeficients) = 32,38 </t>
    </r>
    <r>
      <rPr>
        <i/>
        <sz val="12"/>
        <color theme="1"/>
        <rFont val="Times New Roman"/>
        <family val="1"/>
        <charset val="186"/>
      </rPr>
      <t>euro.</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</si>
  <si>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5.8 stundas, (8,14 </t>
    </r>
    <r>
      <rPr>
        <i/>
        <sz val="12"/>
        <color theme="1"/>
        <rFont val="Times New Roman"/>
        <family val="1"/>
        <charset val="186"/>
      </rPr>
      <t>euro</t>
    </r>
    <r>
      <rPr>
        <sz val="12"/>
        <color theme="1"/>
        <rFont val="Times New Roman"/>
        <family val="1"/>
        <charset val="186"/>
      </rPr>
      <t xml:space="preserve"> * 5.8 h) = 47,21 </t>
    </r>
    <r>
      <rPr>
        <i/>
        <sz val="12"/>
        <color theme="1"/>
        <rFont val="Times New Roman"/>
        <family val="1"/>
        <charset val="186"/>
      </rPr>
      <t>euro</t>
    </r>
    <r>
      <rPr>
        <sz val="12"/>
        <color theme="1"/>
        <rFont val="Times New Roman"/>
        <family val="1"/>
        <charset val="186"/>
      </rPr>
      <t xml:space="preserve">/mēn. * 12 mēn. = 566,52 </t>
    </r>
    <r>
      <rPr>
        <i/>
        <sz val="12"/>
        <color theme="1"/>
        <rFont val="Times New Roman"/>
        <family val="1"/>
        <charset val="186"/>
      </rPr>
      <t>euro</t>
    </r>
    <r>
      <rPr>
        <sz val="12"/>
        <color theme="1"/>
        <rFont val="Times New Roman"/>
        <family val="1"/>
        <charset val="186"/>
      </rPr>
      <t xml:space="preserve"> * 0.794 (iznomātās platības koeficients) = 449,82 </t>
    </r>
    <r>
      <rPr>
        <i/>
        <sz val="12"/>
        <color theme="1"/>
        <rFont val="Times New Roman"/>
        <family val="1"/>
        <charset val="186"/>
      </rPr>
      <t>euro</t>
    </r>
    <r>
      <rPr>
        <sz val="12"/>
        <color theme="1"/>
        <rFont val="Times New Roman"/>
        <family val="1"/>
        <charset val="186"/>
      </rPr>
      <t xml:space="preserve">. </t>
    </r>
  </si>
  <si>
    <r>
      <t xml:space="preserve">Izdevumi par apkuri 3 147,44 </t>
    </r>
    <r>
      <rPr>
        <i/>
        <sz val="12"/>
        <color theme="1"/>
        <rFont val="Times New Roman"/>
        <family val="1"/>
        <charset val="186"/>
      </rPr>
      <t>euro</t>
    </r>
    <r>
      <rPr>
        <sz val="12"/>
        <color theme="1"/>
        <rFont val="Times New Roman"/>
        <family val="1"/>
        <charset val="186"/>
      </rPr>
      <t xml:space="preserve"> gadā * 0.794 (iznomātās platības koeficients) = 2 499,07 </t>
    </r>
    <r>
      <rPr>
        <i/>
        <sz val="12"/>
        <color theme="1"/>
        <rFont val="Times New Roman"/>
        <family val="1"/>
        <charset val="186"/>
      </rPr>
      <t>euro.</t>
    </r>
  </si>
  <si>
    <r>
      <t xml:space="preserve">Izdevumi par ūdeni un kanalizāciju 222,64 </t>
    </r>
    <r>
      <rPr>
        <i/>
        <sz val="12"/>
        <color theme="1"/>
        <rFont val="Times New Roman"/>
        <family val="1"/>
        <charset val="186"/>
      </rPr>
      <t>euro</t>
    </r>
    <r>
      <rPr>
        <sz val="12"/>
        <color theme="1"/>
        <rFont val="Times New Roman"/>
        <family val="1"/>
        <charset val="186"/>
      </rPr>
      <t xml:space="preserve"> gadā * 0.794 (iznomātās platības koeficients) = 176,78 </t>
    </r>
    <r>
      <rPr>
        <i/>
        <sz val="12"/>
        <color theme="1"/>
        <rFont val="Times New Roman"/>
        <family val="1"/>
        <charset val="186"/>
      </rPr>
      <t>euro.</t>
    </r>
  </si>
  <si>
    <r>
      <t xml:space="preserve">Izdevumi par elektroenerģiju 1 318,92 </t>
    </r>
    <r>
      <rPr>
        <i/>
        <sz val="12"/>
        <color theme="1"/>
        <rFont val="Times New Roman"/>
        <family val="1"/>
        <charset val="186"/>
      </rPr>
      <t>euro</t>
    </r>
    <r>
      <rPr>
        <sz val="12"/>
        <color theme="1"/>
        <rFont val="Times New Roman"/>
        <family val="1"/>
        <charset val="186"/>
      </rPr>
      <t xml:space="preserve"> gadā * 0.794 (iznomātās platības koeficients) = 1 047,22 </t>
    </r>
    <r>
      <rPr>
        <i/>
        <sz val="12"/>
        <color theme="1"/>
        <rFont val="Times New Roman"/>
        <family val="1"/>
        <charset val="186"/>
      </rPr>
      <t>euro.</t>
    </r>
  </si>
  <si>
    <r>
      <t xml:space="preserve">Izdevumi par atkritumu izvešanu 200,60 </t>
    </r>
    <r>
      <rPr>
        <i/>
        <sz val="12"/>
        <color theme="1"/>
        <rFont val="Times New Roman"/>
        <family val="1"/>
        <charset val="186"/>
      </rPr>
      <t>euro</t>
    </r>
    <r>
      <rPr>
        <sz val="12"/>
        <color theme="1"/>
        <rFont val="Times New Roman"/>
        <family val="1"/>
        <charset val="186"/>
      </rPr>
      <t xml:space="preserve"> gadā * 0.794 (iznomātās platības koeficients) = 159,28 </t>
    </r>
    <r>
      <rPr>
        <i/>
        <sz val="12"/>
        <color theme="1"/>
        <rFont val="Times New Roman"/>
        <family val="1"/>
        <charset val="186"/>
      </rPr>
      <t>euro</t>
    </r>
    <r>
      <rPr>
        <sz val="12"/>
        <color theme="1"/>
        <rFont val="Times New Roman"/>
        <family val="1"/>
        <charset val="186"/>
      </rPr>
      <t>.</t>
    </r>
  </si>
  <si>
    <r>
      <t xml:space="preserve">Izdevumi par dabas gāzi 9,71 </t>
    </r>
    <r>
      <rPr>
        <i/>
        <sz val="12"/>
        <color theme="1"/>
        <rFont val="Times New Roman"/>
        <family val="1"/>
        <charset val="186"/>
      </rPr>
      <t>euro</t>
    </r>
    <r>
      <rPr>
        <sz val="12"/>
        <color theme="1"/>
        <rFont val="Times New Roman"/>
        <family val="1"/>
        <charset val="186"/>
      </rPr>
      <t xml:space="preserve"> gadā * 0.794 (iznomātās platības koeficients) = 7,71 </t>
    </r>
    <r>
      <rPr>
        <i/>
        <sz val="12"/>
        <color theme="1"/>
        <rFont val="Times New Roman"/>
        <family val="1"/>
        <charset val="186"/>
      </rPr>
      <t>euro</t>
    </r>
    <r>
      <rPr>
        <sz val="12"/>
        <color theme="1"/>
        <rFont val="Times New Roman"/>
        <family val="1"/>
        <charset val="186"/>
      </rPr>
      <t>.</t>
    </r>
  </si>
  <si>
    <r>
      <t xml:space="preserve">Evakuācijas plāna izstrādes izdevumi par 12,40 </t>
    </r>
    <r>
      <rPr>
        <i/>
        <sz val="12"/>
        <color theme="1"/>
        <rFont val="Times New Roman"/>
        <family val="1"/>
        <charset val="186"/>
      </rPr>
      <t>euro</t>
    </r>
    <r>
      <rPr>
        <sz val="12"/>
        <color theme="1"/>
        <rFont val="Times New Roman"/>
        <family val="1"/>
        <charset val="186"/>
      </rPr>
      <t xml:space="preserve"> gadā * 0.794 (iznomātās platības koeficients) = 9,85 </t>
    </r>
    <r>
      <rPr>
        <i/>
        <sz val="12"/>
        <color theme="1"/>
        <rFont val="Times New Roman"/>
        <family val="1"/>
        <charset val="186"/>
      </rPr>
      <t>euro</t>
    </r>
    <r>
      <rPr>
        <sz val="12"/>
        <color theme="1"/>
        <rFont val="Times New Roman"/>
        <family val="1"/>
        <charset val="186"/>
      </rPr>
      <t>.</t>
    </r>
  </si>
  <si>
    <r>
      <t xml:space="preserve">Trauksmes un apsardzes signalizāciju tehniskā apkope, Ugunsdzēsības sistēmas pārbaude, Apkures sistēmas pieslēgšana un remonts, Ugunsdzēsības krānu un hidrantu pārbaude, ugunsdzēsības ūdensvada apsekošana, kā arī citu iekārtu apkope un remonts, avāriju bojājumu novēršanas izdevumi 58,41 </t>
    </r>
    <r>
      <rPr>
        <i/>
        <sz val="12"/>
        <color theme="1"/>
        <rFont val="Times New Roman"/>
        <family val="1"/>
        <charset val="186"/>
      </rPr>
      <t>euro</t>
    </r>
    <r>
      <rPr>
        <sz val="12"/>
        <color theme="1"/>
        <rFont val="Times New Roman"/>
        <family val="1"/>
        <charset val="186"/>
      </rPr>
      <t xml:space="preserve"> gadā * 0.794 (iznomātās platības koeficients) = 46,38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</si>
  <si>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1 571,23 </t>
    </r>
    <r>
      <rPr>
        <i/>
        <sz val="12"/>
        <color theme="1"/>
        <rFont val="Times New Roman"/>
        <family val="1"/>
        <charset val="186"/>
      </rPr>
      <t>euro</t>
    </r>
    <r>
      <rPr>
        <sz val="12"/>
        <color theme="1"/>
        <rFont val="Times New Roman"/>
        <family val="1"/>
        <charset val="186"/>
      </rPr>
      <t xml:space="preserve"> gadā * 0.794 (iznomātās platības koeficients) = 1 247,56 </t>
    </r>
    <r>
      <rPr>
        <i/>
        <sz val="12"/>
        <color theme="1"/>
        <rFont val="Times New Roman"/>
        <family val="1"/>
        <charset val="186"/>
      </rPr>
      <t>euro.</t>
    </r>
  </si>
  <si>
    <r>
      <t xml:space="preserve">Saimniecības inventāra un materiālu (spuldzes, higiēnas preces, birstes u.tml.) iegādes izdevumi 49,02 </t>
    </r>
    <r>
      <rPr>
        <i/>
        <sz val="12"/>
        <color theme="1"/>
        <rFont val="Times New Roman"/>
        <family val="1"/>
        <charset val="186"/>
      </rPr>
      <t>euro</t>
    </r>
    <r>
      <rPr>
        <sz val="12"/>
        <color theme="1"/>
        <rFont val="Times New Roman"/>
        <family val="1"/>
        <charset val="186"/>
      </rPr>
      <t xml:space="preserve"> gadā * 0.794 (iznomātās platības koeficients)  = 38,92 </t>
    </r>
    <r>
      <rPr>
        <i/>
        <sz val="12"/>
        <color theme="1"/>
        <rFont val="Times New Roman"/>
        <family val="1"/>
        <charset val="186"/>
      </rPr>
      <t>euro.</t>
    </r>
  </si>
  <si>
    <r>
      <t xml:space="preserve">Nekustamā īpašuma nodoklis 129,73 </t>
    </r>
    <r>
      <rPr>
        <i/>
        <sz val="12"/>
        <color theme="1"/>
        <rFont val="Times New Roman"/>
        <family val="1"/>
        <charset val="186"/>
      </rPr>
      <t>euro</t>
    </r>
    <r>
      <rPr>
        <sz val="12"/>
        <color theme="1"/>
        <rFont val="Times New Roman"/>
        <family val="1"/>
        <charset val="186"/>
      </rPr>
      <t xml:space="preserve"> gadā * 0.794 (iznomātās platības koeficients) = 103,01 </t>
    </r>
    <r>
      <rPr>
        <i/>
        <sz val="12"/>
        <color theme="1"/>
        <rFont val="Times New Roman"/>
        <family val="1"/>
        <charset val="186"/>
      </rPr>
      <t>euro.</t>
    </r>
  </si>
  <si>
    <r>
      <t xml:space="preserve">Ēku amortizācija 359,42 </t>
    </r>
    <r>
      <rPr>
        <i/>
        <sz val="12"/>
        <color theme="1"/>
        <rFont val="Times New Roman"/>
        <family val="1"/>
        <charset val="186"/>
      </rPr>
      <t>euro</t>
    </r>
    <r>
      <rPr>
        <sz val="12"/>
        <color theme="1"/>
        <rFont val="Times New Roman"/>
        <family val="1"/>
        <charset val="186"/>
      </rPr>
      <t xml:space="preserve"> gadā * 0.794 (iznomātās platības koeficients) = 285,38 </t>
    </r>
    <r>
      <rPr>
        <i/>
        <sz val="12"/>
        <color theme="1"/>
        <rFont val="Times New Roman"/>
        <family val="1"/>
        <charset val="186"/>
      </rPr>
      <t>euro.</t>
    </r>
  </si>
  <si>
    <r>
      <t xml:space="preserve">Pamatlīdzekļu amortizācija 256,96 </t>
    </r>
    <r>
      <rPr>
        <i/>
        <sz val="12"/>
        <color theme="1"/>
        <rFont val="Times New Roman"/>
        <family val="1"/>
        <charset val="186"/>
      </rPr>
      <t>euro</t>
    </r>
    <r>
      <rPr>
        <sz val="12"/>
        <color theme="1"/>
        <rFont val="Times New Roman"/>
        <family val="1"/>
        <charset val="186"/>
      </rPr>
      <t xml:space="preserve"> gadā * 0.794 (iznomātās platības koeficients) = 204,03 </t>
    </r>
    <r>
      <rPr>
        <i/>
        <sz val="12"/>
        <color theme="1"/>
        <rFont val="Times New Roman"/>
        <family val="1"/>
        <charset val="186"/>
      </rPr>
      <t>euro.</t>
    </r>
  </si>
  <si>
    <r>
      <t xml:space="preserve">Pamatlīdzekļu amortizācija 169,48 </t>
    </r>
    <r>
      <rPr>
        <i/>
        <sz val="12"/>
        <color theme="1"/>
        <rFont val="Times New Roman"/>
        <family val="1"/>
        <charset val="186"/>
      </rPr>
      <t>euro</t>
    </r>
    <r>
      <rPr>
        <sz val="12"/>
        <color theme="1"/>
        <rFont val="Times New Roman"/>
        <family val="1"/>
        <charset val="186"/>
      </rPr>
      <t xml:space="preserve"> gadā * 0.794 (iznomātās platības koeficients) = 134,57 </t>
    </r>
    <r>
      <rPr>
        <i/>
        <sz val="12"/>
        <color theme="1"/>
        <rFont val="Times New Roman"/>
        <family val="1"/>
        <charset val="186"/>
      </rPr>
      <t>euro.</t>
    </r>
  </si>
  <si>
    <r>
      <t xml:space="preserve">Pamatlīdzekļu amortizācija 217,29 </t>
    </r>
    <r>
      <rPr>
        <i/>
        <sz val="12"/>
        <color theme="1"/>
        <rFont val="Times New Roman"/>
        <family val="1"/>
        <charset val="186"/>
      </rPr>
      <t>euro</t>
    </r>
    <r>
      <rPr>
        <sz val="12"/>
        <color theme="1"/>
        <rFont val="Times New Roman"/>
        <family val="1"/>
        <charset val="186"/>
      </rPr>
      <t xml:space="preserve"> gadā * 0.794 (iznomātās platības koeficients) = 172,53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</si>
  <si>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5 min., (26,96 </t>
    </r>
    <r>
      <rPr>
        <i/>
        <sz val="12"/>
        <color theme="1"/>
        <rFont val="Times New Roman"/>
        <family val="1"/>
        <charset val="186"/>
      </rPr>
      <t>euro</t>
    </r>
    <r>
      <rPr>
        <sz val="12"/>
        <color theme="1"/>
        <rFont val="Times New Roman"/>
        <family val="1"/>
        <charset val="186"/>
      </rPr>
      <t xml:space="preserve"> * 0.08 h) = 2,16 </t>
    </r>
    <r>
      <rPr>
        <i/>
        <sz val="12"/>
        <color theme="1"/>
        <rFont val="Times New Roman"/>
        <family val="1"/>
        <charset val="186"/>
      </rPr>
      <t>euro</t>
    </r>
    <r>
      <rPr>
        <sz val="12"/>
        <color theme="1"/>
        <rFont val="Times New Roman"/>
        <family val="1"/>
        <charset val="186"/>
      </rPr>
      <t xml:space="preserve">/mēn. * 12. mēn. = 31,92 </t>
    </r>
    <r>
      <rPr>
        <i/>
        <sz val="12"/>
        <color theme="1"/>
        <rFont val="Times New Roman"/>
        <family val="1"/>
        <charset val="186"/>
      </rPr>
      <t>euro</t>
    </r>
    <r>
      <rPr>
        <sz val="12"/>
        <color theme="1"/>
        <rFont val="Times New Roman"/>
        <family val="1"/>
        <charset val="186"/>
      </rPr>
      <t xml:space="preserve"> * 0.205 (iznomātās platības koeficients) = 5,31 </t>
    </r>
    <r>
      <rPr>
        <i/>
        <sz val="12"/>
        <color theme="1"/>
        <rFont val="Times New Roman"/>
        <family val="1"/>
        <charset val="186"/>
      </rPr>
      <t>euro</t>
    </r>
    <r>
      <rPr>
        <sz val="12"/>
        <color theme="1"/>
        <rFont val="Times New Roman"/>
        <family val="1"/>
        <charset val="186"/>
      </rPr>
      <t xml:space="preserve">. </t>
    </r>
  </si>
  <si>
    <r>
      <t xml:space="preserve">Izdevumi par ūdeni un kanalizāciju 222,64 </t>
    </r>
    <r>
      <rPr>
        <i/>
        <sz val="12"/>
        <color theme="1"/>
        <rFont val="Times New Roman"/>
        <family val="1"/>
        <charset val="186"/>
      </rPr>
      <t>euro</t>
    </r>
    <r>
      <rPr>
        <sz val="12"/>
        <color theme="1"/>
        <rFont val="Times New Roman"/>
        <family val="1"/>
        <charset val="186"/>
      </rPr>
      <t xml:space="preserve"> gadā * 0.205 (iznomātās platības koeficients) = 45,64 </t>
    </r>
    <r>
      <rPr>
        <i/>
        <sz val="12"/>
        <color theme="1"/>
        <rFont val="Times New Roman"/>
        <family val="1"/>
        <charset val="186"/>
      </rPr>
      <t>euro</t>
    </r>
    <r>
      <rPr>
        <sz val="12"/>
        <color theme="1"/>
        <rFont val="Times New Roman"/>
        <family val="1"/>
        <charset val="186"/>
      </rPr>
      <t>.</t>
    </r>
  </si>
  <si>
    <r>
      <t xml:space="preserve">Izdevumi par apkuri 3 147.44 </t>
    </r>
    <r>
      <rPr>
        <i/>
        <sz val="12"/>
        <color theme="1"/>
        <rFont val="Times New Roman"/>
        <family val="1"/>
        <charset val="186"/>
      </rPr>
      <t>euro</t>
    </r>
    <r>
      <rPr>
        <sz val="12"/>
        <color theme="1"/>
        <rFont val="Times New Roman"/>
        <family val="1"/>
        <charset val="186"/>
      </rPr>
      <t xml:space="preserve"> gadā * 0.205 (iznomātās platības koeficients) = 645,23 </t>
    </r>
    <r>
      <rPr>
        <i/>
        <sz val="12"/>
        <color theme="1"/>
        <rFont val="Times New Roman"/>
        <family val="1"/>
        <charset val="186"/>
      </rPr>
      <t>euro</t>
    </r>
    <r>
      <rPr>
        <sz val="12"/>
        <color theme="1"/>
        <rFont val="Times New Roman"/>
        <family val="1"/>
        <charset val="186"/>
      </rPr>
      <t>.</t>
    </r>
  </si>
  <si>
    <r>
      <t xml:space="preserve">Izdevumi par elektroenerģiju 1 318,92 </t>
    </r>
    <r>
      <rPr>
        <i/>
        <sz val="12"/>
        <color theme="1"/>
        <rFont val="Times New Roman"/>
        <family val="1"/>
        <charset val="186"/>
      </rPr>
      <t>euro</t>
    </r>
    <r>
      <rPr>
        <sz val="12"/>
        <color theme="1"/>
        <rFont val="Times New Roman"/>
        <family val="1"/>
        <charset val="186"/>
      </rPr>
      <t xml:space="preserve"> gadā * 0.205 (iznomātās platības koeficients) = 270,38 </t>
    </r>
    <r>
      <rPr>
        <i/>
        <sz val="12"/>
        <color theme="1"/>
        <rFont val="Times New Roman"/>
        <family val="1"/>
        <charset val="186"/>
      </rPr>
      <t>euro</t>
    </r>
    <r>
      <rPr>
        <sz val="12"/>
        <color theme="1"/>
        <rFont val="Times New Roman"/>
        <family val="1"/>
        <charset val="186"/>
      </rPr>
      <t>.</t>
    </r>
  </si>
  <si>
    <t>Izdevumi par dabas gāzi 9,71 euro gadā * 0.205 (iznomātās platības koeficients) = 1,99 euro.</t>
  </si>
  <si>
    <r>
      <t xml:space="preserve">Evakuācijas plāna izstrādes izdevumi par 12,40 </t>
    </r>
    <r>
      <rPr>
        <i/>
        <sz val="12"/>
        <color theme="1"/>
        <rFont val="Times New Roman"/>
        <family val="1"/>
        <charset val="186"/>
      </rPr>
      <t>euro</t>
    </r>
    <r>
      <rPr>
        <sz val="12"/>
        <color theme="1"/>
        <rFont val="Times New Roman"/>
        <family val="1"/>
        <charset val="186"/>
      </rPr>
      <t xml:space="preserve"> gadā * 0.205 (iznomātās platības koeficients) = 2,54 </t>
    </r>
    <r>
      <rPr>
        <i/>
        <sz val="12"/>
        <color theme="1"/>
        <rFont val="Times New Roman"/>
        <family val="1"/>
        <charset val="186"/>
      </rPr>
      <t>euro</t>
    </r>
    <r>
      <rPr>
        <sz val="12"/>
        <color theme="1"/>
        <rFont val="Times New Roman"/>
        <family val="1"/>
        <charset val="186"/>
      </rPr>
      <t>.</t>
    </r>
  </si>
  <si>
    <r>
      <t xml:space="preserve">Trauksmes un apsardzes signalizāciju tehniskā apkope, Ugunsdzēsības sistēmas pārbaude, Apkures sistēmas pieslēgšana un remonts, Ugunsdzēsības krānu un hidrantu pārbaude, ugunsdzēsības ūdensvada apsekošana, kā arī citu iekārtu apkope un remonts, avāriju bojājumu novēršanas izdevumi 58,41 </t>
    </r>
    <r>
      <rPr>
        <i/>
        <sz val="12"/>
        <color theme="1"/>
        <rFont val="Times New Roman"/>
        <family val="1"/>
        <charset val="186"/>
      </rPr>
      <t>euro</t>
    </r>
    <r>
      <rPr>
        <sz val="12"/>
        <color theme="1"/>
        <rFont val="Times New Roman"/>
        <family val="1"/>
        <charset val="186"/>
      </rPr>
      <t xml:space="preserve"> gadā * 0.205 (iznomātās platības koeficients) = 11,97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</si>
  <si>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1 571,23 </t>
    </r>
    <r>
      <rPr>
        <i/>
        <sz val="12"/>
        <color theme="1"/>
        <rFont val="Times New Roman"/>
        <family val="1"/>
        <charset val="186"/>
      </rPr>
      <t>euro</t>
    </r>
    <r>
      <rPr>
        <sz val="12"/>
        <color theme="1"/>
        <rFont val="Times New Roman"/>
        <family val="1"/>
        <charset val="186"/>
      </rPr>
      <t xml:space="preserve"> gadā * 0.205 (iznomātās platības koeficients) = 322,10 </t>
    </r>
    <r>
      <rPr>
        <i/>
        <sz val="12"/>
        <color theme="1"/>
        <rFont val="Times New Roman"/>
        <family val="1"/>
        <charset val="186"/>
      </rPr>
      <t>euro</t>
    </r>
    <r>
      <rPr>
        <sz val="12"/>
        <color theme="1"/>
        <rFont val="Times New Roman"/>
        <family val="1"/>
        <charset val="186"/>
      </rPr>
      <t>.</t>
    </r>
  </si>
  <si>
    <r>
      <t xml:space="preserve">Saimniecības inventāra un materiālu (spuldzes, higiēnas preces, birstes u.tml.) iegādes izdevumi 49,02 </t>
    </r>
    <r>
      <rPr>
        <i/>
        <sz val="12"/>
        <color theme="1"/>
        <rFont val="Times New Roman"/>
        <family val="1"/>
        <charset val="186"/>
      </rPr>
      <t>euro</t>
    </r>
    <r>
      <rPr>
        <sz val="12"/>
        <color theme="1"/>
        <rFont val="Times New Roman"/>
        <family val="1"/>
        <charset val="186"/>
      </rPr>
      <t xml:space="preserve"> gadā * 0.205 (iznomātās platības koeficients) = 10,05 </t>
    </r>
    <r>
      <rPr>
        <i/>
        <sz val="12"/>
        <color theme="1"/>
        <rFont val="Times New Roman"/>
        <family val="1"/>
        <charset val="186"/>
      </rPr>
      <t>euro</t>
    </r>
    <r>
      <rPr>
        <sz val="12"/>
        <color theme="1"/>
        <rFont val="Times New Roman"/>
        <family val="1"/>
        <charset val="186"/>
      </rPr>
      <t>.</t>
    </r>
  </si>
  <si>
    <r>
      <t xml:space="preserve">Nekustamā īpašuma nodoklis 129,73 </t>
    </r>
    <r>
      <rPr>
        <i/>
        <sz val="12"/>
        <color theme="1"/>
        <rFont val="Times New Roman"/>
        <family val="1"/>
        <charset val="186"/>
      </rPr>
      <t>euro</t>
    </r>
    <r>
      <rPr>
        <sz val="12"/>
        <color theme="1"/>
        <rFont val="Times New Roman"/>
        <family val="1"/>
        <charset val="186"/>
      </rPr>
      <t xml:space="preserve"> gadā * 0.205 (iznomātās platības koeficients) = 26,59 </t>
    </r>
    <r>
      <rPr>
        <i/>
        <sz val="12"/>
        <color theme="1"/>
        <rFont val="Times New Roman"/>
        <family val="1"/>
        <charset val="186"/>
      </rPr>
      <t>euro</t>
    </r>
    <r>
      <rPr>
        <sz val="12"/>
        <color theme="1"/>
        <rFont val="Times New Roman"/>
        <family val="1"/>
        <charset val="186"/>
      </rPr>
      <t>.</t>
    </r>
  </si>
  <si>
    <r>
      <t xml:space="preserve">Ēku amortizācija 359,42 </t>
    </r>
    <r>
      <rPr>
        <i/>
        <sz val="12"/>
        <color theme="1"/>
        <rFont val="Times New Roman"/>
        <family val="1"/>
        <charset val="186"/>
      </rPr>
      <t>euro</t>
    </r>
    <r>
      <rPr>
        <sz val="12"/>
        <color theme="1"/>
        <rFont val="Times New Roman"/>
        <family val="1"/>
        <charset val="186"/>
      </rPr>
      <t xml:space="preserve"> gadā * 0.205 (iznomātās platības koeficients) = 73,68 </t>
    </r>
    <r>
      <rPr>
        <i/>
        <sz val="12"/>
        <color theme="1"/>
        <rFont val="Times New Roman"/>
        <family val="1"/>
        <charset val="186"/>
      </rPr>
      <t>euro</t>
    </r>
    <r>
      <rPr>
        <sz val="12"/>
        <color theme="1"/>
        <rFont val="Times New Roman"/>
        <family val="1"/>
        <charset val="186"/>
      </rPr>
      <t>.</t>
    </r>
  </si>
  <si>
    <r>
      <t xml:space="preserve">Pamatlīdzekļu amortizācija 256,96 </t>
    </r>
    <r>
      <rPr>
        <i/>
        <sz val="12"/>
        <color theme="1"/>
        <rFont val="Times New Roman"/>
        <family val="1"/>
        <charset val="186"/>
      </rPr>
      <t>euro</t>
    </r>
    <r>
      <rPr>
        <sz val="12"/>
        <color theme="1"/>
        <rFont val="Times New Roman"/>
        <family val="1"/>
        <charset val="186"/>
      </rPr>
      <t xml:space="preserve"> gadā * 0.205 (iznomātās platības koeficients) = 52,68 </t>
    </r>
    <r>
      <rPr>
        <i/>
        <sz val="12"/>
        <color theme="1"/>
        <rFont val="Times New Roman"/>
        <family val="1"/>
        <charset val="186"/>
      </rPr>
      <t>euro</t>
    </r>
    <r>
      <rPr>
        <sz val="12"/>
        <color theme="1"/>
        <rFont val="Times New Roman"/>
        <family val="1"/>
        <charset val="186"/>
      </rPr>
      <t>.</t>
    </r>
  </si>
  <si>
    <r>
      <t xml:space="preserve">Pamatlīdzekļu amortizācija 169,48 </t>
    </r>
    <r>
      <rPr>
        <i/>
        <sz val="12"/>
        <color theme="1"/>
        <rFont val="Times New Roman"/>
        <family val="1"/>
        <charset val="186"/>
      </rPr>
      <t>euro</t>
    </r>
    <r>
      <rPr>
        <sz val="12"/>
        <color theme="1"/>
        <rFont val="Times New Roman"/>
        <family val="1"/>
        <charset val="186"/>
      </rPr>
      <t xml:space="preserve"> gadā * 0.205 (iznomātās platības koeficients) = 34,74 </t>
    </r>
    <r>
      <rPr>
        <i/>
        <sz val="12"/>
        <color theme="1"/>
        <rFont val="Times New Roman"/>
        <family val="1"/>
        <charset val="186"/>
      </rPr>
      <t>euro</t>
    </r>
    <r>
      <rPr>
        <sz val="12"/>
        <color theme="1"/>
        <rFont val="Times New Roman"/>
        <family val="1"/>
        <charset val="186"/>
      </rPr>
      <t>.</t>
    </r>
  </si>
  <si>
    <r>
      <t xml:space="preserve">Pamatlīdzekļu amortizācija 217,29 </t>
    </r>
    <r>
      <rPr>
        <i/>
        <sz val="12"/>
        <color theme="1"/>
        <rFont val="Times New Roman"/>
        <family val="1"/>
        <charset val="186"/>
      </rPr>
      <t>euro</t>
    </r>
    <r>
      <rPr>
        <sz val="12"/>
        <color theme="1"/>
        <rFont val="Times New Roman"/>
        <family val="1"/>
        <charset val="186"/>
      </rPr>
      <t xml:space="preserve"> gadā * 0.205 (iznomātās platības koeficients) = 44,54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</si>
  <si>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166.92 (vid. d. stundu sk. mēnesī). Vid. mēn. noslogojums 44 minūtes, (11,47 </t>
    </r>
    <r>
      <rPr>
        <i/>
        <sz val="12"/>
        <color theme="1"/>
        <rFont val="Times New Roman"/>
        <family val="1"/>
        <charset val="186"/>
      </rPr>
      <t>euro</t>
    </r>
    <r>
      <rPr>
        <sz val="12"/>
        <color theme="1"/>
        <rFont val="Times New Roman"/>
        <family val="1"/>
        <charset val="186"/>
      </rPr>
      <t xml:space="preserve"> * 0.73 h) = 8,37 </t>
    </r>
    <r>
      <rPr>
        <i/>
        <sz val="12"/>
        <color theme="1"/>
        <rFont val="Times New Roman"/>
        <family val="1"/>
        <charset val="186"/>
      </rPr>
      <t>euro</t>
    </r>
    <r>
      <rPr>
        <sz val="12"/>
        <color theme="1"/>
        <rFont val="Times New Roman"/>
        <family val="1"/>
        <charset val="186"/>
      </rPr>
      <t xml:space="preserve">/mēn. * 12. mēn. = 100,44 </t>
    </r>
    <r>
      <rPr>
        <i/>
        <sz val="12"/>
        <color theme="1"/>
        <rFont val="Times New Roman"/>
        <family val="1"/>
        <charset val="186"/>
      </rPr>
      <t>euro</t>
    </r>
    <r>
      <rPr>
        <sz val="12"/>
        <color theme="1"/>
        <rFont val="Times New Roman"/>
        <family val="1"/>
        <charset val="186"/>
      </rPr>
      <t xml:space="preserve"> * 0.205 (iznomātās platības koeficients) = 20,59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</si>
  <si>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6 min, (12,66 </t>
    </r>
    <r>
      <rPr>
        <i/>
        <sz val="12"/>
        <color theme="1"/>
        <rFont val="Times New Roman"/>
        <family val="1"/>
        <charset val="186"/>
      </rPr>
      <t>euro</t>
    </r>
    <r>
      <rPr>
        <sz val="12"/>
        <color theme="1"/>
        <rFont val="Times New Roman"/>
        <family val="1"/>
        <charset val="186"/>
      </rPr>
      <t xml:space="preserve"> * 0.1 h) = 1,27 </t>
    </r>
    <r>
      <rPr>
        <i/>
        <sz val="12"/>
        <color theme="1"/>
        <rFont val="Times New Roman"/>
        <family val="1"/>
        <charset val="186"/>
      </rPr>
      <t>euro</t>
    </r>
    <r>
      <rPr>
        <sz val="12"/>
        <color theme="1"/>
        <rFont val="Times New Roman"/>
        <family val="1"/>
        <charset val="186"/>
      </rPr>
      <t xml:space="preserve">/mēn. * 12. mēn. = 15,24 </t>
    </r>
    <r>
      <rPr>
        <i/>
        <sz val="12"/>
        <color theme="1"/>
        <rFont val="Times New Roman"/>
        <family val="1"/>
        <charset val="186"/>
      </rPr>
      <t>euro</t>
    </r>
    <r>
      <rPr>
        <sz val="12"/>
        <color theme="1"/>
        <rFont val="Times New Roman"/>
        <family val="1"/>
        <charset val="186"/>
      </rPr>
      <t xml:space="preserve">* 0.205 (iznomātās platības koeficients) = 3,12 </t>
    </r>
    <r>
      <rPr>
        <i/>
        <sz val="12"/>
        <color theme="1"/>
        <rFont val="Times New Roman"/>
        <family val="1"/>
        <charset val="186"/>
      </rPr>
      <t>euro.</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</si>
  <si>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7 min, (11,22 </t>
    </r>
    <r>
      <rPr>
        <i/>
        <sz val="12"/>
        <color theme="1"/>
        <rFont val="Times New Roman"/>
        <family val="1"/>
        <charset val="186"/>
      </rPr>
      <t>euro</t>
    </r>
    <r>
      <rPr>
        <sz val="12"/>
        <color theme="1"/>
        <rFont val="Times New Roman"/>
        <family val="1"/>
        <charset val="186"/>
      </rPr>
      <t xml:space="preserve"> * 0.11 h) = 1,23 </t>
    </r>
    <r>
      <rPr>
        <i/>
        <sz val="12"/>
        <color theme="1"/>
        <rFont val="Times New Roman"/>
        <family val="1"/>
        <charset val="186"/>
      </rPr>
      <t>euro</t>
    </r>
    <r>
      <rPr>
        <sz val="12"/>
        <color theme="1"/>
        <rFont val="Times New Roman"/>
        <family val="1"/>
        <charset val="186"/>
      </rPr>
      <t xml:space="preserve">/mēn. * 12. mēn. = 14,76 </t>
    </r>
    <r>
      <rPr>
        <i/>
        <sz val="12"/>
        <color theme="1"/>
        <rFont val="Times New Roman"/>
        <family val="1"/>
        <charset val="186"/>
      </rPr>
      <t>euro</t>
    </r>
    <r>
      <rPr>
        <sz val="12"/>
        <color theme="1"/>
        <rFont val="Times New Roman"/>
        <family val="1"/>
        <charset val="186"/>
      </rPr>
      <t xml:space="preserve"> * 0.205 (iznomātās platības koeficients) = 3,03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</si>
  <si>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6 min, (15,03 </t>
    </r>
    <r>
      <rPr>
        <i/>
        <sz val="12"/>
        <color theme="1"/>
        <rFont val="Times New Roman"/>
        <family val="1"/>
        <charset val="186"/>
      </rPr>
      <t>euro</t>
    </r>
    <r>
      <rPr>
        <sz val="12"/>
        <color theme="1"/>
        <rFont val="Times New Roman"/>
        <family val="1"/>
        <charset val="186"/>
      </rPr>
      <t xml:space="preserve"> * 0.1 h) = 1,50 </t>
    </r>
    <r>
      <rPr>
        <i/>
        <sz val="12"/>
        <color theme="1"/>
        <rFont val="Times New Roman"/>
        <family val="1"/>
        <charset val="186"/>
      </rPr>
      <t>euro</t>
    </r>
    <r>
      <rPr>
        <sz val="12"/>
        <color theme="1"/>
        <rFont val="Times New Roman"/>
        <family val="1"/>
        <charset val="186"/>
      </rPr>
      <t xml:space="preserve">/mēn. * 12. mēn. = 18,00 </t>
    </r>
    <r>
      <rPr>
        <i/>
        <sz val="12"/>
        <color theme="1"/>
        <rFont val="Times New Roman"/>
        <family val="1"/>
        <charset val="186"/>
      </rPr>
      <t>euro</t>
    </r>
    <r>
      <rPr>
        <sz val="12"/>
        <color theme="1"/>
        <rFont val="Times New Roman"/>
        <family val="1"/>
        <charset val="186"/>
      </rPr>
      <t xml:space="preserve"> * 0.205 (iznomātās platības koeficients) = 3,69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</si>
  <si>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6 min, (12,07 </t>
    </r>
    <r>
      <rPr>
        <i/>
        <sz val="12"/>
        <color theme="1"/>
        <rFont val="Times New Roman"/>
        <family val="1"/>
        <charset val="186"/>
      </rPr>
      <t>euro</t>
    </r>
    <r>
      <rPr>
        <sz val="12"/>
        <color theme="1"/>
        <rFont val="Times New Roman"/>
        <family val="1"/>
        <charset val="186"/>
      </rPr>
      <t xml:space="preserve"> * 0.1 h) = 1,21 </t>
    </r>
    <r>
      <rPr>
        <i/>
        <sz val="12"/>
        <color theme="1"/>
        <rFont val="Times New Roman"/>
        <family val="1"/>
        <charset val="186"/>
      </rPr>
      <t>euro</t>
    </r>
    <r>
      <rPr>
        <sz val="12"/>
        <color theme="1"/>
        <rFont val="Times New Roman"/>
        <family val="1"/>
        <charset val="186"/>
      </rPr>
      <t xml:space="preserve">/mēn. * 12. mēn. = 14,52 </t>
    </r>
    <r>
      <rPr>
        <i/>
        <sz val="12"/>
        <color theme="1"/>
        <rFont val="Times New Roman"/>
        <family val="1"/>
        <charset val="186"/>
      </rPr>
      <t>euro</t>
    </r>
    <r>
      <rPr>
        <sz val="12"/>
        <color theme="1"/>
        <rFont val="Times New Roman"/>
        <family val="1"/>
        <charset val="186"/>
      </rPr>
      <t xml:space="preserve"> * 0.205 (iznomātās platības koeficients) = 2,98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</si>
  <si>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3.35 stunda, (8,22 </t>
    </r>
    <r>
      <rPr>
        <i/>
        <sz val="12"/>
        <color theme="1"/>
        <rFont val="Times New Roman"/>
        <family val="1"/>
        <charset val="186"/>
      </rPr>
      <t>euro</t>
    </r>
    <r>
      <rPr>
        <sz val="12"/>
        <color theme="1"/>
        <rFont val="Times New Roman"/>
        <family val="1"/>
        <charset val="186"/>
      </rPr>
      <t xml:space="preserve"> * 3.35 h) = 27,54 </t>
    </r>
    <r>
      <rPr>
        <i/>
        <sz val="12"/>
        <color theme="1"/>
        <rFont val="Times New Roman"/>
        <family val="1"/>
        <charset val="186"/>
      </rPr>
      <t>euro</t>
    </r>
    <r>
      <rPr>
        <sz val="12"/>
        <color theme="1"/>
        <rFont val="Times New Roman"/>
        <family val="1"/>
        <charset val="186"/>
      </rPr>
      <t xml:space="preserve">/mēn. * 12. mēn. = 330,48 </t>
    </r>
    <r>
      <rPr>
        <i/>
        <sz val="12"/>
        <color theme="1"/>
        <rFont val="Times New Roman"/>
        <family val="1"/>
        <charset val="186"/>
      </rPr>
      <t>euro</t>
    </r>
    <r>
      <rPr>
        <sz val="12"/>
        <color theme="1"/>
        <rFont val="Times New Roman"/>
        <family val="1"/>
        <charset val="186"/>
      </rPr>
      <t xml:space="preserve"> * 0.205 (iznomātās platības koeficients) = 67,75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</si>
  <si>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3.08 stundas, (9,11 </t>
    </r>
    <r>
      <rPr>
        <i/>
        <sz val="12"/>
        <color theme="1"/>
        <rFont val="Times New Roman"/>
        <family val="1"/>
        <charset val="186"/>
      </rPr>
      <t>euro</t>
    </r>
    <r>
      <rPr>
        <sz val="12"/>
        <color theme="1"/>
        <rFont val="Times New Roman"/>
        <family val="1"/>
        <charset val="186"/>
      </rPr>
      <t xml:space="preserve"> * 3.08 h) = 28,06 </t>
    </r>
    <r>
      <rPr>
        <i/>
        <sz val="12"/>
        <color theme="1"/>
        <rFont val="Times New Roman"/>
        <family val="1"/>
        <charset val="186"/>
      </rPr>
      <t>euro</t>
    </r>
    <r>
      <rPr>
        <sz val="12"/>
        <color theme="1"/>
        <rFont val="Times New Roman"/>
        <family val="1"/>
        <charset val="186"/>
      </rPr>
      <t xml:space="preserve">/mēn. * 12. mēn. = 336,72 </t>
    </r>
    <r>
      <rPr>
        <i/>
        <sz val="12"/>
        <color theme="1"/>
        <rFont val="Times New Roman"/>
        <family val="1"/>
        <charset val="186"/>
      </rPr>
      <t>euro</t>
    </r>
    <r>
      <rPr>
        <sz val="12"/>
        <color theme="1"/>
        <rFont val="Times New Roman"/>
        <family val="1"/>
        <charset val="186"/>
      </rPr>
      <t xml:space="preserve"> * 0.205 (iznomātās platības koeficients) = 69,03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</si>
  <si>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23 min., (24,34 </t>
    </r>
    <r>
      <rPr>
        <i/>
        <sz val="12"/>
        <color theme="1"/>
        <rFont val="Times New Roman"/>
        <family val="1"/>
        <charset val="186"/>
      </rPr>
      <t>euro</t>
    </r>
    <r>
      <rPr>
        <sz val="12"/>
        <color theme="1"/>
        <rFont val="Times New Roman"/>
        <family val="1"/>
        <charset val="186"/>
      </rPr>
      <t xml:space="preserve"> * 0.38 h) = 9,25 </t>
    </r>
    <r>
      <rPr>
        <i/>
        <sz val="12"/>
        <color theme="1"/>
        <rFont val="Times New Roman"/>
        <family val="1"/>
        <charset val="186"/>
      </rPr>
      <t>euro</t>
    </r>
    <r>
      <rPr>
        <sz val="12"/>
        <color theme="1"/>
        <rFont val="Times New Roman"/>
        <family val="1"/>
        <charset val="186"/>
      </rPr>
      <t xml:space="preserve">/mēn. * 12. mēn. = 111,00 </t>
    </r>
    <r>
      <rPr>
        <i/>
        <sz val="12"/>
        <color theme="1"/>
        <rFont val="Times New Roman"/>
        <family val="1"/>
        <charset val="186"/>
      </rPr>
      <t>euro</t>
    </r>
    <r>
      <rPr>
        <sz val="12"/>
        <color theme="1"/>
        <rFont val="Times New Roman"/>
        <family val="1"/>
        <charset val="186"/>
      </rPr>
      <t xml:space="preserve"> * 0.205 (iznomātās platības koeficients) = 22,76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</si>
  <si>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1.25 stundas, (11,24 </t>
    </r>
    <r>
      <rPr>
        <i/>
        <sz val="12"/>
        <color theme="1"/>
        <rFont val="Times New Roman"/>
        <family val="1"/>
        <charset val="186"/>
      </rPr>
      <t>euro</t>
    </r>
    <r>
      <rPr>
        <sz val="12"/>
        <color theme="1"/>
        <rFont val="Times New Roman"/>
        <family val="1"/>
        <charset val="186"/>
      </rPr>
      <t xml:space="preserve"> * 1.25 h) = 14,05 </t>
    </r>
    <r>
      <rPr>
        <i/>
        <sz val="12"/>
        <color theme="1"/>
        <rFont val="Times New Roman"/>
        <family val="1"/>
        <charset val="186"/>
      </rPr>
      <t>euro</t>
    </r>
    <r>
      <rPr>
        <sz val="12"/>
        <color theme="1"/>
        <rFont val="Times New Roman"/>
        <family val="1"/>
        <charset val="186"/>
      </rPr>
      <t xml:space="preserve">/mēn. * 12. mēn. = 168,60 </t>
    </r>
    <r>
      <rPr>
        <i/>
        <sz val="12"/>
        <color theme="1"/>
        <rFont val="Times New Roman"/>
        <family val="1"/>
        <charset val="186"/>
      </rPr>
      <t>euro</t>
    </r>
    <r>
      <rPr>
        <sz val="12"/>
        <color theme="1"/>
        <rFont val="Times New Roman"/>
        <family val="1"/>
        <charset val="186"/>
      </rPr>
      <t xml:space="preserve"> * 0.009 (iznomātās platības koeficients) = 1,52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</si>
  <si>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0.009 (iznomātās platības koeficients) = 1,01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</si>
  <si>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t>
    </r>
    <r>
      <rPr>
        <i/>
        <sz val="12"/>
        <color theme="1"/>
        <rFont val="Times New Roman"/>
        <family val="1"/>
        <charset val="186"/>
      </rPr>
      <t>euro</t>
    </r>
    <r>
      <rPr>
        <sz val="12"/>
        <color theme="1"/>
        <rFont val="Times New Roman"/>
        <family val="1"/>
        <charset val="186"/>
      </rPr>
      <t xml:space="preserve">/mēn. * 12. mēn. = 161,52 </t>
    </r>
    <r>
      <rPr>
        <i/>
        <sz val="12"/>
        <color theme="1"/>
        <rFont val="Times New Roman"/>
        <family val="1"/>
        <charset val="186"/>
      </rPr>
      <t>euro</t>
    </r>
    <r>
      <rPr>
        <sz val="12"/>
        <color theme="1"/>
        <rFont val="Times New Roman"/>
        <family val="1"/>
        <charset val="186"/>
      </rPr>
      <t xml:space="preserve"> * 0.009 (iznomātās platības koeficients) = 1,45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</si>
  <si>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1.24 stundas, (15,03 </t>
    </r>
    <r>
      <rPr>
        <i/>
        <sz val="12"/>
        <color theme="1"/>
        <rFont val="Times New Roman"/>
        <family val="1"/>
        <charset val="186"/>
      </rPr>
      <t>euro</t>
    </r>
    <r>
      <rPr>
        <sz val="12"/>
        <color theme="1"/>
        <rFont val="Times New Roman"/>
        <family val="1"/>
        <charset val="186"/>
      </rPr>
      <t xml:space="preserve"> * 1.24 h) = 18,64 </t>
    </r>
    <r>
      <rPr>
        <i/>
        <sz val="12"/>
        <color theme="1"/>
        <rFont val="Times New Roman"/>
        <family val="1"/>
        <charset val="186"/>
      </rPr>
      <t>euro</t>
    </r>
    <r>
      <rPr>
        <sz val="12"/>
        <color theme="1"/>
        <rFont val="Times New Roman"/>
        <family val="1"/>
        <charset val="186"/>
      </rPr>
      <t xml:space="preserve">/mēn. * 12. mēn. = 223,68 </t>
    </r>
    <r>
      <rPr>
        <i/>
        <sz val="12"/>
        <color theme="1"/>
        <rFont val="Times New Roman"/>
        <family val="1"/>
        <charset val="186"/>
      </rPr>
      <t>euro</t>
    </r>
    <r>
      <rPr>
        <sz val="12"/>
        <color theme="1"/>
        <rFont val="Times New Roman"/>
        <family val="1"/>
        <charset val="186"/>
      </rPr>
      <t xml:space="preserve"> * 0.009  (iznomātās platības koeficients) = 2,01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</si>
  <si>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1.09 stundas, (12,07 </t>
    </r>
    <r>
      <rPr>
        <i/>
        <sz val="12"/>
        <color theme="1"/>
        <rFont val="Times New Roman"/>
        <family val="1"/>
        <charset val="186"/>
      </rPr>
      <t>euro</t>
    </r>
    <r>
      <rPr>
        <sz val="12"/>
        <color theme="1"/>
        <rFont val="Times New Roman"/>
        <family val="1"/>
        <charset val="186"/>
      </rPr>
      <t xml:space="preserve"> * 1.09 h) = 13,16 </t>
    </r>
    <r>
      <rPr>
        <i/>
        <sz val="12"/>
        <color theme="1"/>
        <rFont val="Times New Roman"/>
        <family val="1"/>
        <charset val="186"/>
      </rPr>
      <t>euro</t>
    </r>
    <r>
      <rPr>
        <sz val="12"/>
        <color theme="1"/>
        <rFont val="Times New Roman"/>
        <family val="1"/>
        <charset val="186"/>
      </rPr>
      <t xml:space="preserve">/mēn. * 12. mēn. =  157,92 </t>
    </r>
    <r>
      <rPr>
        <i/>
        <sz val="12"/>
        <color theme="1"/>
        <rFont val="Times New Roman"/>
        <family val="1"/>
        <charset val="186"/>
      </rPr>
      <t>euro</t>
    </r>
    <r>
      <rPr>
        <sz val="12"/>
        <color theme="1"/>
        <rFont val="Times New Roman"/>
        <family val="1"/>
        <charset val="186"/>
      </rPr>
      <t xml:space="preserve"> * 0.009 (iznomātās platības koeficients) = 1,42 </t>
    </r>
    <r>
      <rPr>
        <i/>
        <sz val="12"/>
        <color theme="1"/>
        <rFont val="Times New Roman"/>
        <family val="1"/>
        <charset val="186"/>
      </rPr>
      <t>euro</t>
    </r>
    <r>
      <rPr>
        <sz val="12"/>
        <color theme="1"/>
        <rFont val="Times New Roman"/>
        <family val="1"/>
        <charset val="186"/>
      </rPr>
      <t>.</t>
    </r>
  </si>
  <si>
    <r>
      <t xml:space="preserve">Finansists (15.1. saime, IA līmenis, 8. algu grupa, mēnešalga 1 372 euro). Stundas tarifa likme 8,22 euro = 1 372 euro/ 166.92 (vid. d. stundu sk. mēnesī). Vid. mēn. noslogojums  9.22 stundas, (8,22 euro * 9.22 h) = 75,79 </t>
    </r>
    <r>
      <rPr>
        <i/>
        <sz val="12"/>
        <color theme="1"/>
        <rFont val="Times New Roman"/>
        <family val="1"/>
        <charset val="186"/>
      </rPr>
      <t>euro</t>
    </r>
    <r>
      <rPr>
        <sz val="12"/>
        <color theme="1"/>
        <rFont val="Times New Roman"/>
        <family val="1"/>
        <charset val="186"/>
      </rPr>
      <t>/mēn. * 12. mēn. = 909,48 euro * 0.009 (iznomātās platības koeficients) = 8,19 euro.</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</si>
  <si>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8.48 stundas, (9,11 </t>
    </r>
    <r>
      <rPr>
        <i/>
        <sz val="12"/>
        <color theme="1"/>
        <rFont val="Times New Roman"/>
        <family val="1"/>
        <charset val="186"/>
      </rPr>
      <t>euro</t>
    </r>
    <r>
      <rPr>
        <sz val="12"/>
        <color theme="1"/>
        <rFont val="Times New Roman"/>
        <family val="1"/>
        <charset val="186"/>
      </rPr>
      <t xml:space="preserve"> * 8.48 h) = 77,25 </t>
    </r>
    <r>
      <rPr>
        <i/>
        <sz val="12"/>
        <color theme="1"/>
        <rFont val="Times New Roman"/>
        <family val="1"/>
        <charset val="186"/>
      </rPr>
      <t>euro</t>
    </r>
    <r>
      <rPr>
        <sz val="12"/>
        <color theme="1"/>
        <rFont val="Times New Roman"/>
        <family val="1"/>
        <charset val="186"/>
      </rPr>
      <t xml:space="preserve">/mēn. * 12. mēn. = 927,00 </t>
    </r>
    <r>
      <rPr>
        <i/>
        <sz val="12"/>
        <color theme="1"/>
        <rFont val="Times New Roman"/>
        <family val="1"/>
        <charset val="186"/>
      </rPr>
      <t>euro</t>
    </r>
    <r>
      <rPr>
        <sz val="12"/>
        <color theme="1"/>
        <rFont val="Times New Roman"/>
        <family val="1"/>
        <charset val="186"/>
      </rPr>
      <t xml:space="preserve"> * 0.009 (iznomātās platības koeficients) = 8,34 </t>
    </r>
    <r>
      <rPr>
        <i/>
        <sz val="12"/>
        <color theme="1"/>
        <rFont val="Times New Roman"/>
        <family val="1"/>
        <charset val="186"/>
      </rPr>
      <t>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</si>
  <si>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0.009 (iznomātās platības koeficients) = 10,69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</si>
  <si>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0.009 (iznomātās platības koeficients) = 12,41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</si>
  <si>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t>
    </r>
    <r>
      <rPr>
        <i/>
        <sz val="12"/>
        <color theme="1"/>
        <rFont val="Times New Roman"/>
        <family val="1"/>
        <charset val="186"/>
      </rPr>
      <t>euro</t>
    </r>
    <r>
      <rPr>
        <sz val="12"/>
        <color theme="1"/>
        <rFont val="Times New Roman"/>
        <family val="1"/>
        <charset val="186"/>
      </rPr>
      <t xml:space="preserve">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0.009  (iznomātās platības koeficients) = 3,14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</si>
  <si>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50,18 </t>
    </r>
    <r>
      <rPr>
        <i/>
        <sz val="12"/>
        <color theme="1"/>
        <rFont val="Times New Roman"/>
        <family val="1"/>
        <charset val="186"/>
      </rPr>
      <t>euro</t>
    </r>
    <r>
      <rPr>
        <sz val="12"/>
        <color theme="1"/>
        <rFont val="Times New Roman"/>
        <family val="1"/>
        <charset val="186"/>
      </rPr>
      <t xml:space="preserve"> * 23,59 % = 11,84 </t>
    </r>
    <r>
      <rPr>
        <i/>
        <sz val="12"/>
        <color theme="1"/>
        <rFont val="Times New Roman"/>
        <family val="1"/>
        <charset val="186"/>
      </rPr>
      <t>euro</t>
    </r>
    <r>
      <rPr>
        <sz val="12"/>
        <color theme="1"/>
        <rFont val="Times New Roman"/>
        <family val="1"/>
        <charset val="186"/>
      </rPr>
      <t>.</t>
    </r>
  </si>
  <si>
    <r>
      <t xml:space="preserve">Izdevumi par apkuri 82 944.32 </t>
    </r>
    <r>
      <rPr>
        <i/>
        <sz val="12"/>
        <color theme="1"/>
        <rFont val="Times New Roman"/>
        <family val="1"/>
        <charset val="186"/>
      </rPr>
      <t>euro</t>
    </r>
    <r>
      <rPr>
        <sz val="12"/>
        <color theme="1"/>
        <rFont val="Times New Roman"/>
        <family val="1"/>
        <charset val="186"/>
      </rPr>
      <t xml:space="preserve"> gadā * 0.009 (iznomātās platības koeficients) = 746,50 </t>
    </r>
    <r>
      <rPr>
        <i/>
        <sz val="12"/>
        <color theme="1"/>
        <rFont val="Times New Roman"/>
        <family val="1"/>
        <charset val="186"/>
      </rPr>
      <t>euro</t>
    </r>
    <r>
      <rPr>
        <sz val="12"/>
        <color theme="1"/>
        <rFont val="Times New Roman"/>
        <family val="1"/>
        <charset val="186"/>
      </rPr>
      <t>.</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</si>
  <si>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0.009 (iznomātās platības koeficients) = 37,83 </t>
    </r>
    <r>
      <rPr>
        <i/>
        <sz val="12"/>
        <color theme="1"/>
        <rFont val="Times New Roman"/>
        <family val="1"/>
        <charset val="186"/>
      </rPr>
      <t>euro</t>
    </r>
    <r>
      <rPr>
        <sz val="12"/>
        <color theme="1"/>
        <rFont val="Times New Roman"/>
        <family val="1"/>
        <charset val="186"/>
      </rPr>
      <t>.</t>
    </r>
  </si>
  <si>
    <r>
      <t xml:space="preserve">Izdevumi par elektroenerģiju 7 807,39 </t>
    </r>
    <r>
      <rPr>
        <i/>
        <sz val="12"/>
        <color theme="1"/>
        <rFont val="Times New Roman"/>
        <family val="1"/>
        <charset val="186"/>
      </rPr>
      <t>euro</t>
    </r>
    <r>
      <rPr>
        <sz val="12"/>
        <color theme="1"/>
        <rFont val="Times New Roman"/>
        <family val="1"/>
        <charset val="186"/>
      </rPr>
      <t xml:space="preserve"> gadā * 0.009 (iznomātās platības koeficients) = 70,27 </t>
    </r>
    <r>
      <rPr>
        <i/>
        <sz val="12"/>
        <color theme="1"/>
        <rFont val="Times New Roman"/>
        <family val="1"/>
        <charset val="186"/>
      </rPr>
      <t>euro</t>
    </r>
    <r>
      <rPr>
        <sz val="12"/>
        <color theme="1"/>
        <rFont val="Times New Roman"/>
        <family val="1"/>
        <charset val="186"/>
      </rPr>
      <t>.</t>
    </r>
  </si>
  <si>
    <r>
      <t xml:space="preserve">Izdevumi par atkritumu izvešanu 275,91 </t>
    </r>
    <r>
      <rPr>
        <i/>
        <sz val="12"/>
        <color theme="1"/>
        <rFont val="Times New Roman"/>
        <family val="1"/>
        <charset val="186"/>
      </rPr>
      <t>euro</t>
    </r>
    <r>
      <rPr>
        <sz val="12"/>
        <color theme="1"/>
        <rFont val="Times New Roman"/>
        <family val="1"/>
        <charset val="186"/>
      </rPr>
      <t xml:space="preserve"> gadā * 0.009  (iznomātās platības koeficients) = 2,48 </t>
    </r>
    <r>
      <rPr>
        <i/>
        <sz val="12"/>
        <color theme="1"/>
        <rFont val="Times New Roman"/>
        <family val="1"/>
        <charset val="186"/>
      </rPr>
      <t>euro</t>
    </r>
    <r>
      <rPr>
        <sz val="12"/>
        <color theme="1"/>
        <rFont val="Times New Roman"/>
        <family val="1"/>
        <charset val="186"/>
      </rPr>
      <t>.</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</si>
  <si>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0.009 (iznomātās platības koeficients) = 1,34 </t>
    </r>
    <r>
      <rPr>
        <i/>
        <sz val="12"/>
        <color theme="1"/>
        <rFont val="Times New Roman"/>
        <family val="1"/>
        <charset val="186"/>
      </rPr>
      <t>euro</t>
    </r>
    <r>
      <rPr>
        <sz val="12"/>
        <color theme="1"/>
        <rFont val="Times New Roman"/>
        <family val="1"/>
        <charset val="186"/>
      </rPr>
      <t>.</t>
    </r>
  </si>
  <si>
    <r>
      <t xml:space="preserve">Izdevumi par atļauja izmantot autoru darbus 57,00 </t>
    </r>
    <r>
      <rPr>
        <i/>
        <sz val="12"/>
        <color theme="1"/>
        <rFont val="Times New Roman"/>
        <family val="1"/>
        <charset val="186"/>
      </rPr>
      <t>euro</t>
    </r>
    <r>
      <rPr>
        <sz val="12"/>
        <color theme="1"/>
        <rFont val="Times New Roman"/>
        <family val="1"/>
        <charset val="186"/>
      </rPr>
      <t xml:space="preserve"> gadā * 0.009 (iznomātās platības koeficients) = 0,51 </t>
    </r>
    <r>
      <rPr>
        <i/>
        <sz val="12"/>
        <color theme="1"/>
        <rFont val="Times New Roman"/>
        <family val="1"/>
        <charset val="186"/>
      </rPr>
      <t>euro</t>
    </r>
    <r>
      <rPr>
        <sz val="12"/>
        <color theme="1"/>
        <rFont val="Times New Roman"/>
        <family val="1"/>
        <charset val="186"/>
      </rPr>
      <t>.</t>
    </r>
  </si>
  <si>
    <r>
      <t xml:space="preserve">Kārtējā remonta izdevumi 1 875,92 </t>
    </r>
    <r>
      <rPr>
        <i/>
        <sz val="12"/>
        <color theme="1"/>
        <rFont val="Times New Roman"/>
        <family val="1"/>
        <charset val="186"/>
      </rPr>
      <t>euro</t>
    </r>
    <r>
      <rPr>
        <sz val="12"/>
        <color theme="1"/>
        <rFont val="Times New Roman"/>
        <family val="1"/>
        <charset val="186"/>
      </rPr>
      <t xml:space="preserve"> gadā * 0.009  (iznomātās platības koeficients) = 16,88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</si>
  <si>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956,50 </t>
    </r>
    <r>
      <rPr>
        <i/>
        <sz val="12"/>
        <color theme="1"/>
        <rFont val="Times New Roman"/>
        <family val="1"/>
        <charset val="186"/>
      </rPr>
      <t>euro</t>
    </r>
    <r>
      <rPr>
        <sz val="12"/>
        <color theme="1"/>
        <rFont val="Times New Roman"/>
        <family val="1"/>
        <charset val="186"/>
      </rPr>
      <t xml:space="preserve"> gadā * 0.009  (iznomātās platības koeficients) = 8,61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</si>
  <si>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0.009 (iznomātās platības koeficients) = 30,41 </t>
    </r>
    <r>
      <rPr>
        <i/>
        <sz val="12"/>
        <color theme="1"/>
        <rFont val="Times New Roman"/>
        <family val="1"/>
        <charset val="186"/>
      </rPr>
      <t>euro</t>
    </r>
    <r>
      <rPr>
        <sz val="12"/>
        <color theme="1"/>
        <rFont val="Times New Roman"/>
        <family val="1"/>
        <charset val="186"/>
      </rPr>
      <t>.</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</si>
  <si>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0.009  (iznomātās platības koeficients) = 33,35 </t>
    </r>
    <r>
      <rPr>
        <i/>
        <sz val="12"/>
        <color theme="1"/>
        <rFont val="Times New Roman"/>
        <family val="1"/>
        <charset val="186"/>
      </rPr>
      <t>euro</t>
    </r>
    <r>
      <rPr>
        <sz val="12"/>
        <color theme="1"/>
        <rFont val="Times New Roman"/>
        <family val="1"/>
        <charset val="186"/>
      </rPr>
      <t>.</t>
    </r>
  </si>
  <si>
    <r>
      <t xml:space="preserve">Inventāra iegādes izdevumi 856,97 </t>
    </r>
    <r>
      <rPr>
        <i/>
        <sz val="12"/>
        <color theme="1"/>
        <rFont val="Times New Roman"/>
        <family val="1"/>
        <charset val="186"/>
      </rPr>
      <t>euro</t>
    </r>
    <r>
      <rPr>
        <sz val="12"/>
        <color theme="1"/>
        <rFont val="Times New Roman"/>
        <family val="1"/>
        <charset val="186"/>
      </rPr>
      <t xml:space="preserve"> gadā * 0.009 (iznomātās platības koeficients) = 7,71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</si>
  <si>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1 711,80 </t>
    </r>
    <r>
      <rPr>
        <i/>
        <sz val="12"/>
        <rFont val="Times New Roman"/>
        <family val="1"/>
        <charset val="186"/>
      </rPr>
      <t>euro</t>
    </r>
    <r>
      <rPr>
        <sz val="12"/>
        <rFont val="Times New Roman"/>
        <family val="1"/>
        <charset val="186"/>
      </rPr>
      <t xml:space="preserve"> gadā * 0.009 (iznomātās platības koeficients) = 15,41 </t>
    </r>
    <r>
      <rPr>
        <i/>
        <sz val="12"/>
        <rFont val="Times New Roman"/>
        <family val="1"/>
        <charset val="186"/>
      </rPr>
      <t>euro</t>
    </r>
    <r>
      <rPr>
        <sz val="12"/>
        <rFont val="Times New Roman"/>
        <family val="1"/>
        <charset val="186"/>
      </rPr>
      <t>.</t>
    </r>
  </si>
  <si>
    <r>
      <t xml:space="preserve">Nekustamā īpašuma nodoklis 8 084,39 </t>
    </r>
    <r>
      <rPr>
        <i/>
        <sz val="12"/>
        <color theme="1"/>
        <rFont val="Times New Roman"/>
        <family val="1"/>
        <charset val="186"/>
      </rPr>
      <t>euro</t>
    </r>
    <r>
      <rPr>
        <sz val="12"/>
        <color theme="1"/>
        <rFont val="Times New Roman"/>
        <family val="1"/>
        <charset val="186"/>
      </rPr>
      <t xml:space="preserve"> gadā * 0.009 (iznomātās platības koeficients)= 72,76 </t>
    </r>
    <r>
      <rPr>
        <i/>
        <sz val="12"/>
        <color theme="1"/>
        <rFont val="Times New Roman"/>
        <family val="1"/>
        <charset val="186"/>
      </rPr>
      <t>euro</t>
    </r>
    <r>
      <rPr>
        <sz val="12"/>
        <color theme="1"/>
        <rFont val="Times New Roman"/>
        <family val="1"/>
        <charset val="186"/>
      </rPr>
      <t>.</t>
    </r>
  </si>
  <si>
    <r>
      <t xml:space="preserve">Dabas resursu nodoklis 1 920,89 </t>
    </r>
    <r>
      <rPr>
        <i/>
        <sz val="12"/>
        <color theme="1"/>
        <rFont val="Times New Roman"/>
        <family val="1"/>
        <charset val="186"/>
      </rPr>
      <t>euro</t>
    </r>
    <r>
      <rPr>
        <sz val="12"/>
        <color theme="1"/>
        <rFont val="Times New Roman"/>
        <family val="1"/>
        <charset val="186"/>
      </rPr>
      <t xml:space="preserve"> gadā * 0.009 (iznomātās platības koeficients) = 17,29 </t>
    </r>
    <r>
      <rPr>
        <i/>
        <sz val="12"/>
        <color theme="1"/>
        <rFont val="Times New Roman"/>
        <family val="1"/>
        <charset val="186"/>
      </rPr>
      <t>euro</t>
    </r>
    <r>
      <rPr>
        <sz val="12"/>
        <color theme="1"/>
        <rFont val="Times New Roman"/>
        <family val="1"/>
        <charset val="186"/>
      </rPr>
      <t>.</t>
    </r>
  </si>
  <si>
    <r>
      <t xml:space="preserve">Pamatlīdzekļu amortizācija 251,64 </t>
    </r>
    <r>
      <rPr>
        <i/>
        <sz val="12"/>
        <color theme="1"/>
        <rFont val="Times New Roman"/>
        <family val="1"/>
        <charset val="186"/>
      </rPr>
      <t>euro</t>
    </r>
    <r>
      <rPr>
        <sz val="12"/>
        <color theme="1"/>
        <rFont val="Times New Roman"/>
        <family val="1"/>
        <charset val="186"/>
      </rPr>
      <t xml:space="preserve"> gadā * 0.009 (iznomātās platības koeficients) = 2,26 </t>
    </r>
    <r>
      <rPr>
        <i/>
        <sz val="12"/>
        <color theme="1"/>
        <rFont val="Times New Roman"/>
        <family val="1"/>
        <charset val="186"/>
      </rPr>
      <t>euro</t>
    </r>
    <r>
      <rPr>
        <sz val="12"/>
        <color theme="1"/>
        <rFont val="Times New Roman"/>
        <family val="1"/>
        <charset val="186"/>
      </rPr>
      <t>.</t>
    </r>
  </si>
  <si>
    <r>
      <t xml:space="preserve">Pamatlīdzekļu amortizācija 1 134,21 </t>
    </r>
    <r>
      <rPr>
        <i/>
        <sz val="12"/>
        <color theme="1"/>
        <rFont val="Times New Roman"/>
        <family val="1"/>
        <charset val="186"/>
      </rPr>
      <t>euro</t>
    </r>
    <r>
      <rPr>
        <sz val="12"/>
        <color theme="1"/>
        <rFont val="Times New Roman"/>
        <family val="1"/>
        <charset val="186"/>
      </rPr>
      <t xml:space="preserve"> gadā * 0.009 (iznomātās platības koeficients) = 10,21 </t>
    </r>
    <r>
      <rPr>
        <i/>
        <sz val="12"/>
        <color theme="1"/>
        <rFont val="Times New Roman"/>
        <family val="1"/>
        <charset val="186"/>
      </rPr>
      <t>euro</t>
    </r>
    <r>
      <rPr>
        <sz val="12"/>
        <color theme="1"/>
        <rFont val="Times New Roman"/>
        <family val="1"/>
        <charset val="186"/>
      </rPr>
      <t>.</t>
    </r>
  </si>
  <si>
    <r>
      <t xml:space="preserve">Pamatlīdzekļu amortizācija 2 748,15 </t>
    </r>
    <r>
      <rPr>
        <i/>
        <sz val="12"/>
        <color theme="1"/>
        <rFont val="Times New Roman"/>
        <family val="1"/>
        <charset val="186"/>
      </rPr>
      <t>euro</t>
    </r>
    <r>
      <rPr>
        <sz val="12"/>
        <color theme="1"/>
        <rFont val="Times New Roman"/>
        <family val="1"/>
        <charset val="186"/>
      </rPr>
      <t xml:space="preserve"> gadā * 0.009 (iznomātās platības koeficients) = 24,73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</si>
  <si>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453,32 </t>
    </r>
    <r>
      <rPr>
        <i/>
        <sz val="12"/>
        <color theme="1"/>
        <rFont val="Times New Roman"/>
        <family val="1"/>
        <charset val="186"/>
      </rPr>
      <t>euro</t>
    </r>
    <r>
      <rPr>
        <sz val="12"/>
        <color theme="1"/>
        <rFont val="Times New Roman"/>
        <family val="1"/>
        <charset val="186"/>
      </rPr>
      <t xml:space="preserve"> * 23,59 % = 106,94 </t>
    </r>
    <r>
      <rPr>
        <i/>
        <sz val="12"/>
        <color theme="1"/>
        <rFont val="Times New Roman"/>
        <family val="1"/>
        <charset val="186"/>
      </rPr>
      <t>euro</t>
    </r>
    <r>
      <rPr>
        <sz val="12"/>
        <color theme="1"/>
        <rFont val="Times New Roman"/>
        <family val="1"/>
        <charset val="186"/>
      </rPr>
      <t>.</t>
    </r>
  </si>
  <si>
    <r>
      <t xml:space="preserve">Izdevumi par apkuri 82 944,32 </t>
    </r>
    <r>
      <rPr>
        <i/>
        <sz val="12"/>
        <color theme="1"/>
        <rFont val="Times New Roman"/>
        <family val="1"/>
        <charset val="186"/>
      </rPr>
      <t>euro</t>
    </r>
    <r>
      <rPr>
        <sz val="12"/>
        <color theme="1"/>
        <rFont val="Times New Roman"/>
        <family val="1"/>
        <charset val="186"/>
      </rPr>
      <t xml:space="preserve"> gadā * 0.0813 (iznomātās platības koeficients) = 6 743,37 </t>
    </r>
    <r>
      <rPr>
        <i/>
        <sz val="12"/>
        <color theme="1"/>
        <rFont val="Times New Roman"/>
        <family val="1"/>
        <charset val="186"/>
      </rPr>
      <t>euro</t>
    </r>
    <r>
      <rPr>
        <sz val="12"/>
        <color theme="1"/>
        <rFont val="Times New Roman"/>
        <family val="1"/>
        <charset val="186"/>
      </rPr>
      <t>.</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</si>
  <si>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0.0813 (iznomātās platības koeficients) = 341,77 </t>
    </r>
    <r>
      <rPr>
        <i/>
        <sz val="12"/>
        <color theme="1"/>
        <rFont val="Times New Roman"/>
        <family val="1"/>
        <charset val="186"/>
      </rPr>
      <t>euro</t>
    </r>
    <r>
      <rPr>
        <sz val="12"/>
        <color theme="1"/>
        <rFont val="Times New Roman"/>
        <family val="1"/>
        <charset val="186"/>
      </rPr>
      <t>.</t>
    </r>
  </si>
  <si>
    <r>
      <t xml:space="preserve">Izdevumi par elektroenerģiju 7 807,39 </t>
    </r>
    <r>
      <rPr>
        <i/>
        <sz val="12"/>
        <color theme="1"/>
        <rFont val="Times New Roman"/>
        <family val="1"/>
        <charset val="186"/>
      </rPr>
      <t>euro</t>
    </r>
    <r>
      <rPr>
        <sz val="12"/>
        <color theme="1"/>
        <rFont val="Times New Roman"/>
        <family val="1"/>
        <charset val="186"/>
      </rPr>
      <t xml:space="preserve"> gadā * 0.0813 (iznomātās platības koeficients) = 634,74 </t>
    </r>
    <r>
      <rPr>
        <i/>
        <sz val="12"/>
        <color theme="1"/>
        <rFont val="Times New Roman"/>
        <family val="1"/>
        <charset val="186"/>
      </rPr>
      <t>euro</t>
    </r>
    <r>
      <rPr>
        <sz val="12"/>
        <color theme="1"/>
        <rFont val="Times New Roman"/>
        <family val="1"/>
        <charset val="186"/>
      </rPr>
      <t>.</t>
    </r>
  </si>
  <si>
    <r>
      <t xml:space="preserve">Izdevumi par atkritumu izvešanu 275,91 </t>
    </r>
    <r>
      <rPr>
        <i/>
        <sz val="12"/>
        <color theme="1"/>
        <rFont val="Times New Roman"/>
        <family val="1"/>
        <charset val="186"/>
      </rPr>
      <t>euro</t>
    </r>
    <r>
      <rPr>
        <sz val="12"/>
        <color theme="1"/>
        <rFont val="Times New Roman"/>
        <family val="1"/>
        <charset val="186"/>
      </rPr>
      <t xml:space="preserve"> gadā * 0.0813 (iznomātās platības koeficients) = 22,43 </t>
    </r>
    <r>
      <rPr>
        <i/>
        <sz val="12"/>
        <color theme="1"/>
        <rFont val="Times New Roman"/>
        <family val="1"/>
        <charset val="186"/>
      </rPr>
      <t>euro</t>
    </r>
    <r>
      <rPr>
        <sz val="12"/>
        <color theme="1"/>
        <rFont val="Times New Roman"/>
        <family val="1"/>
        <charset val="186"/>
      </rPr>
      <t>.</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</si>
  <si>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0.0813 (iznomātās platības koeficients) = 12,12 </t>
    </r>
    <r>
      <rPr>
        <i/>
        <sz val="12"/>
        <color theme="1"/>
        <rFont val="Times New Roman"/>
        <family val="1"/>
        <charset val="186"/>
      </rPr>
      <t>euro</t>
    </r>
    <r>
      <rPr>
        <sz val="12"/>
        <color theme="1"/>
        <rFont val="Times New Roman"/>
        <family val="1"/>
        <charset val="186"/>
      </rPr>
      <t>.</t>
    </r>
  </si>
  <si>
    <r>
      <t xml:space="preserve">Izdevumi par atļauju izmantot autoru darbus 57,00 </t>
    </r>
    <r>
      <rPr>
        <i/>
        <sz val="12"/>
        <color theme="1"/>
        <rFont val="Times New Roman"/>
        <family val="1"/>
        <charset val="186"/>
      </rPr>
      <t>euro</t>
    </r>
    <r>
      <rPr>
        <sz val="12"/>
        <color theme="1"/>
        <rFont val="Times New Roman"/>
        <family val="1"/>
        <charset val="186"/>
      </rPr>
      <t xml:space="preserve"> gadā * 0.0813 (iznomātās platības koeficients) = 4,63 </t>
    </r>
    <r>
      <rPr>
        <i/>
        <sz val="12"/>
        <color theme="1"/>
        <rFont val="Times New Roman"/>
        <family val="1"/>
        <charset val="186"/>
      </rPr>
      <t>euro</t>
    </r>
    <r>
      <rPr>
        <sz val="12"/>
        <color theme="1"/>
        <rFont val="Times New Roman"/>
        <family val="1"/>
        <charset val="186"/>
      </rPr>
      <t>.</t>
    </r>
  </si>
  <si>
    <r>
      <t xml:space="preserve">Kārtējā remonta izdevumi 1 875,92 </t>
    </r>
    <r>
      <rPr>
        <i/>
        <sz val="12"/>
        <color theme="1"/>
        <rFont val="Times New Roman"/>
        <family val="1"/>
        <charset val="186"/>
      </rPr>
      <t>euro</t>
    </r>
    <r>
      <rPr>
        <sz val="12"/>
        <color theme="1"/>
        <rFont val="Times New Roman"/>
        <family val="1"/>
        <charset val="186"/>
      </rPr>
      <t xml:space="preserve"> gadā * 0.0813 (iznomātās platības koeficients) = 152,51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</si>
  <si>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956,50 </t>
    </r>
    <r>
      <rPr>
        <i/>
        <sz val="12"/>
        <color theme="1"/>
        <rFont val="Times New Roman"/>
        <family val="1"/>
        <charset val="186"/>
      </rPr>
      <t>euro</t>
    </r>
    <r>
      <rPr>
        <sz val="12"/>
        <color theme="1"/>
        <rFont val="Times New Roman"/>
        <family val="1"/>
        <charset val="186"/>
      </rPr>
      <t xml:space="preserve"> gadā * 0.0813 (iznomātās platības koeficients) = 77,76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</si>
  <si>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0.0813 (iznomātās platības koeficients) = 274,68 </t>
    </r>
    <r>
      <rPr>
        <i/>
        <sz val="12"/>
        <color theme="1"/>
        <rFont val="Times New Roman"/>
        <family val="1"/>
        <charset val="186"/>
      </rPr>
      <t>euro</t>
    </r>
    <r>
      <rPr>
        <sz val="12"/>
        <color theme="1"/>
        <rFont val="Times New Roman"/>
        <family val="1"/>
        <charset val="186"/>
      </rPr>
      <t>.</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</si>
  <si>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0.0813 (iznomātās platības koeficients) = 301,29 </t>
    </r>
    <r>
      <rPr>
        <i/>
        <sz val="12"/>
        <color theme="1"/>
        <rFont val="Times New Roman"/>
        <family val="1"/>
        <charset val="186"/>
      </rPr>
      <t>euro</t>
    </r>
    <r>
      <rPr>
        <sz val="12"/>
        <color theme="1"/>
        <rFont val="Times New Roman"/>
        <family val="1"/>
        <charset val="186"/>
      </rPr>
      <t>.</t>
    </r>
  </si>
  <si>
    <r>
      <t xml:space="preserve">Inventāra iegādes izdevumi 856,97 </t>
    </r>
    <r>
      <rPr>
        <i/>
        <sz val="12"/>
        <color theme="1"/>
        <rFont val="Times New Roman"/>
        <family val="1"/>
        <charset val="186"/>
      </rPr>
      <t>euro</t>
    </r>
    <r>
      <rPr>
        <sz val="12"/>
        <color theme="1"/>
        <rFont val="Times New Roman"/>
        <family val="1"/>
        <charset val="186"/>
      </rPr>
      <t xml:space="preserve"> gadā * 0.0813 (iznomātās platības koeficients) = 69,67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</si>
  <si>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1 711,80 </t>
    </r>
    <r>
      <rPr>
        <i/>
        <sz val="12"/>
        <rFont val="Times New Roman"/>
        <family val="1"/>
        <charset val="186"/>
      </rPr>
      <t>euro</t>
    </r>
    <r>
      <rPr>
        <sz val="12"/>
        <rFont val="Times New Roman"/>
        <family val="1"/>
        <charset val="186"/>
      </rPr>
      <t xml:space="preserve"> gadā * 0.0813 (iznomātās platības koeficients) = 139,17 </t>
    </r>
    <r>
      <rPr>
        <i/>
        <sz val="12"/>
        <rFont val="Times New Roman"/>
        <family val="1"/>
        <charset val="186"/>
      </rPr>
      <t>euro</t>
    </r>
    <r>
      <rPr>
        <sz val="12"/>
        <rFont val="Times New Roman"/>
        <family val="1"/>
        <charset val="186"/>
      </rPr>
      <t>.</t>
    </r>
  </si>
  <si>
    <r>
      <t xml:space="preserve">Nekustamā īpašuma nodoklis 8 084,39 </t>
    </r>
    <r>
      <rPr>
        <i/>
        <sz val="12"/>
        <color theme="1"/>
        <rFont val="Times New Roman"/>
        <family val="1"/>
        <charset val="186"/>
      </rPr>
      <t>euro</t>
    </r>
    <r>
      <rPr>
        <sz val="12"/>
        <color theme="1"/>
        <rFont val="Times New Roman"/>
        <family val="1"/>
        <charset val="186"/>
      </rPr>
      <t xml:space="preserve"> gadā * 0.0813 (iznomātās platības koeficients) = 657,26 </t>
    </r>
    <r>
      <rPr>
        <i/>
        <sz val="12"/>
        <color theme="1"/>
        <rFont val="Times New Roman"/>
        <family val="1"/>
        <charset val="186"/>
      </rPr>
      <t>euro</t>
    </r>
    <r>
      <rPr>
        <sz val="12"/>
        <color theme="1"/>
        <rFont val="Times New Roman"/>
        <family val="1"/>
        <charset val="186"/>
      </rPr>
      <t>.</t>
    </r>
  </si>
  <si>
    <r>
      <t xml:space="preserve">Dabas resursu nodoklis 1 920,89 </t>
    </r>
    <r>
      <rPr>
        <i/>
        <sz val="12"/>
        <color theme="1"/>
        <rFont val="Times New Roman"/>
        <family val="1"/>
        <charset val="186"/>
      </rPr>
      <t>euro</t>
    </r>
    <r>
      <rPr>
        <sz val="12"/>
        <color theme="1"/>
        <rFont val="Times New Roman"/>
        <family val="1"/>
        <charset val="186"/>
      </rPr>
      <t xml:space="preserve"> gadā * 0.0813 (iznomātās platības koeficients) = 156,17 </t>
    </r>
    <r>
      <rPr>
        <i/>
        <sz val="12"/>
        <color theme="1"/>
        <rFont val="Times New Roman"/>
        <family val="1"/>
        <charset val="186"/>
      </rPr>
      <t>euro</t>
    </r>
    <r>
      <rPr>
        <sz val="12"/>
        <color theme="1"/>
        <rFont val="Times New Roman"/>
        <family val="1"/>
        <charset val="186"/>
      </rPr>
      <t>.</t>
    </r>
  </si>
  <si>
    <r>
      <t xml:space="preserve">Ēku amortizācija 3 809,72 </t>
    </r>
    <r>
      <rPr>
        <i/>
        <sz val="12"/>
        <color theme="1"/>
        <rFont val="Times New Roman"/>
        <family val="1"/>
        <charset val="186"/>
      </rPr>
      <t>euro</t>
    </r>
    <r>
      <rPr>
        <sz val="12"/>
        <color theme="1"/>
        <rFont val="Times New Roman"/>
        <family val="1"/>
        <charset val="186"/>
      </rPr>
      <t xml:space="preserve"> gadā * 0.0813 (iznomātās platības koeficients) = 309,73 </t>
    </r>
    <r>
      <rPr>
        <i/>
        <sz val="12"/>
        <color theme="1"/>
        <rFont val="Times New Roman"/>
        <family val="1"/>
        <charset val="186"/>
      </rPr>
      <t>euro</t>
    </r>
    <r>
      <rPr>
        <sz val="12"/>
        <color theme="1"/>
        <rFont val="Times New Roman"/>
        <family val="1"/>
        <charset val="186"/>
      </rPr>
      <t>.</t>
    </r>
  </si>
  <si>
    <r>
      <t xml:space="preserve">Pamatlīdzekļu amortizācija 251,64 </t>
    </r>
    <r>
      <rPr>
        <i/>
        <sz val="12"/>
        <color theme="1"/>
        <rFont val="Times New Roman"/>
        <family val="1"/>
        <charset val="186"/>
      </rPr>
      <t>euro</t>
    </r>
    <r>
      <rPr>
        <sz val="12"/>
        <color theme="1"/>
        <rFont val="Times New Roman"/>
        <family val="1"/>
        <charset val="186"/>
      </rPr>
      <t xml:space="preserve"> gadā * 0.0813 (iznomātās platības koeficients) = 20,46 </t>
    </r>
    <r>
      <rPr>
        <i/>
        <sz val="12"/>
        <color theme="1"/>
        <rFont val="Times New Roman"/>
        <family val="1"/>
        <charset val="186"/>
      </rPr>
      <t>euro</t>
    </r>
    <r>
      <rPr>
        <sz val="12"/>
        <color theme="1"/>
        <rFont val="Times New Roman"/>
        <family val="1"/>
        <charset val="186"/>
      </rPr>
      <t>.</t>
    </r>
  </si>
  <si>
    <r>
      <t xml:space="preserve">Pamatlīdzekļu amortizācija 1 134,21 </t>
    </r>
    <r>
      <rPr>
        <i/>
        <sz val="12"/>
        <color theme="1"/>
        <rFont val="Times New Roman"/>
        <family val="1"/>
        <charset val="186"/>
      </rPr>
      <t>euro</t>
    </r>
    <r>
      <rPr>
        <sz val="12"/>
        <color theme="1"/>
        <rFont val="Times New Roman"/>
        <family val="1"/>
        <charset val="186"/>
      </rPr>
      <t xml:space="preserve"> gadā * 0.0813 (iznomātās platības koeficients) = 92,21 </t>
    </r>
    <r>
      <rPr>
        <i/>
        <sz val="12"/>
        <color theme="1"/>
        <rFont val="Times New Roman"/>
        <family val="1"/>
        <charset val="186"/>
      </rPr>
      <t>euro</t>
    </r>
    <r>
      <rPr>
        <sz val="12"/>
        <color theme="1"/>
        <rFont val="Times New Roman"/>
        <family val="1"/>
        <charset val="186"/>
      </rPr>
      <t>.</t>
    </r>
  </si>
  <si>
    <r>
      <t xml:space="preserve">Pamatlīdzekļu amortizācija 2 748,15 </t>
    </r>
    <r>
      <rPr>
        <i/>
        <sz val="12"/>
        <color theme="1"/>
        <rFont val="Times New Roman"/>
        <family val="1"/>
        <charset val="186"/>
      </rPr>
      <t>euro</t>
    </r>
    <r>
      <rPr>
        <sz val="12"/>
        <color theme="1"/>
        <rFont val="Times New Roman"/>
        <family val="1"/>
        <charset val="186"/>
      </rPr>
      <t xml:space="preserve"> gadā * 0.0813 (iznomātās platības koeficients) = 223,42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</si>
  <si>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1 stunda, (8,14 </t>
    </r>
    <r>
      <rPr>
        <i/>
        <sz val="12"/>
        <color theme="1"/>
        <rFont val="Times New Roman"/>
        <family val="1"/>
        <charset val="186"/>
      </rPr>
      <t>euro</t>
    </r>
    <r>
      <rPr>
        <sz val="12"/>
        <color theme="1"/>
        <rFont val="Times New Roman"/>
        <family val="1"/>
        <charset val="186"/>
      </rPr>
      <t xml:space="preserve"> * 1 h) = 8,14 </t>
    </r>
    <r>
      <rPr>
        <i/>
        <sz val="12"/>
        <color theme="1"/>
        <rFont val="Times New Roman"/>
        <family val="1"/>
        <charset val="186"/>
      </rPr>
      <t>euro</t>
    </r>
    <r>
      <rPr>
        <sz val="12"/>
        <color theme="1"/>
        <rFont val="Times New Roman"/>
        <family val="1"/>
        <charset val="186"/>
      </rPr>
      <t xml:space="preserve">/mēn. * 12. mēn. = 97,68 </t>
    </r>
    <r>
      <rPr>
        <i/>
        <sz val="12"/>
        <color theme="1"/>
        <rFont val="Times New Roman"/>
        <family val="1"/>
        <charset val="186"/>
      </rPr>
      <t>euro</t>
    </r>
    <r>
      <rPr>
        <sz val="12"/>
        <color theme="1"/>
        <rFont val="Times New Roman"/>
        <family val="1"/>
        <charset val="186"/>
      </rPr>
      <t>.</t>
    </r>
  </si>
  <si>
    <r>
      <t xml:space="preserve">Izdevumi par elektroenerģiju 16 479,98 </t>
    </r>
    <r>
      <rPr>
        <i/>
        <sz val="12"/>
        <color theme="1"/>
        <rFont val="Times New Roman"/>
        <family val="1"/>
        <charset val="186"/>
      </rPr>
      <t>euro</t>
    </r>
    <r>
      <rPr>
        <sz val="12"/>
        <color theme="1"/>
        <rFont val="Times New Roman"/>
        <family val="1"/>
        <charset val="186"/>
      </rPr>
      <t xml:space="preserve"> gadā x 0.021 (iznomātās platības koeficients)= 346,08 </t>
    </r>
    <r>
      <rPr>
        <i/>
        <sz val="12"/>
        <color theme="1"/>
        <rFont val="Times New Roman"/>
        <family val="1"/>
        <charset val="186"/>
      </rPr>
      <t>euro</t>
    </r>
    <r>
      <rPr>
        <sz val="12"/>
        <color theme="1"/>
        <rFont val="Times New Roman"/>
        <family val="1"/>
        <charset val="186"/>
      </rPr>
      <t>.</t>
    </r>
  </si>
  <si>
    <r>
      <t xml:space="preserve">Izdevumi par apkuri 34 405,65 </t>
    </r>
    <r>
      <rPr>
        <i/>
        <sz val="12"/>
        <color theme="1"/>
        <rFont val="Times New Roman"/>
        <family val="1"/>
        <charset val="186"/>
      </rPr>
      <t>euro</t>
    </r>
    <r>
      <rPr>
        <sz val="12"/>
        <color theme="1"/>
        <rFont val="Times New Roman"/>
        <family val="1"/>
        <charset val="186"/>
      </rPr>
      <t xml:space="preserve"> gadā x 0.021 (iznomātās platības koeficients) = 722,52 </t>
    </r>
    <r>
      <rPr>
        <i/>
        <sz val="12"/>
        <color theme="1"/>
        <rFont val="Times New Roman"/>
        <family val="1"/>
        <charset val="186"/>
      </rPr>
      <t>euro</t>
    </r>
    <r>
      <rPr>
        <sz val="12"/>
        <color theme="1"/>
        <rFont val="Times New Roman"/>
        <family val="1"/>
        <charset val="186"/>
      </rPr>
      <t>.</t>
    </r>
  </si>
  <si>
    <r>
      <t xml:space="preserve">Izdevumi par ūdeni un kanalizāciju 27 713,15 </t>
    </r>
    <r>
      <rPr>
        <i/>
        <sz val="12"/>
        <color theme="1"/>
        <rFont val="Times New Roman"/>
        <family val="1"/>
        <charset val="186"/>
      </rPr>
      <t>euro</t>
    </r>
    <r>
      <rPr>
        <sz val="12"/>
        <color theme="1"/>
        <rFont val="Times New Roman"/>
        <family val="1"/>
        <charset val="186"/>
      </rPr>
      <t xml:space="preserve"> gadā * 0.021 (iznomātās platības koeficients) = 581,98 </t>
    </r>
    <r>
      <rPr>
        <i/>
        <sz val="12"/>
        <color theme="1"/>
        <rFont val="Times New Roman"/>
        <family val="1"/>
        <charset val="186"/>
      </rPr>
      <t>euro.</t>
    </r>
  </si>
  <si>
    <r>
      <t xml:space="preserve">Izdevumi par atkritumu izvešanu 6 098,64 </t>
    </r>
    <r>
      <rPr>
        <i/>
        <sz val="12"/>
        <color theme="1"/>
        <rFont val="Times New Roman"/>
        <family val="1"/>
        <charset val="186"/>
      </rPr>
      <t>euro</t>
    </r>
    <r>
      <rPr>
        <sz val="12"/>
        <color theme="1"/>
        <rFont val="Times New Roman"/>
        <family val="1"/>
        <charset val="186"/>
      </rPr>
      <t xml:space="preserve"> gadā x 0.021 (iznomātās platības koeficients) = 128,07 </t>
    </r>
    <r>
      <rPr>
        <i/>
        <sz val="12"/>
        <color theme="1"/>
        <rFont val="Times New Roman"/>
        <family val="1"/>
        <charset val="186"/>
      </rPr>
      <t>euro.</t>
    </r>
  </si>
  <si>
    <r>
      <t xml:space="preserve">Kārtējā remonta izdevumi 650,00 </t>
    </r>
    <r>
      <rPr>
        <i/>
        <sz val="12"/>
        <color theme="1"/>
        <rFont val="Times New Roman"/>
        <family val="1"/>
        <charset val="186"/>
      </rPr>
      <t>euro</t>
    </r>
    <r>
      <rPr>
        <sz val="12"/>
        <color theme="1"/>
        <rFont val="Times New Roman"/>
        <family val="1"/>
        <charset val="186"/>
      </rPr>
      <t xml:space="preserve"> gadā * 0.021 (iznomātās platības koeficients) = 13,65 </t>
    </r>
    <r>
      <rPr>
        <i/>
        <sz val="12"/>
        <color theme="1"/>
        <rFont val="Times New Roman"/>
        <family val="1"/>
        <charset val="186"/>
      </rPr>
      <t>euro.</t>
    </r>
  </si>
  <si>
    <r>
      <t xml:space="preserve">Ugunsdzēsības aparātu apkope, trauksmes un signalizācijas sistēmu apkope, kā arī citu sistēmu un iekārtu apkope un remonts, avāriju bojājumu novēršanas izdevumi 1 948,84 </t>
    </r>
    <r>
      <rPr>
        <i/>
        <sz val="12"/>
        <color theme="1"/>
        <rFont val="Times New Roman"/>
        <family val="1"/>
        <charset val="186"/>
      </rPr>
      <t>euro</t>
    </r>
    <r>
      <rPr>
        <sz val="12"/>
        <color theme="1"/>
        <rFont val="Times New Roman"/>
        <family val="1"/>
        <charset val="186"/>
      </rPr>
      <t xml:space="preserve"> gadā x 0.021 (iznomātās platības koeficients) = 40,93 </t>
    </r>
    <r>
      <rPr>
        <i/>
        <sz val="12"/>
        <color theme="1"/>
        <rFont val="Times New Roman"/>
        <family val="1"/>
        <charset val="186"/>
      </rPr>
      <t>euro</t>
    </r>
    <r>
      <rPr>
        <sz val="12"/>
        <color theme="1"/>
        <rFont val="Times New Roman"/>
        <family val="1"/>
        <charset val="186"/>
      </rPr>
      <t>.</t>
    </r>
  </si>
  <si>
    <r>
      <t xml:space="preserve">Nekustamā īpašuma nodoklis 4 426,37 </t>
    </r>
    <r>
      <rPr>
        <i/>
        <sz val="12"/>
        <color theme="1"/>
        <rFont val="Times New Roman"/>
        <family val="1"/>
        <charset val="186"/>
      </rPr>
      <t>euro</t>
    </r>
    <r>
      <rPr>
        <sz val="12"/>
        <color theme="1"/>
        <rFont val="Times New Roman"/>
        <family val="1"/>
        <charset val="186"/>
      </rPr>
      <t xml:space="preserve"> gadā x 0.021 (iznomātās platības koeficients) = 92,95 </t>
    </r>
    <r>
      <rPr>
        <i/>
        <sz val="12"/>
        <color theme="1"/>
        <rFont val="Times New Roman"/>
        <family val="1"/>
        <charset val="186"/>
      </rPr>
      <t>euro.</t>
    </r>
  </si>
  <si>
    <r>
      <t xml:space="preserve">Ēku amortizācija 11 857,30 </t>
    </r>
    <r>
      <rPr>
        <i/>
        <sz val="12"/>
        <color theme="1"/>
        <rFont val="Times New Roman"/>
        <family val="1"/>
        <charset val="186"/>
      </rPr>
      <t>euro</t>
    </r>
    <r>
      <rPr>
        <sz val="12"/>
        <color theme="1"/>
        <rFont val="Times New Roman"/>
        <family val="1"/>
        <charset val="186"/>
      </rPr>
      <t xml:space="preserve"> gadā x 0.021 (iznomātās platības koeficients) = 249,00 </t>
    </r>
    <r>
      <rPr>
        <i/>
        <sz val="12"/>
        <color theme="1"/>
        <rFont val="Times New Roman"/>
        <family val="1"/>
        <charset val="186"/>
      </rPr>
      <t>euro.</t>
    </r>
  </si>
  <si>
    <r>
      <t xml:space="preserve">Asfalta un bruģa seguma amortizācija 2 314,44 </t>
    </r>
    <r>
      <rPr>
        <i/>
        <sz val="12"/>
        <color theme="1"/>
        <rFont val="Times New Roman"/>
        <family val="1"/>
        <charset val="186"/>
      </rPr>
      <t>euro</t>
    </r>
    <r>
      <rPr>
        <sz val="12"/>
        <color theme="1"/>
        <rFont val="Times New Roman"/>
        <family val="1"/>
        <charset val="186"/>
      </rPr>
      <t xml:space="preserve"> gadā x 0.021 (iznomātās platības koeficients) = 48,60 </t>
    </r>
    <r>
      <rPr>
        <i/>
        <sz val="12"/>
        <color theme="1"/>
        <rFont val="Times New Roman"/>
        <family val="1"/>
        <charset val="186"/>
      </rPr>
      <t>euro.</t>
    </r>
  </si>
  <si>
    <r>
      <t xml:space="preserve">Pamatlīdzekļu amortizācija 3 681,36 </t>
    </r>
    <r>
      <rPr>
        <i/>
        <sz val="12"/>
        <color theme="1"/>
        <rFont val="Times New Roman"/>
        <family val="1"/>
        <charset val="186"/>
      </rPr>
      <t>euro</t>
    </r>
    <r>
      <rPr>
        <sz val="12"/>
        <color theme="1"/>
        <rFont val="Times New Roman"/>
        <family val="1"/>
        <charset val="186"/>
      </rPr>
      <t xml:space="preserve"> gadā x 0.021 (iznomātās platības koeficients) = 77,31 </t>
    </r>
    <r>
      <rPr>
        <i/>
        <sz val="12"/>
        <color theme="1"/>
        <rFont val="Times New Roman"/>
        <family val="1"/>
        <charset val="186"/>
      </rPr>
      <t>euro.</t>
    </r>
  </si>
  <si>
    <r>
      <t xml:space="preserve">Pamatlīdzekļu amortizācija 6 856,20 </t>
    </r>
    <r>
      <rPr>
        <i/>
        <sz val="12"/>
        <color theme="1"/>
        <rFont val="Times New Roman"/>
        <family val="1"/>
        <charset val="186"/>
      </rPr>
      <t>euro</t>
    </r>
    <r>
      <rPr>
        <sz val="12"/>
        <color theme="1"/>
        <rFont val="Times New Roman"/>
        <family val="1"/>
        <charset val="186"/>
      </rPr>
      <t xml:space="preserve"> gadā x 0.021 (iznomātās platības koeficients) = 143,98 </t>
    </r>
    <r>
      <rPr>
        <i/>
        <sz val="12"/>
        <color theme="1"/>
        <rFont val="Times New Roman"/>
        <family val="1"/>
        <charset val="186"/>
      </rPr>
      <t>euro.</t>
    </r>
  </si>
  <si>
    <r>
      <t xml:space="preserve">Darba devēja valsts sociālās apdrošināšanas obligātās iemaksas (104,33 </t>
    </r>
    <r>
      <rPr>
        <i/>
        <sz val="12"/>
        <color theme="1"/>
        <rFont val="Times New Roman"/>
        <family val="1"/>
        <charset val="186"/>
      </rPr>
      <t>euro</t>
    </r>
    <r>
      <rPr>
        <sz val="12"/>
        <color theme="1"/>
        <rFont val="Times New Roman"/>
        <family val="1"/>
        <charset val="186"/>
      </rPr>
      <t xml:space="preserve"> * 23.59 %) = 24,61 </t>
    </r>
    <r>
      <rPr>
        <i/>
        <sz val="12"/>
        <color theme="1"/>
        <rFont val="Times New Roman"/>
        <family val="1"/>
        <charset val="186"/>
      </rPr>
      <t>euro</t>
    </r>
    <r>
      <rPr>
        <sz val="12"/>
        <color theme="1"/>
        <rFont val="Times New Roman"/>
        <family val="1"/>
        <charset val="186"/>
      </rPr>
      <t>.</t>
    </r>
  </si>
  <si>
    <r>
      <t xml:space="preserve">1 m3 ūdens maksā 2,68 </t>
    </r>
    <r>
      <rPr>
        <i/>
        <sz val="12"/>
        <color theme="1"/>
        <rFont val="Times New Roman"/>
        <family val="1"/>
        <charset val="186"/>
      </rPr>
      <t>euro</t>
    </r>
    <r>
      <rPr>
        <sz val="12"/>
        <color theme="1"/>
        <rFont val="Times New Roman"/>
        <family val="1"/>
        <charset val="186"/>
      </rPr>
      <t xml:space="preserve">. Vienā reizē (stundā) grupa no 16 līdz 30 cilvēkiem izlieto vidēji 0,90 m3 ūdens, (2,68 </t>
    </r>
    <r>
      <rPr>
        <i/>
        <sz val="12"/>
        <color theme="1"/>
        <rFont val="Times New Roman"/>
        <family val="1"/>
        <charset val="186"/>
      </rPr>
      <t>euro</t>
    </r>
    <r>
      <rPr>
        <sz val="12"/>
        <color theme="1"/>
        <rFont val="Times New Roman"/>
        <family val="1"/>
        <charset val="186"/>
      </rPr>
      <t xml:space="preserve"> x 0,90 m3) = 2.41 </t>
    </r>
    <r>
      <rPr>
        <i/>
        <sz val="12"/>
        <color theme="1"/>
        <rFont val="Times New Roman"/>
        <family val="1"/>
        <charset val="186"/>
      </rPr>
      <t>euro</t>
    </r>
    <r>
      <rPr>
        <sz val="12"/>
        <color theme="1"/>
        <rFont val="Times New Roman"/>
        <family val="1"/>
        <charset val="186"/>
      </rPr>
      <t xml:space="preserve">/h * 24 h = 57,84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</si>
  <si>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20 min., (11,24 </t>
    </r>
    <r>
      <rPr>
        <i/>
        <sz val="12"/>
        <color theme="1"/>
        <rFont val="Times New Roman"/>
        <family val="1"/>
        <charset val="186"/>
      </rPr>
      <t>euro</t>
    </r>
    <r>
      <rPr>
        <sz val="12"/>
        <color theme="1"/>
        <rFont val="Times New Roman"/>
        <family val="1"/>
        <charset val="186"/>
      </rPr>
      <t xml:space="preserve"> * 0.33 h) = 3,71 </t>
    </r>
    <r>
      <rPr>
        <i/>
        <sz val="12"/>
        <color theme="1"/>
        <rFont val="Times New Roman"/>
        <family val="1"/>
        <charset val="186"/>
      </rPr>
      <t>euro</t>
    </r>
    <r>
      <rPr>
        <sz val="12"/>
        <color theme="1"/>
        <rFont val="Times New Roman"/>
        <family val="1"/>
        <charset val="186"/>
      </rPr>
      <t xml:space="preserve">/mēn. * 12. mēn. = 44,52  </t>
    </r>
    <r>
      <rPr>
        <i/>
        <sz val="12"/>
        <color theme="1"/>
        <rFont val="Times New Roman"/>
        <family val="1"/>
        <charset val="186"/>
      </rPr>
      <t>euro</t>
    </r>
    <r>
      <rPr>
        <sz val="12"/>
        <color theme="1"/>
        <rFont val="Times New Roman"/>
        <family val="1"/>
        <charset val="186"/>
      </rPr>
      <t xml:space="preserve"> * 0.017 (pakalpojuma īpatsvars kopējos ēkā sniegtajos pakalpojumos) = 0,76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</si>
  <si>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20 min, (7,58 </t>
    </r>
    <r>
      <rPr>
        <i/>
        <sz val="12"/>
        <color theme="1"/>
        <rFont val="Times New Roman"/>
        <family val="1"/>
        <charset val="186"/>
      </rPr>
      <t>euro</t>
    </r>
    <r>
      <rPr>
        <sz val="12"/>
        <color theme="1"/>
        <rFont val="Times New Roman"/>
        <family val="1"/>
        <charset val="186"/>
      </rPr>
      <t xml:space="preserve"> * 0.33 h) = 2,50 </t>
    </r>
    <r>
      <rPr>
        <i/>
        <sz val="12"/>
        <color theme="1"/>
        <rFont val="Times New Roman"/>
        <family val="1"/>
        <charset val="186"/>
      </rPr>
      <t>euro</t>
    </r>
    <r>
      <rPr>
        <sz val="12"/>
        <color theme="1"/>
        <rFont val="Times New Roman"/>
        <family val="1"/>
        <charset val="186"/>
      </rPr>
      <t xml:space="preserve">/mēn. * 12. mēn. = 30,00 </t>
    </r>
    <r>
      <rPr>
        <i/>
        <sz val="12"/>
        <color theme="1"/>
        <rFont val="Times New Roman"/>
        <family val="1"/>
        <charset val="186"/>
      </rPr>
      <t>euro</t>
    </r>
    <r>
      <rPr>
        <sz val="12"/>
        <color theme="1"/>
        <rFont val="Times New Roman"/>
        <family val="1"/>
        <charset val="186"/>
      </rPr>
      <t xml:space="preserve"> * 0.017 (pakalpojuma īpatsvars kopējos ēkā sniegtajos pakalpojumos) = 0,51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</si>
  <si>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20 min, (11,22 </t>
    </r>
    <r>
      <rPr>
        <i/>
        <sz val="12"/>
        <color theme="1"/>
        <rFont val="Times New Roman"/>
        <family val="1"/>
        <charset val="186"/>
      </rPr>
      <t>euro</t>
    </r>
    <r>
      <rPr>
        <sz val="12"/>
        <color theme="1"/>
        <rFont val="Times New Roman"/>
        <family val="1"/>
        <charset val="186"/>
      </rPr>
      <t xml:space="preserve"> * 0.33 h) = 3,70 </t>
    </r>
    <r>
      <rPr>
        <i/>
        <sz val="12"/>
        <color theme="1"/>
        <rFont val="Times New Roman"/>
        <family val="1"/>
        <charset val="186"/>
      </rPr>
      <t>euro</t>
    </r>
    <r>
      <rPr>
        <sz val="12"/>
        <color theme="1"/>
        <rFont val="Times New Roman"/>
        <family val="1"/>
        <charset val="186"/>
      </rPr>
      <t xml:space="preserve">/mēn. * 12. mēn. = 44,40 </t>
    </r>
    <r>
      <rPr>
        <i/>
        <sz val="12"/>
        <color theme="1"/>
        <rFont val="Times New Roman"/>
        <family val="1"/>
        <charset val="186"/>
      </rPr>
      <t>euro</t>
    </r>
    <r>
      <rPr>
        <sz val="12"/>
        <color theme="1"/>
        <rFont val="Times New Roman"/>
        <family val="1"/>
        <charset val="186"/>
      </rPr>
      <t xml:space="preserve"> * 0.017 (pakalpojuma īpatsvars kopējos ēkā sniegtajos pakalpojumos) = 0,75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</si>
  <si>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 min., (15,03 </t>
    </r>
    <r>
      <rPr>
        <i/>
        <sz val="12"/>
        <color theme="1"/>
        <rFont val="Times New Roman"/>
        <family val="1"/>
        <charset val="186"/>
      </rPr>
      <t>euro</t>
    </r>
    <r>
      <rPr>
        <sz val="12"/>
        <color theme="1"/>
        <rFont val="Times New Roman"/>
        <family val="1"/>
        <charset val="186"/>
      </rPr>
      <t xml:space="preserve"> * 0.33 h) = 4,96 </t>
    </r>
    <r>
      <rPr>
        <i/>
        <sz val="12"/>
        <color theme="1"/>
        <rFont val="Times New Roman"/>
        <family val="1"/>
        <charset val="186"/>
      </rPr>
      <t>euro</t>
    </r>
    <r>
      <rPr>
        <sz val="12"/>
        <color theme="1"/>
        <rFont val="Times New Roman"/>
        <family val="1"/>
        <charset val="186"/>
      </rPr>
      <t xml:space="preserve">/mēn. * 12. mēn. = 59,52 </t>
    </r>
    <r>
      <rPr>
        <i/>
        <sz val="12"/>
        <color theme="1"/>
        <rFont val="Times New Roman"/>
        <family val="1"/>
        <charset val="186"/>
      </rPr>
      <t>euro</t>
    </r>
    <r>
      <rPr>
        <sz val="12"/>
        <color theme="1"/>
        <rFont val="Times New Roman"/>
        <family val="1"/>
        <charset val="186"/>
      </rPr>
      <t xml:space="preserve"> * 0.017 (pakalpojuma īpatsvars kopējos ēkā sniegtajos pakalpojumos) = 1,01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</si>
  <si>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13 min, (12,07 </t>
    </r>
    <r>
      <rPr>
        <i/>
        <sz val="12"/>
        <color theme="1"/>
        <rFont val="Times New Roman"/>
        <family val="1"/>
        <charset val="186"/>
      </rPr>
      <t>euro</t>
    </r>
    <r>
      <rPr>
        <sz val="12"/>
        <color theme="1"/>
        <rFont val="Times New Roman"/>
        <family val="1"/>
        <charset val="186"/>
      </rPr>
      <t xml:space="preserve"> * 0.22 h) = 2,66 </t>
    </r>
    <r>
      <rPr>
        <i/>
        <sz val="12"/>
        <color theme="1"/>
        <rFont val="Times New Roman"/>
        <family val="1"/>
        <charset val="186"/>
      </rPr>
      <t>euro</t>
    </r>
    <r>
      <rPr>
        <sz val="12"/>
        <color theme="1"/>
        <rFont val="Times New Roman"/>
        <family val="1"/>
        <charset val="186"/>
      </rPr>
      <t xml:space="preserve">/mēn. * 12. mēn. = 31,92 </t>
    </r>
    <r>
      <rPr>
        <i/>
        <sz val="12"/>
        <color theme="1"/>
        <rFont val="Times New Roman"/>
        <family val="1"/>
        <charset val="186"/>
      </rPr>
      <t>euro</t>
    </r>
    <r>
      <rPr>
        <sz val="12"/>
        <color theme="1"/>
        <rFont val="Times New Roman"/>
        <family val="1"/>
        <charset val="186"/>
      </rPr>
      <t xml:space="preserve"> * 0.017 (pakalpojuma īpatsvars kopējos ēkā sniegtajos pakalpojumos) = 0,54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</si>
  <si>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0.017 (pakalpojuma īpatsvars kopējos ēkā sniegtajos pakalpojumos) = 15,46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</si>
  <si>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7.46 stundas, (9,11 </t>
    </r>
    <r>
      <rPr>
        <i/>
        <sz val="12"/>
        <color theme="1"/>
        <rFont val="Times New Roman"/>
        <family val="1"/>
        <charset val="186"/>
      </rPr>
      <t>euro</t>
    </r>
    <r>
      <rPr>
        <sz val="12"/>
        <color theme="1"/>
        <rFont val="Times New Roman"/>
        <family val="1"/>
        <charset val="186"/>
      </rPr>
      <t xml:space="preserve"> * 7.46 h) = 67,96 </t>
    </r>
    <r>
      <rPr>
        <i/>
        <sz val="12"/>
        <color theme="1"/>
        <rFont val="Times New Roman"/>
        <family val="1"/>
        <charset val="186"/>
      </rPr>
      <t>euro</t>
    </r>
    <r>
      <rPr>
        <sz val="12"/>
        <color theme="1"/>
        <rFont val="Times New Roman"/>
        <family val="1"/>
        <charset val="186"/>
      </rPr>
      <t xml:space="preserve">/mēn. * 12. mēn. = 815,52 </t>
    </r>
    <r>
      <rPr>
        <i/>
        <sz val="12"/>
        <color theme="1"/>
        <rFont val="Times New Roman"/>
        <family val="1"/>
        <charset val="186"/>
      </rPr>
      <t>euro</t>
    </r>
    <r>
      <rPr>
        <sz val="12"/>
        <color theme="1"/>
        <rFont val="Times New Roman"/>
        <family val="1"/>
        <charset val="186"/>
      </rPr>
      <t xml:space="preserve"> * 0.017 (pakalpojuma īpatsvars kopējos ēkā sniegtajos pakalpojumos) = 13,86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</si>
  <si>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13 stundas, (8,22 </t>
    </r>
    <r>
      <rPr>
        <i/>
        <sz val="12"/>
        <color theme="1"/>
        <rFont val="Times New Roman"/>
        <family val="1"/>
        <charset val="186"/>
      </rPr>
      <t>euro</t>
    </r>
    <r>
      <rPr>
        <sz val="12"/>
        <color theme="1"/>
        <rFont val="Times New Roman"/>
        <family val="1"/>
        <charset val="186"/>
      </rPr>
      <t xml:space="preserve"> * 13 h) = 106,86 </t>
    </r>
    <r>
      <rPr>
        <i/>
        <sz val="12"/>
        <color theme="1"/>
        <rFont val="Times New Roman"/>
        <family val="1"/>
        <charset val="186"/>
      </rPr>
      <t>euro</t>
    </r>
    <r>
      <rPr>
        <sz val="12"/>
        <color theme="1"/>
        <rFont val="Times New Roman"/>
        <family val="1"/>
        <charset val="186"/>
      </rPr>
      <t xml:space="preserve">/mēn. * 12. mēn. = 1 282,32 </t>
    </r>
    <r>
      <rPr>
        <i/>
        <sz val="12"/>
        <color theme="1"/>
        <rFont val="Times New Roman"/>
        <family val="1"/>
        <charset val="186"/>
      </rPr>
      <t>euro</t>
    </r>
    <r>
      <rPr>
        <sz val="12"/>
        <color theme="1"/>
        <rFont val="Times New Roman"/>
        <family val="1"/>
        <charset val="186"/>
      </rPr>
      <t xml:space="preserve"> * 0.017 (pakalpojuma īpatsvars kopējos ēkā sniegtajos pakalpojumos) = 21,80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</si>
  <si>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1.28 stundas, (24,34 </t>
    </r>
    <r>
      <rPr>
        <i/>
        <sz val="12"/>
        <color theme="1"/>
        <rFont val="Times New Roman"/>
        <family val="1"/>
        <charset val="186"/>
      </rPr>
      <t>euro</t>
    </r>
    <r>
      <rPr>
        <sz val="12"/>
        <color theme="1"/>
        <rFont val="Times New Roman"/>
        <family val="1"/>
        <charset val="186"/>
      </rPr>
      <t xml:space="preserve"> * 1.28 h) = 31,16 </t>
    </r>
    <r>
      <rPr>
        <i/>
        <sz val="12"/>
        <color theme="1"/>
        <rFont val="Times New Roman"/>
        <family val="1"/>
        <charset val="186"/>
      </rPr>
      <t>euro</t>
    </r>
    <r>
      <rPr>
        <sz val="12"/>
        <color theme="1"/>
        <rFont val="Times New Roman"/>
        <family val="1"/>
        <charset val="186"/>
      </rPr>
      <t xml:space="preserve">/mēn. * 12. mēn. = 373,92 </t>
    </r>
    <r>
      <rPr>
        <i/>
        <sz val="12"/>
        <color theme="1"/>
        <rFont val="Times New Roman"/>
        <family val="1"/>
        <charset val="186"/>
      </rPr>
      <t>euro</t>
    </r>
    <r>
      <rPr>
        <sz val="12"/>
        <color theme="1"/>
        <rFont val="Times New Roman"/>
        <family val="1"/>
        <charset val="186"/>
      </rPr>
      <t xml:space="preserve"> * 0.017 (pakalpojuma īpatsvars kopējos ēkā sniegtajos pakalpojumos) = 6,36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</si>
  <si>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18 min., (26,96 </t>
    </r>
    <r>
      <rPr>
        <i/>
        <sz val="12"/>
        <color theme="1"/>
        <rFont val="Times New Roman"/>
        <family val="1"/>
        <charset val="186"/>
      </rPr>
      <t>euro</t>
    </r>
    <r>
      <rPr>
        <sz val="12"/>
        <color theme="1"/>
        <rFont val="Times New Roman"/>
        <family val="1"/>
        <charset val="186"/>
      </rPr>
      <t xml:space="preserve"> * 0.3 h) = 8,09 </t>
    </r>
    <r>
      <rPr>
        <i/>
        <sz val="12"/>
        <color theme="1"/>
        <rFont val="Times New Roman"/>
        <family val="1"/>
        <charset val="186"/>
      </rPr>
      <t>euro</t>
    </r>
    <r>
      <rPr>
        <sz val="12"/>
        <color theme="1"/>
        <rFont val="Times New Roman"/>
        <family val="1"/>
        <charset val="186"/>
      </rPr>
      <t xml:space="preserve">/mēn. * 12. mēn. = 97,08 </t>
    </r>
    <r>
      <rPr>
        <i/>
        <sz val="12"/>
        <color theme="1"/>
        <rFont val="Times New Roman"/>
        <family val="1"/>
        <charset val="186"/>
      </rPr>
      <t>euro</t>
    </r>
    <r>
      <rPr>
        <sz val="12"/>
        <color theme="1"/>
        <rFont val="Times New Roman"/>
        <family val="1"/>
        <charset val="186"/>
      </rPr>
      <t xml:space="preserve"> * 0.017 (pakalpojuma īpatsvars kopējos ēkā sniegtajos pakalpojumos) = 1,65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</si>
  <si>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62,70 </t>
    </r>
    <r>
      <rPr>
        <i/>
        <sz val="12"/>
        <color theme="1"/>
        <rFont val="Times New Roman"/>
        <family val="1"/>
        <charset val="186"/>
      </rPr>
      <t>euro</t>
    </r>
    <r>
      <rPr>
        <sz val="12"/>
        <color theme="1"/>
        <rFont val="Times New Roman"/>
        <family val="1"/>
        <charset val="186"/>
      </rPr>
      <t xml:space="preserve"> * 23,59 % = 14,79 </t>
    </r>
    <r>
      <rPr>
        <i/>
        <sz val="12"/>
        <color theme="1"/>
        <rFont val="Times New Roman"/>
        <family val="1"/>
        <charset val="186"/>
      </rPr>
      <t>euro.</t>
    </r>
  </si>
  <si>
    <r>
      <t xml:space="preserve">Izdevumi par apkuri 15 031,44 </t>
    </r>
    <r>
      <rPr>
        <i/>
        <sz val="12"/>
        <color theme="1"/>
        <rFont val="Times New Roman"/>
        <family val="1"/>
        <charset val="186"/>
      </rPr>
      <t>euro</t>
    </r>
    <r>
      <rPr>
        <sz val="12"/>
        <color theme="1"/>
        <rFont val="Times New Roman"/>
        <family val="1"/>
        <charset val="186"/>
      </rPr>
      <t xml:space="preserve"> gadā * 0.017 (pakalpojuma īpatsvars kopējos ēkā sniegtajos maksas pakalpojumos) = 255,53 </t>
    </r>
    <r>
      <rPr>
        <i/>
        <sz val="12"/>
        <color theme="1"/>
        <rFont val="Times New Roman"/>
        <family val="1"/>
        <charset val="186"/>
      </rPr>
      <t>euro</t>
    </r>
    <r>
      <rPr>
        <sz val="12"/>
        <color theme="1"/>
        <rFont val="Times New Roman"/>
        <family val="1"/>
        <charset val="186"/>
      </rPr>
      <t>.</t>
    </r>
  </si>
  <si>
    <r>
      <t xml:space="preserve">Izdevumi par lietus ūdens 2 002,89 </t>
    </r>
    <r>
      <rPr>
        <i/>
        <sz val="12"/>
        <color theme="1"/>
        <rFont val="Times New Roman"/>
        <family val="1"/>
        <charset val="186"/>
      </rPr>
      <t>euro</t>
    </r>
    <r>
      <rPr>
        <sz val="12"/>
        <color theme="1"/>
        <rFont val="Times New Roman"/>
        <family val="1"/>
        <charset val="186"/>
      </rPr>
      <t xml:space="preserve"> gadā * 0.017 (pakalpojuma īpatsvars kopējos ēkā sniegtajos maksas pakalpojumos) = 34,05 </t>
    </r>
    <r>
      <rPr>
        <i/>
        <sz val="12"/>
        <color theme="1"/>
        <rFont val="Times New Roman"/>
        <family val="1"/>
        <charset val="186"/>
      </rPr>
      <t>euro</t>
    </r>
    <r>
      <rPr>
        <sz val="12"/>
        <color theme="1"/>
        <rFont val="Times New Roman"/>
        <family val="1"/>
        <charset val="186"/>
      </rPr>
      <t>.</t>
    </r>
  </si>
  <si>
    <r>
      <t xml:space="preserve">Izdevumi par apkuri 7 430,68 </t>
    </r>
    <r>
      <rPr>
        <i/>
        <sz val="12"/>
        <color theme="1"/>
        <rFont val="Times New Roman"/>
        <family val="1"/>
        <charset val="186"/>
      </rPr>
      <t>euro</t>
    </r>
    <r>
      <rPr>
        <sz val="12"/>
        <color theme="1"/>
        <rFont val="Times New Roman"/>
        <family val="1"/>
        <charset val="186"/>
      </rPr>
      <t xml:space="preserve"> gadā * 0.017 (pakalpojuma īpatsvars kopējos ēkā sniegtajos maksas pakalpojumos) = 126,32 </t>
    </r>
    <r>
      <rPr>
        <i/>
        <sz val="12"/>
        <color theme="1"/>
        <rFont val="Times New Roman"/>
        <family val="1"/>
        <charset val="186"/>
      </rPr>
      <t>euro</t>
    </r>
    <r>
      <rPr>
        <sz val="12"/>
        <color theme="1"/>
        <rFont val="Times New Roman"/>
        <family val="1"/>
        <charset val="186"/>
      </rPr>
      <t>.</t>
    </r>
  </si>
  <si>
    <r>
      <t xml:space="preserve">Izdevumi par atkritumu izvešanu 329,82 </t>
    </r>
    <r>
      <rPr>
        <i/>
        <sz val="12"/>
        <color theme="1"/>
        <rFont val="Times New Roman"/>
        <family val="1"/>
        <charset val="186"/>
      </rPr>
      <t>euro</t>
    </r>
    <r>
      <rPr>
        <sz val="12"/>
        <color theme="1"/>
        <rFont val="Times New Roman"/>
        <family val="1"/>
        <charset val="186"/>
      </rPr>
      <t xml:space="preserve"> gadā * 0.017 (pakalpojuma īpatsvars kopējos ēkā sniegtajos maksas pakalpojumos) = 5,61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</si>
  <si>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20 min., (11,24 </t>
    </r>
    <r>
      <rPr>
        <i/>
        <sz val="12"/>
        <color theme="1"/>
        <rFont val="Times New Roman"/>
        <family val="1"/>
        <charset val="186"/>
      </rPr>
      <t>euro</t>
    </r>
    <r>
      <rPr>
        <sz val="12"/>
        <color theme="1"/>
        <rFont val="Times New Roman"/>
        <family val="1"/>
        <charset val="186"/>
      </rPr>
      <t xml:space="preserve"> * 0.33 h) = 3,71 </t>
    </r>
    <r>
      <rPr>
        <i/>
        <sz val="12"/>
        <color theme="1"/>
        <rFont val="Times New Roman"/>
        <family val="1"/>
        <charset val="186"/>
      </rPr>
      <t>euro</t>
    </r>
    <r>
      <rPr>
        <sz val="12"/>
        <color theme="1"/>
        <rFont val="Times New Roman"/>
        <family val="1"/>
        <charset val="186"/>
      </rPr>
      <t xml:space="preserve">/mēn. * 12. mēn. = 44,52  </t>
    </r>
    <r>
      <rPr>
        <i/>
        <sz val="12"/>
        <color theme="1"/>
        <rFont val="Times New Roman"/>
        <family val="1"/>
        <charset val="186"/>
      </rPr>
      <t>euro</t>
    </r>
    <r>
      <rPr>
        <sz val="12"/>
        <color theme="1"/>
        <rFont val="Times New Roman"/>
        <family val="1"/>
        <charset val="186"/>
      </rPr>
      <t xml:space="preserve"> * 0.62 (pakalpojuma īpatsvars kopējos ēkā sniegtajos pakalpojumos) = 27,60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</si>
  <si>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20 min, (7,58 </t>
    </r>
    <r>
      <rPr>
        <i/>
        <sz val="12"/>
        <color theme="1"/>
        <rFont val="Times New Roman"/>
        <family val="1"/>
        <charset val="186"/>
      </rPr>
      <t>euro</t>
    </r>
    <r>
      <rPr>
        <sz val="12"/>
        <color theme="1"/>
        <rFont val="Times New Roman"/>
        <family val="1"/>
        <charset val="186"/>
      </rPr>
      <t xml:space="preserve"> * 0.33 h) = 2,50 </t>
    </r>
    <r>
      <rPr>
        <i/>
        <sz val="12"/>
        <color theme="1"/>
        <rFont val="Times New Roman"/>
        <family val="1"/>
        <charset val="186"/>
      </rPr>
      <t>euro</t>
    </r>
    <r>
      <rPr>
        <sz val="12"/>
        <color theme="1"/>
        <rFont val="Times New Roman"/>
        <family val="1"/>
        <charset val="186"/>
      </rPr>
      <t xml:space="preserve">/mēn. * 12. mēn. = 30,00 </t>
    </r>
    <r>
      <rPr>
        <i/>
        <sz val="12"/>
        <color theme="1"/>
        <rFont val="Times New Roman"/>
        <family val="1"/>
        <charset val="186"/>
      </rPr>
      <t>euro</t>
    </r>
    <r>
      <rPr>
        <sz val="12"/>
        <color theme="1"/>
        <rFont val="Times New Roman"/>
        <family val="1"/>
        <charset val="186"/>
      </rPr>
      <t xml:space="preserve"> * 0.62 (pakalpojuma īpatsvars kopējos ēkā sniegtajos pakalpojumos) = 18,60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</si>
  <si>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20 min, (11,22 </t>
    </r>
    <r>
      <rPr>
        <i/>
        <sz val="12"/>
        <color theme="1"/>
        <rFont val="Times New Roman"/>
        <family val="1"/>
        <charset val="186"/>
      </rPr>
      <t>euro</t>
    </r>
    <r>
      <rPr>
        <sz val="12"/>
        <color theme="1"/>
        <rFont val="Times New Roman"/>
        <family val="1"/>
        <charset val="186"/>
      </rPr>
      <t xml:space="preserve"> * 0.33 h) = 3,70 </t>
    </r>
    <r>
      <rPr>
        <i/>
        <sz val="12"/>
        <color theme="1"/>
        <rFont val="Times New Roman"/>
        <family val="1"/>
        <charset val="186"/>
      </rPr>
      <t>euro</t>
    </r>
    <r>
      <rPr>
        <sz val="12"/>
        <color theme="1"/>
        <rFont val="Times New Roman"/>
        <family val="1"/>
        <charset val="186"/>
      </rPr>
      <t xml:space="preserve">/mēn. * 12. mēn. = 44,40 </t>
    </r>
    <r>
      <rPr>
        <i/>
        <sz val="12"/>
        <color theme="1"/>
        <rFont val="Times New Roman"/>
        <family val="1"/>
        <charset val="186"/>
      </rPr>
      <t>euro</t>
    </r>
    <r>
      <rPr>
        <sz val="12"/>
        <color theme="1"/>
        <rFont val="Times New Roman"/>
        <family val="1"/>
        <charset val="186"/>
      </rPr>
      <t xml:space="preserve"> * 0.62 (pakalpojuma īpatsvars kopējos ēkā sniegtajos pakalpojumos) = 27,53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</si>
  <si>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 min., (15,03 </t>
    </r>
    <r>
      <rPr>
        <i/>
        <sz val="12"/>
        <color theme="1"/>
        <rFont val="Times New Roman"/>
        <family val="1"/>
        <charset val="186"/>
      </rPr>
      <t>euro</t>
    </r>
    <r>
      <rPr>
        <sz val="12"/>
        <color theme="1"/>
        <rFont val="Times New Roman"/>
        <family val="1"/>
        <charset val="186"/>
      </rPr>
      <t xml:space="preserve"> * 0.33 h) = 4,96 </t>
    </r>
    <r>
      <rPr>
        <i/>
        <sz val="12"/>
        <color theme="1"/>
        <rFont val="Times New Roman"/>
        <family val="1"/>
        <charset val="186"/>
      </rPr>
      <t>euro</t>
    </r>
    <r>
      <rPr>
        <sz val="12"/>
        <color theme="1"/>
        <rFont val="Times New Roman"/>
        <family val="1"/>
        <charset val="186"/>
      </rPr>
      <t xml:space="preserve">/mēn. * 12. mēn. = 59,52 </t>
    </r>
    <r>
      <rPr>
        <i/>
        <sz val="12"/>
        <color theme="1"/>
        <rFont val="Times New Roman"/>
        <family val="1"/>
        <charset val="186"/>
      </rPr>
      <t>euro</t>
    </r>
    <r>
      <rPr>
        <sz val="12"/>
        <color theme="1"/>
        <rFont val="Times New Roman"/>
        <family val="1"/>
        <charset val="186"/>
      </rPr>
      <t xml:space="preserve"> * 0.62 (pakalpojuma īpatsvars kopējos ēkā sniegtajos pakalpojumos) = 36,90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</si>
  <si>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13 min, (12,07 </t>
    </r>
    <r>
      <rPr>
        <i/>
        <sz val="12"/>
        <color theme="1"/>
        <rFont val="Times New Roman"/>
        <family val="1"/>
        <charset val="186"/>
      </rPr>
      <t>euro</t>
    </r>
    <r>
      <rPr>
        <sz val="12"/>
        <color theme="1"/>
        <rFont val="Times New Roman"/>
        <family val="1"/>
        <charset val="186"/>
      </rPr>
      <t xml:space="preserve"> * 0.22 h) = 2,66 </t>
    </r>
    <r>
      <rPr>
        <i/>
        <sz val="12"/>
        <color theme="1"/>
        <rFont val="Times New Roman"/>
        <family val="1"/>
        <charset val="186"/>
      </rPr>
      <t>euro</t>
    </r>
    <r>
      <rPr>
        <sz val="12"/>
        <color theme="1"/>
        <rFont val="Times New Roman"/>
        <family val="1"/>
        <charset val="186"/>
      </rPr>
      <t xml:space="preserve">/mēn. * 12. mēn. = 31,92 </t>
    </r>
    <r>
      <rPr>
        <i/>
        <sz val="12"/>
        <color theme="1"/>
        <rFont val="Times New Roman"/>
        <family val="1"/>
        <charset val="186"/>
      </rPr>
      <t>euro</t>
    </r>
    <r>
      <rPr>
        <sz val="12"/>
        <color theme="1"/>
        <rFont val="Times New Roman"/>
        <family val="1"/>
        <charset val="186"/>
      </rPr>
      <t xml:space="preserve"> * 0.62 (pakalpojuma īpatsvars kopējos ēkā sniegtajos pakalpojumos) = 19,79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</si>
  <si>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7.46 stundas, (9,11 </t>
    </r>
    <r>
      <rPr>
        <i/>
        <sz val="12"/>
        <color theme="1"/>
        <rFont val="Times New Roman"/>
        <family val="1"/>
        <charset val="186"/>
      </rPr>
      <t>euro</t>
    </r>
    <r>
      <rPr>
        <sz val="12"/>
        <color theme="1"/>
        <rFont val="Times New Roman"/>
        <family val="1"/>
        <charset val="186"/>
      </rPr>
      <t xml:space="preserve"> * 7.46 h) = 67,96 </t>
    </r>
    <r>
      <rPr>
        <i/>
        <sz val="12"/>
        <color theme="1"/>
        <rFont val="Times New Roman"/>
        <family val="1"/>
        <charset val="186"/>
      </rPr>
      <t>euro</t>
    </r>
    <r>
      <rPr>
        <sz val="12"/>
        <color theme="1"/>
        <rFont val="Times New Roman"/>
        <family val="1"/>
        <charset val="186"/>
      </rPr>
      <t xml:space="preserve">/mēn. * 12. mēn. = 815,52 </t>
    </r>
    <r>
      <rPr>
        <i/>
        <sz val="12"/>
        <color theme="1"/>
        <rFont val="Times New Roman"/>
        <family val="1"/>
        <charset val="186"/>
      </rPr>
      <t>euro</t>
    </r>
    <r>
      <rPr>
        <sz val="12"/>
        <color theme="1"/>
        <rFont val="Times New Roman"/>
        <family val="1"/>
        <charset val="186"/>
      </rPr>
      <t xml:space="preserve"> * 0.62 (pakalpojuma īpatsvars kopējos ēkā sniegtajos pakalpojumos) = 505,62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</si>
  <si>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9.22 stundas, (8,22 </t>
    </r>
    <r>
      <rPr>
        <i/>
        <sz val="12"/>
        <color theme="1"/>
        <rFont val="Times New Roman"/>
        <family val="1"/>
        <charset val="186"/>
      </rPr>
      <t>euro</t>
    </r>
    <r>
      <rPr>
        <sz val="12"/>
        <color theme="1"/>
        <rFont val="Times New Roman"/>
        <family val="1"/>
        <charset val="186"/>
      </rPr>
      <t xml:space="preserve"> * 9.22 h) = 75,79 </t>
    </r>
    <r>
      <rPr>
        <i/>
        <sz val="12"/>
        <color theme="1"/>
        <rFont val="Times New Roman"/>
        <family val="1"/>
        <charset val="186"/>
      </rPr>
      <t>euro</t>
    </r>
    <r>
      <rPr>
        <sz val="12"/>
        <color theme="1"/>
        <rFont val="Times New Roman"/>
        <family val="1"/>
        <charset val="186"/>
      </rPr>
      <t xml:space="preserve">/mēn. * 12. mēn. = 909,48 </t>
    </r>
    <r>
      <rPr>
        <i/>
        <sz val="12"/>
        <color theme="1"/>
        <rFont val="Times New Roman"/>
        <family val="1"/>
        <charset val="186"/>
      </rPr>
      <t>euro</t>
    </r>
    <r>
      <rPr>
        <sz val="12"/>
        <color theme="1"/>
        <rFont val="Times New Roman"/>
        <family val="1"/>
        <charset val="186"/>
      </rPr>
      <t xml:space="preserve"> * 0.62 (pakalpojuma īpatsvars kopējos ēkā sniegtajos pakalpojumos) = 563,88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</si>
  <si>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13 stundas, (8,22 </t>
    </r>
    <r>
      <rPr>
        <i/>
        <sz val="12"/>
        <color theme="1"/>
        <rFont val="Times New Roman"/>
        <family val="1"/>
        <charset val="186"/>
      </rPr>
      <t>euro</t>
    </r>
    <r>
      <rPr>
        <sz val="12"/>
        <color theme="1"/>
        <rFont val="Times New Roman"/>
        <family val="1"/>
        <charset val="186"/>
      </rPr>
      <t xml:space="preserve"> * 13 h) = 106,86 </t>
    </r>
    <r>
      <rPr>
        <i/>
        <sz val="12"/>
        <color theme="1"/>
        <rFont val="Times New Roman"/>
        <family val="1"/>
        <charset val="186"/>
      </rPr>
      <t>euro</t>
    </r>
    <r>
      <rPr>
        <sz val="12"/>
        <color theme="1"/>
        <rFont val="Times New Roman"/>
        <family val="1"/>
        <charset val="186"/>
      </rPr>
      <t xml:space="preserve">/mēn. * 12. mēn. = 1 282,32 </t>
    </r>
    <r>
      <rPr>
        <i/>
        <sz val="12"/>
        <color theme="1"/>
        <rFont val="Times New Roman"/>
        <family val="1"/>
        <charset val="186"/>
      </rPr>
      <t xml:space="preserve">euro </t>
    </r>
    <r>
      <rPr>
        <sz val="12"/>
        <color theme="1"/>
        <rFont val="Times New Roman"/>
        <family val="1"/>
        <charset val="186"/>
      </rPr>
      <t xml:space="preserve">* 0.62  (pakalpojuma īpatsvars kopējos ēkā sniegtajos pakalpojumos) = 795,04 </t>
    </r>
    <r>
      <rPr>
        <i/>
        <sz val="12"/>
        <color theme="1"/>
        <rFont val="Times New Roman"/>
        <family val="1"/>
        <charset val="186"/>
      </rPr>
      <t>euro.</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</si>
  <si>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1.28 stundas, (24,34 </t>
    </r>
    <r>
      <rPr>
        <i/>
        <sz val="12"/>
        <color theme="1"/>
        <rFont val="Times New Roman"/>
        <family val="1"/>
        <charset val="186"/>
      </rPr>
      <t>euro</t>
    </r>
    <r>
      <rPr>
        <sz val="12"/>
        <color theme="1"/>
        <rFont val="Times New Roman"/>
        <family val="1"/>
        <charset val="186"/>
      </rPr>
      <t xml:space="preserve"> * 1.28 h) = 31,16 </t>
    </r>
    <r>
      <rPr>
        <i/>
        <sz val="12"/>
        <color theme="1"/>
        <rFont val="Times New Roman"/>
        <family val="1"/>
        <charset val="186"/>
      </rPr>
      <t>euro</t>
    </r>
    <r>
      <rPr>
        <sz val="12"/>
        <color theme="1"/>
        <rFont val="Times New Roman"/>
        <family val="1"/>
        <charset val="186"/>
      </rPr>
      <t xml:space="preserve">/mēn. * 12. mēn. = 373,92 </t>
    </r>
    <r>
      <rPr>
        <i/>
        <sz val="12"/>
        <color theme="1"/>
        <rFont val="Times New Roman"/>
        <family val="1"/>
        <charset val="186"/>
      </rPr>
      <t>euro</t>
    </r>
    <r>
      <rPr>
        <sz val="12"/>
        <color theme="1"/>
        <rFont val="Times New Roman"/>
        <family val="1"/>
        <charset val="186"/>
      </rPr>
      <t xml:space="preserve"> * 0.62 (pakalpojuma īpatsvars kopējos ēkā sniegtajos pakalpojumos) = 231,83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</si>
  <si>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18 min., (26,96 </t>
    </r>
    <r>
      <rPr>
        <i/>
        <sz val="12"/>
        <color theme="1"/>
        <rFont val="Times New Roman"/>
        <family val="1"/>
        <charset val="186"/>
      </rPr>
      <t>euro</t>
    </r>
    <r>
      <rPr>
        <sz val="12"/>
        <color theme="1"/>
        <rFont val="Times New Roman"/>
        <family val="1"/>
        <charset val="186"/>
      </rPr>
      <t xml:space="preserve"> * 0.3 h) = 8,09 </t>
    </r>
    <r>
      <rPr>
        <i/>
        <sz val="12"/>
        <color theme="1"/>
        <rFont val="Times New Roman"/>
        <family val="1"/>
        <charset val="186"/>
      </rPr>
      <t>euro</t>
    </r>
    <r>
      <rPr>
        <sz val="12"/>
        <color theme="1"/>
        <rFont val="Times New Roman"/>
        <family val="1"/>
        <charset val="186"/>
      </rPr>
      <t xml:space="preserve">/mēn. * 12. mēn. = 97,08 </t>
    </r>
    <r>
      <rPr>
        <i/>
        <sz val="12"/>
        <color theme="1"/>
        <rFont val="Times New Roman"/>
        <family val="1"/>
        <charset val="186"/>
      </rPr>
      <t>euro</t>
    </r>
    <r>
      <rPr>
        <sz val="12"/>
        <color theme="1"/>
        <rFont val="Times New Roman"/>
        <family val="1"/>
        <charset val="186"/>
      </rPr>
      <t xml:space="preserve"> * 0.62 (pakalpojuma īpatsvars kopējos ēkā sniegtajos pakalpojumos) = 60,19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</si>
  <si>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2 286,98 </t>
    </r>
    <r>
      <rPr>
        <i/>
        <sz val="12"/>
        <color theme="1"/>
        <rFont val="Times New Roman"/>
        <family val="1"/>
        <charset val="186"/>
      </rPr>
      <t>euro</t>
    </r>
    <r>
      <rPr>
        <sz val="12"/>
        <color theme="1"/>
        <rFont val="Times New Roman"/>
        <family val="1"/>
        <charset val="186"/>
      </rPr>
      <t xml:space="preserve"> * 23,59 % = 539,50 </t>
    </r>
    <r>
      <rPr>
        <i/>
        <sz val="12"/>
        <color theme="1"/>
        <rFont val="Times New Roman"/>
        <family val="1"/>
        <charset val="186"/>
      </rPr>
      <t>euro.</t>
    </r>
  </si>
  <si>
    <r>
      <t xml:space="preserve">Izdevumi par apkuri 15 031,44 </t>
    </r>
    <r>
      <rPr>
        <i/>
        <sz val="12"/>
        <color theme="1"/>
        <rFont val="Times New Roman"/>
        <family val="1"/>
        <charset val="186"/>
      </rPr>
      <t>euro</t>
    </r>
    <r>
      <rPr>
        <sz val="12"/>
        <color theme="1"/>
        <rFont val="Times New Roman"/>
        <family val="1"/>
        <charset val="186"/>
      </rPr>
      <t xml:space="preserve"> gadā * 0.62 (pakalpojuma īpatsvars kopējos ēkā sniegtajos maksas pakalpojumos) = 9 319,49 </t>
    </r>
    <r>
      <rPr>
        <i/>
        <sz val="12"/>
        <color theme="1"/>
        <rFont val="Times New Roman"/>
        <family val="1"/>
        <charset val="186"/>
      </rPr>
      <t>euro</t>
    </r>
    <r>
      <rPr>
        <sz val="12"/>
        <color theme="1"/>
        <rFont val="Times New Roman"/>
        <family val="1"/>
        <charset val="186"/>
      </rPr>
      <t>.</t>
    </r>
  </si>
  <si>
    <r>
      <t xml:space="preserve">Izdevumi par lietus ūdens 2 002,89 </t>
    </r>
    <r>
      <rPr>
        <i/>
        <sz val="12"/>
        <color theme="1"/>
        <rFont val="Times New Roman"/>
        <family val="1"/>
        <charset val="186"/>
      </rPr>
      <t>euro</t>
    </r>
    <r>
      <rPr>
        <sz val="12"/>
        <color theme="1"/>
        <rFont val="Times New Roman"/>
        <family val="1"/>
        <charset val="186"/>
      </rPr>
      <t xml:space="preserve"> gadā * 0.62 (pakalpojuma īpatsvars kopējos ēkā sniegtajos maksas pakalpojumos) = 1 241,79 </t>
    </r>
    <r>
      <rPr>
        <i/>
        <sz val="12"/>
        <color theme="1"/>
        <rFont val="Times New Roman"/>
        <family val="1"/>
        <charset val="186"/>
      </rPr>
      <t>euro</t>
    </r>
    <r>
      <rPr>
        <sz val="12"/>
        <color theme="1"/>
        <rFont val="Times New Roman"/>
        <family val="1"/>
        <charset val="186"/>
      </rPr>
      <t>.</t>
    </r>
  </si>
  <si>
    <r>
      <t xml:space="preserve">Izdevumi par apkuri 7 430,68 </t>
    </r>
    <r>
      <rPr>
        <i/>
        <sz val="12"/>
        <color theme="1"/>
        <rFont val="Times New Roman"/>
        <family val="1"/>
        <charset val="186"/>
      </rPr>
      <t>euro</t>
    </r>
    <r>
      <rPr>
        <sz val="12"/>
        <color theme="1"/>
        <rFont val="Times New Roman"/>
        <family val="1"/>
        <charset val="186"/>
      </rPr>
      <t xml:space="preserve"> gadā * 0.62 (pakalpojuma īpatsvars kopējos ēkā sniegtajos maksas pakalpojumos) = 4 607,02 </t>
    </r>
    <r>
      <rPr>
        <i/>
        <sz val="12"/>
        <color theme="1"/>
        <rFont val="Times New Roman"/>
        <family val="1"/>
        <charset val="186"/>
      </rPr>
      <t>euro</t>
    </r>
    <r>
      <rPr>
        <sz val="12"/>
        <color theme="1"/>
        <rFont val="Times New Roman"/>
        <family val="1"/>
        <charset val="186"/>
      </rPr>
      <t>.</t>
    </r>
  </si>
  <si>
    <r>
      <t xml:space="preserve">Izdevumi par atkritumu izvešanu 329,82 </t>
    </r>
    <r>
      <rPr>
        <i/>
        <sz val="12"/>
        <color theme="1"/>
        <rFont val="Times New Roman"/>
        <family val="1"/>
        <charset val="186"/>
      </rPr>
      <t>euro</t>
    </r>
    <r>
      <rPr>
        <sz val="12"/>
        <color theme="1"/>
        <rFont val="Times New Roman"/>
        <family val="1"/>
        <charset val="186"/>
      </rPr>
      <t xml:space="preserve"> gadā * 0.62 (pakalpojuma īpatsvars kopējos ēkā sniegtajos maksas pakalpojumos) =  204,49 </t>
    </r>
    <r>
      <rPr>
        <i/>
        <sz val="12"/>
        <color theme="1"/>
        <rFont val="Times New Roman"/>
        <family val="1"/>
        <charset val="186"/>
      </rPr>
      <t>euro</t>
    </r>
    <r>
      <rPr>
        <sz val="12"/>
        <color theme="1"/>
        <rFont val="Times New Roman"/>
        <family val="1"/>
        <charset val="186"/>
      </rPr>
      <t>.</t>
    </r>
  </si>
  <si>
    <r>
      <t xml:space="preserve">Sporta inventāra un pamatlīdzekļu amortizācija 313,05 </t>
    </r>
    <r>
      <rPr>
        <i/>
        <sz val="12"/>
        <color theme="1"/>
        <rFont val="Times New Roman"/>
        <family val="1"/>
        <charset val="186"/>
      </rPr>
      <t>euro</t>
    </r>
    <r>
      <rPr>
        <sz val="12"/>
        <color theme="1"/>
        <rFont val="Times New Roman"/>
        <family val="1"/>
        <charset val="186"/>
      </rPr>
      <t xml:space="preserve"> * 0.077 (pakalpojuma īpatsvars kopējos ēkā sniegtajos maksas pakalpojumos) = 24,10 </t>
    </r>
    <r>
      <rPr>
        <i/>
        <sz val="12"/>
        <color theme="1"/>
        <rFont val="Times New Roman"/>
        <family val="1"/>
        <charset val="186"/>
      </rPr>
      <t>euro.</t>
    </r>
  </si>
  <si>
    <r>
      <t xml:space="preserve">Pamatlīdzekļu amortizācija 93,85 </t>
    </r>
    <r>
      <rPr>
        <i/>
        <sz val="12"/>
        <color theme="1"/>
        <rFont val="Times New Roman"/>
        <family val="1"/>
        <charset val="186"/>
      </rPr>
      <t>euro</t>
    </r>
    <r>
      <rPr>
        <sz val="12"/>
        <color theme="1"/>
        <rFont val="Times New Roman"/>
        <family val="1"/>
        <charset val="186"/>
      </rPr>
      <t xml:space="preserve"> * 0.077 (pakalpojuma īpatsvars kopējos ēkā sniegtajos maksas pakalpojumos) = 7,23 </t>
    </r>
    <r>
      <rPr>
        <i/>
        <sz val="12"/>
        <color theme="1"/>
        <rFont val="Times New Roman"/>
        <family val="1"/>
        <charset val="186"/>
      </rPr>
      <t>euro</t>
    </r>
    <r>
      <rPr>
        <sz val="12"/>
        <color theme="1"/>
        <rFont val="Times New Roman"/>
        <family val="1"/>
        <charset val="186"/>
      </rPr>
      <t>.</t>
    </r>
  </si>
  <si>
    <r>
      <t xml:space="preserve">Pamatlīdzekļu amortizācija 106,06 </t>
    </r>
    <r>
      <rPr>
        <i/>
        <sz val="12"/>
        <color theme="1"/>
        <rFont val="Times New Roman"/>
        <family val="1"/>
        <charset val="186"/>
      </rPr>
      <t>euro</t>
    </r>
    <r>
      <rPr>
        <sz val="12"/>
        <color theme="1"/>
        <rFont val="Times New Roman"/>
        <family val="1"/>
        <charset val="186"/>
      </rPr>
      <t xml:space="preserve"> * 0.077 (pakalpojuma īpatsvars kopējos ēkā sniegtajos maksas pakalpojumos) = 8,17 </t>
    </r>
    <r>
      <rPr>
        <i/>
        <sz val="12"/>
        <color theme="1"/>
        <rFont val="Times New Roman"/>
        <family val="1"/>
        <charset val="186"/>
      </rPr>
      <t>euro.</t>
    </r>
  </si>
  <si>
    <r>
      <t xml:space="preserve">Pamatlīdzekļu amortizācija 484,05 </t>
    </r>
    <r>
      <rPr>
        <i/>
        <sz val="12"/>
        <color theme="1"/>
        <rFont val="Times New Roman"/>
        <family val="1"/>
        <charset val="186"/>
      </rPr>
      <t>euro</t>
    </r>
    <r>
      <rPr>
        <sz val="12"/>
        <color theme="1"/>
        <rFont val="Times New Roman"/>
        <family val="1"/>
        <charset val="186"/>
      </rPr>
      <t xml:space="preserve"> * 0.077 (pakalpojuma īpatsvars kopējos ēkā sniegtajos maksas pakalpojumos) = 37,27 </t>
    </r>
    <r>
      <rPr>
        <i/>
        <sz val="12"/>
        <color theme="1"/>
        <rFont val="Times New Roman"/>
        <family val="1"/>
        <charset val="186"/>
      </rPr>
      <t>euro</t>
    </r>
    <r>
      <rPr>
        <sz val="12"/>
        <color theme="1"/>
        <rFont val="Times New Roman"/>
        <family val="1"/>
        <charset val="186"/>
      </rPr>
      <t>.</t>
    </r>
  </si>
  <si>
    <r>
      <t xml:space="preserve">Asfalta un bruģa seguma amortizācija 577,39 </t>
    </r>
    <r>
      <rPr>
        <i/>
        <sz val="12"/>
        <color theme="1"/>
        <rFont val="Times New Roman"/>
        <family val="1"/>
        <charset val="186"/>
      </rPr>
      <t>euro</t>
    </r>
    <r>
      <rPr>
        <sz val="12"/>
        <color theme="1"/>
        <rFont val="Times New Roman"/>
        <family val="1"/>
        <charset val="186"/>
      </rPr>
      <t xml:space="preserve"> * 0.077 (pakalpojuma īpatsvars kopējos ēkā sniegtajos maksas pakalpojumos) = 44.46 </t>
    </r>
    <r>
      <rPr>
        <i/>
        <sz val="12"/>
        <color theme="1"/>
        <rFont val="Times New Roman"/>
        <family val="1"/>
        <charset val="186"/>
      </rPr>
      <t>euro.</t>
    </r>
  </si>
  <si>
    <r>
      <t xml:space="preserve">Ēku amortizācija 3 176,32 </t>
    </r>
    <r>
      <rPr>
        <i/>
        <sz val="12"/>
        <color theme="1"/>
        <rFont val="Times New Roman"/>
        <family val="1"/>
        <charset val="186"/>
      </rPr>
      <t>euro</t>
    </r>
    <r>
      <rPr>
        <sz val="12"/>
        <color theme="1"/>
        <rFont val="Times New Roman"/>
        <family val="1"/>
        <charset val="186"/>
      </rPr>
      <t xml:space="preserve"> * 0.077 (pakalpojuma īpatsvars kopējos ēkā sniegtajos maksas pakalpojumos) = 244,58 </t>
    </r>
    <r>
      <rPr>
        <i/>
        <sz val="12"/>
        <color theme="1"/>
        <rFont val="Times New Roman"/>
        <family val="1"/>
        <charset val="186"/>
      </rPr>
      <t>euro.</t>
    </r>
  </si>
  <si>
    <r>
      <t xml:space="preserve">Nekustamā īpašuma nodoklis 271,56 </t>
    </r>
    <r>
      <rPr>
        <i/>
        <sz val="12"/>
        <color theme="1"/>
        <rFont val="Times New Roman"/>
        <family val="1"/>
        <charset val="186"/>
      </rPr>
      <t>euro</t>
    </r>
    <r>
      <rPr>
        <sz val="12"/>
        <color theme="1"/>
        <rFont val="Times New Roman"/>
        <family val="1"/>
        <charset val="186"/>
      </rPr>
      <t xml:space="preserve"> * 0.077 (pakalpojuma īpatsvars kopējos ēkā sniegtajos maksas pakalpojumos) = 20,91 </t>
    </r>
    <r>
      <rPr>
        <i/>
        <sz val="12"/>
        <color theme="1"/>
        <rFont val="Times New Roman"/>
        <family val="1"/>
        <charset val="186"/>
      </rPr>
      <t>euro</t>
    </r>
    <r>
      <rPr>
        <sz val="12"/>
        <color theme="1"/>
        <rFont val="Times New Roman"/>
        <family val="1"/>
        <charset val="186"/>
      </rPr>
      <t>.</t>
    </r>
  </si>
  <si>
    <r>
      <t xml:space="preserve">Saimniecības inventāra un materiālu iegādes izdevumi 139,35 </t>
    </r>
    <r>
      <rPr>
        <i/>
        <sz val="12"/>
        <color theme="1"/>
        <rFont val="Times New Roman"/>
        <family val="1"/>
        <charset val="186"/>
      </rPr>
      <t>euro</t>
    </r>
    <r>
      <rPr>
        <sz val="12"/>
        <color theme="1"/>
        <rFont val="Times New Roman"/>
        <family val="1"/>
        <charset val="186"/>
      </rPr>
      <t xml:space="preserve"> * 0.077 (pakalpojuma īpatsvars kopējos ēkā sniegtajos pakalpojumos) = 10,73 </t>
    </r>
    <r>
      <rPr>
        <i/>
        <sz val="12"/>
        <color theme="1"/>
        <rFont val="Times New Roman"/>
        <family val="1"/>
        <charset val="186"/>
      </rPr>
      <t>euro</t>
    </r>
    <r>
      <rPr>
        <sz val="12"/>
        <color theme="1"/>
        <rFont val="Times New Roman"/>
        <family val="1"/>
        <charset val="186"/>
      </rPr>
      <t>.</t>
    </r>
  </si>
  <si>
    <r>
      <t xml:space="preserve">Izdevumi par elektroenerģiju 8 010,81 </t>
    </r>
    <r>
      <rPr>
        <i/>
        <sz val="12"/>
        <color theme="1"/>
        <rFont val="Times New Roman"/>
        <family val="1"/>
        <charset val="186"/>
      </rPr>
      <t>euro</t>
    </r>
    <r>
      <rPr>
        <sz val="12"/>
        <color theme="1"/>
        <rFont val="Times New Roman"/>
        <family val="1"/>
        <charset val="186"/>
      </rPr>
      <t xml:space="preserve"> * 0.077 (pakalpojuma īpatsvars kopējos ēkā sniegtajos maksas pakalpojumos) = 616,83 </t>
    </r>
    <r>
      <rPr>
        <i/>
        <sz val="12"/>
        <color theme="1"/>
        <rFont val="Times New Roman"/>
        <family val="1"/>
        <charset val="186"/>
      </rPr>
      <t>euro</t>
    </r>
    <r>
      <rPr>
        <sz val="12"/>
        <color theme="1"/>
        <rFont val="Times New Roman"/>
        <family val="1"/>
        <charset val="186"/>
      </rPr>
      <t>.</t>
    </r>
  </si>
  <si>
    <r>
      <t xml:space="preserve">Izdevumi par atkritumu izvešanu 562,53 </t>
    </r>
    <r>
      <rPr>
        <i/>
        <sz val="12"/>
        <color theme="1"/>
        <rFont val="Times New Roman"/>
        <family val="1"/>
        <charset val="186"/>
      </rPr>
      <t>euro</t>
    </r>
    <r>
      <rPr>
        <sz val="12"/>
        <color theme="1"/>
        <rFont val="Times New Roman"/>
        <family val="1"/>
        <charset val="186"/>
      </rPr>
      <t xml:space="preserve"> * 0.077 (pakalpojuma īpatsvars kopējos ēkā sniegtajos maksas pakalpojumos) =  43,31 </t>
    </r>
    <r>
      <rPr>
        <i/>
        <sz val="12"/>
        <color theme="1"/>
        <rFont val="Times New Roman"/>
        <family val="1"/>
        <charset val="186"/>
      </rPr>
      <t>euro</t>
    </r>
    <r>
      <rPr>
        <sz val="12"/>
        <color theme="1"/>
        <rFont val="Times New Roman"/>
        <family val="1"/>
        <charset val="186"/>
      </rPr>
      <t>.</t>
    </r>
  </si>
  <si>
    <r>
      <t xml:space="preserve">Piekļuves kontroles, ēku kompleksa sistēmu apkope, ventilācijas iekārtu un citu iekārtu apkope un remonts, avāriju bojājumu novēršanas izdevumi 1 103,76 </t>
    </r>
    <r>
      <rPr>
        <i/>
        <sz val="12"/>
        <color theme="1"/>
        <rFont val="Times New Roman"/>
        <family val="1"/>
        <charset val="186"/>
      </rPr>
      <t>euro</t>
    </r>
    <r>
      <rPr>
        <sz val="12"/>
        <color theme="1"/>
        <rFont val="Times New Roman"/>
        <family val="1"/>
        <charset val="186"/>
      </rPr>
      <t xml:space="preserve"> * 0.077 (pakalpojuma īpatsvars kopējos ēkā sniegtajos maksas pakalpojumos) = 84,99 </t>
    </r>
    <r>
      <rPr>
        <i/>
        <sz val="12"/>
        <color theme="1"/>
        <rFont val="Times New Roman"/>
        <family val="1"/>
        <charset val="186"/>
      </rPr>
      <t>euro</t>
    </r>
    <r>
      <rPr>
        <sz val="12"/>
        <color theme="1"/>
        <rFont val="Times New Roman"/>
        <family val="1"/>
        <charset val="186"/>
      </rPr>
      <t>.</t>
    </r>
  </si>
  <si>
    <r>
      <t xml:space="preserve">Telpu, teritorijas uzkopšana, apsardze, apsaimniekošana, apdrošināšanas izdevumi  6 964,82 </t>
    </r>
    <r>
      <rPr>
        <i/>
        <sz val="12"/>
        <color theme="1"/>
        <rFont val="Times New Roman"/>
        <family val="1"/>
        <charset val="186"/>
      </rPr>
      <t>euro</t>
    </r>
    <r>
      <rPr>
        <sz val="12"/>
        <color theme="1"/>
        <rFont val="Times New Roman"/>
        <family val="1"/>
        <charset val="186"/>
      </rPr>
      <t xml:space="preserve"> * 0.077 (pakalpojuma īpatsvars kopējos ēkā sniegtajos maksas pakalpojumos) = 536,29 </t>
    </r>
    <r>
      <rPr>
        <i/>
        <sz val="12"/>
        <color theme="1"/>
        <rFont val="Times New Roman"/>
        <family val="1"/>
        <charset val="186"/>
      </rPr>
      <t>euro.</t>
    </r>
  </si>
  <si>
    <r>
      <t xml:space="preserve">Inventāra iegādes izdevumi 26,79 </t>
    </r>
    <r>
      <rPr>
        <i/>
        <sz val="12"/>
        <color theme="1"/>
        <rFont val="Times New Roman"/>
        <family val="1"/>
        <charset val="186"/>
      </rPr>
      <t>euro</t>
    </r>
    <r>
      <rPr>
        <sz val="12"/>
        <color theme="1"/>
        <rFont val="Times New Roman"/>
        <family val="1"/>
        <charset val="186"/>
      </rPr>
      <t xml:space="preserve"> * 0.077 (pakalpojuma īpatsvars kopējos ēkā sniegtajos pakalpojumos) = 2,06 </t>
    </r>
    <r>
      <rPr>
        <i/>
        <sz val="12"/>
        <color theme="1"/>
        <rFont val="Times New Roman"/>
        <family val="1"/>
        <charset val="186"/>
      </rPr>
      <t>euro</t>
    </r>
    <r>
      <rPr>
        <sz val="12"/>
        <color theme="1"/>
        <rFont val="Times New Roman"/>
        <family val="1"/>
        <charset val="186"/>
      </rPr>
      <t>.</t>
    </r>
  </si>
  <si>
    <r>
      <t xml:space="preserve">Izdevumi par apkuri 8 145,31 </t>
    </r>
    <r>
      <rPr>
        <i/>
        <sz val="12"/>
        <color theme="1"/>
        <rFont val="Times New Roman"/>
        <family val="1"/>
        <charset val="186"/>
      </rPr>
      <t>euro</t>
    </r>
    <r>
      <rPr>
        <sz val="12"/>
        <color theme="1"/>
        <rFont val="Times New Roman"/>
        <family val="1"/>
        <charset val="186"/>
      </rPr>
      <t xml:space="preserve"> * 0.077 (pakalpojuma īpatsvars kopējos ēkā sniegtajos maksas pakalpojumos) = 627,19 </t>
    </r>
    <r>
      <rPr>
        <i/>
        <sz val="12"/>
        <color theme="1"/>
        <rFont val="Times New Roman"/>
        <family val="1"/>
        <charset val="186"/>
      </rPr>
      <t>euro</t>
    </r>
    <r>
      <rPr>
        <sz val="12"/>
        <color theme="1"/>
        <rFont val="Times New Roman"/>
        <family val="1"/>
        <charset val="186"/>
      </rPr>
      <t>.</t>
    </r>
  </si>
  <si>
    <r>
      <t xml:space="preserve">Nekustamā īpašuma nodoklis 271,56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 0.45 (pakalpojuma īpatsvars kopējos ēkā sniegtajos maksas pakalpojumos) = 122,20 </t>
    </r>
    <r>
      <rPr>
        <i/>
        <sz val="12"/>
        <color theme="1"/>
        <rFont val="Times New Roman"/>
        <family val="1"/>
        <charset val="186"/>
      </rPr>
      <t>euro.</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</si>
  <si>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166.92 (vid. d. stundu sk. mēnesī). Vid. mēn. noslogojums 1.28 stundas, (11,47 </t>
    </r>
    <r>
      <rPr>
        <i/>
        <sz val="12"/>
        <color theme="1"/>
        <rFont val="Times New Roman"/>
        <family val="1"/>
        <charset val="186"/>
      </rPr>
      <t>euro</t>
    </r>
    <r>
      <rPr>
        <sz val="12"/>
        <color theme="1"/>
        <rFont val="Times New Roman"/>
        <family val="1"/>
        <charset val="186"/>
      </rPr>
      <t xml:space="preserve"> * 1.28 h) = 14,68 </t>
    </r>
    <r>
      <rPr>
        <i/>
        <sz val="12"/>
        <color theme="1"/>
        <rFont val="Times New Roman"/>
        <family val="1"/>
        <charset val="186"/>
      </rPr>
      <t>euro</t>
    </r>
    <r>
      <rPr>
        <sz val="12"/>
        <color theme="1"/>
        <rFont val="Times New Roman"/>
        <family val="1"/>
        <charset val="186"/>
      </rPr>
      <t xml:space="preserve">/mēn. * 12. mēn. = 176,16 </t>
    </r>
    <r>
      <rPr>
        <i/>
        <sz val="12"/>
        <color theme="1"/>
        <rFont val="Times New Roman"/>
        <family val="1"/>
        <charset val="186"/>
      </rPr>
      <t>euro</t>
    </r>
    <r>
      <rPr>
        <sz val="12"/>
        <color theme="1"/>
        <rFont val="Times New Roman"/>
        <family val="1"/>
        <charset val="186"/>
      </rPr>
      <t xml:space="preserve"> * 0.6049 (iznomātās platības koeficients) = 106,56 </t>
    </r>
    <r>
      <rPr>
        <i/>
        <sz val="12"/>
        <color theme="1"/>
        <rFont val="Times New Roman"/>
        <family val="1"/>
        <charset val="186"/>
      </rPr>
      <t>euro</t>
    </r>
    <r>
      <rPr>
        <sz val="12"/>
        <color theme="1"/>
        <rFont val="Times New Roman"/>
        <family val="1"/>
        <charset val="186"/>
      </rPr>
      <t>.</t>
    </r>
  </si>
  <si>
    <r>
      <t xml:space="preserve">Izdevumi par apkuri 5 527,20 </t>
    </r>
    <r>
      <rPr>
        <i/>
        <sz val="12"/>
        <color theme="1"/>
        <rFont val="Times New Roman"/>
        <family val="1"/>
        <charset val="186"/>
      </rPr>
      <t>euro</t>
    </r>
    <r>
      <rPr>
        <sz val="12"/>
        <color theme="1"/>
        <rFont val="Times New Roman"/>
        <family val="1"/>
        <charset val="186"/>
      </rPr>
      <t xml:space="preserve"> gadā * 0.6049 (iznomātās platības koeficients) = 3 343,40 </t>
    </r>
    <r>
      <rPr>
        <i/>
        <sz val="12"/>
        <color theme="1"/>
        <rFont val="Times New Roman"/>
        <family val="1"/>
        <charset val="186"/>
      </rPr>
      <t>euro</t>
    </r>
    <r>
      <rPr>
        <sz val="12"/>
        <color theme="1"/>
        <rFont val="Times New Roman"/>
        <family val="1"/>
        <charset val="186"/>
      </rPr>
      <t>.</t>
    </r>
  </si>
  <si>
    <r>
      <t xml:space="preserve">Izdevumi par ūdeni un kanalizāciju 390,98 </t>
    </r>
    <r>
      <rPr>
        <i/>
        <sz val="12"/>
        <color theme="1"/>
        <rFont val="Times New Roman"/>
        <family val="1"/>
        <charset val="186"/>
      </rPr>
      <t>euro</t>
    </r>
    <r>
      <rPr>
        <sz val="12"/>
        <color theme="1"/>
        <rFont val="Times New Roman"/>
        <family val="1"/>
        <charset val="186"/>
      </rPr>
      <t xml:space="preserve"> gadā * 0.6049 (iznomātās platības koeficients) = 236,50 </t>
    </r>
    <r>
      <rPr>
        <i/>
        <sz val="12"/>
        <color theme="1"/>
        <rFont val="Times New Roman"/>
        <family val="1"/>
        <charset val="186"/>
      </rPr>
      <t>euro</t>
    </r>
    <r>
      <rPr>
        <sz val="12"/>
        <color theme="1"/>
        <rFont val="Times New Roman"/>
        <family val="1"/>
        <charset val="186"/>
      </rPr>
      <t>.</t>
    </r>
  </si>
  <si>
    <r>
      <t xml:space="preserve">Izdevumi par elektroenerģiju 2 316,15 </t>
    </r>
    <r>
      <rPr>
        <i/>
        <sz val="12"/>
        <color theme="1"/>
        <rFont val="Times New Roman"/>
        <family val="1"/>
        <charset val="186"/>
      </rPr>
      <t>euro</t>
    </r>
    <r>
      <rPr>
        <sz val="12"/>
        <color theme="1"/>
        <rFont val="Times New Roman"/>
        <family val="1"/>
        <charset val="186"/>
      </rPr>
      <t xml:space="preserve"> gadā * 0.6049 (iznomātās platības koeficients) = 1 401,04 </t>
    </r>
    <r>
      <rPr>
        <i/>
        <sz val="12"/>
        <color theme="1"/>
        <rFont val="Times New Roman"/>
        <family val="1"/>
        <charset val="186"/>
      </rPr>
      <t>euro</t>
    </r>
    <r>
      <rPr>
        <sz val="12"/>
        <color theme="1"/>
        <rFont val="Times New Roman"/>
        <family val="1"/>
        <charset val="186"/>
      </rPr>
      <t>.</t>
    </r>
  </si>
  <si>
    <r>
      <t xml:space="preserve">Izdevumi par atkritumu izvešanu 352,26 </t>
    </r>
    <r>
      <rPr>
        <i/>
        <sz val="12"/>
        <color theme="1"/>
        <rFont val="Times New Roman"/>
        <family val="1"/>
        <charset val="186"/>
      </rPr>
      <t>euro</t>
    </r>
    <r>
      <rPr>
        <sz val="12"/>
        <color theme="1"/>
        <rFont val="Times New Roman"/>
        <family val="1"/>
        <charset val="186"/>
      </rPr>
      <t xml:space="preserve"> gadā * 0.6049 (iznomātās platības koeficients) = 213,08 </t>
    </r>
    <r>
      <rPr>
        <i/>
        <sz val="12"/>
        <color theme="1"/>
        <rFont val="Times New Roman"/>
        <family val="1"/>
        <charset val="186"/>
      </rPr>
      <t>euro</t>
    </r>
    <r>
      <rPr>
        <sz val="12"/>
        <color theme="1"/>
        <rFont val="Times New Roman"/>
        <family val="1"/>
        <charset val="186"/>
      </rPr>
      <t>.</t>
    </r>
  </si>
  <si>
    <r>
      <t xml:space="preserve">Izdevumi par dabas gāzi 17,05 </t>
    </r>
    <r>
      <rPr>
        <i/>
        <sz val="12"/>
        <color theme="1"/>
        <rFont val="Times New Roman"/>
        <family val="1"/>
        <charset val="186"/>
      </rPr>
      <t>euro</t>
    </r>
    <r>
      <rPr>
        <sz val="12"/>
        <color theme="1"/>
        <rFont val="Times New Roman"/>
        <family val="1"/>
        <charset val="186"/>
      </rPr>
      <t xml:space="preserve"> gadā * 0.6049 (iznomātās platības koeficients) = 10,31 </t>
    </r>
    <r>
      <rPr>
        <i/>
        <sz val="12"/>
        <color theme="1"/>
        <rFont val="Times New Roman"/>
        <family val="1"/>
        <charset val="186"/>
      </rPr>
      <t>euro</t>
    </r>
    <r>
      <rPr>
        <sz val="12"/>
        <color theme="1"/>
        <rFont val="Times New Roman"/>
        <family val="1"/>
        <charset val="186"/>
      </rPr>
      <t>.</t>
    </r>
  </si>
  <si>
    <r>
      <t xml:space="preserve">Izdevumi par energoefektivitātes paaugstināšanas atzinumu 21,78 </t>
    </r>
    <r>
      <rPr>
        <i/>
        <sz val="12"/>
        <color theme="1"/>
        <rFont val="Times New Roman"/>
        <family val="1"/>
        <charset val="186"/>
      </rPr>
      <t>euro</t>
    </r>
    <r>
      <rPr>
        <sz val="12"/>
        <color theme="1"/>
        <rFont val="Times New Roman"/>
        <family val="1"/>
        <charset val="186"/>
      </rPr>
      <t xml:space="preserve"> gadā * 0.6049 (iznomātās platības koeficients) = 13,17 </t>
    </r>
    <r>
      <rPr>
        <i/>
        <sz val="12"/>
        <color theme="1"/>
        <rFont val="Times New Roman"/>
        <family val="1"/>
        <charset val="186"/>
      </rPr>
      <t>euro.</t>
    </r>
  </si>
  <si>
    <r>
      <t xml:space="preserve">Ēku sistēmu apkope, iekārtu un citu iekārtu apkope un remonts, avāriju bojājumu novēršanas izdevumi 102,57 </t>
    </r>
    <r>
      <rPr>
        <i/>
        <sz val="12"/>
        <color theme="1"/>
        <rFont val="Times New Roman"/>
        <family val="1"/>
        <charset val="186"/>
      </rPr>
      <t>euro</t>
    </r>
    <r>
      <rPr>
        <sz val="12"/>
        <color theme="1"/>
        <rFont val="Times New Roman"/>
        <family val="1"/>
        <charset val="186"/>
      </rPr>
      <t xml:space="preserve"> gadā * 0.6049 (iznomātās platības koeficients) = 62,04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</si>
  <si>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2 759,23 </t>
    </r>
    <r>
      <rPr>
        <i/>
        <sz val="12"/>
        <color theme="1"/>
        <rFont val="Times New Roman"/>
        <family val="1"/>
        <charset val="186"/>
      </rPr>
      <t>euro</t>
    </r>
    <r>
      <rPr>
        <sz val="12"/>
        <color theme="1"/>
        <rFont val="Times New Roman"/>
        <family val="1"/>
        <charset val="186"/>
      </rPr>
      <t xml:space="preserve"> gadā * 0.6049 (iznomātās platības koeficients) = 1 669,06 </t>
    </r>
    <r>
      <rPr>
        <i/>
        <sz val="12"/>
        <color theme="1"/>
        <rFont val="Times New Roman"/>
        <family val="1"/>
        <charset val="186"/>
      </rPr>
      <t>euro</t>
    </r>
    <r>
      <rPr>
        <sz val="12"/>
        <color theme="1"/>
        <rFont val="Times New Roman"/>
        <family val="1"/>
        <charset val="186"/>
      </rPr>
      <t>.</t>
    </r>
  </si>
  <si>
    <r>
      <t xml:space="preserve">Saimniecības inventāra un materiālu (spuldzes, higiēnas preces, birstes u.tml.) iegādes izdevumi 86,08 </t>
    </r>
    <r>
      <rPr>
        <i/>
        <sz val="12"/>
        <color theme="1"/>
        <rFont val="Times New Roman"/>
        <family val="1"/>
        <charset val="186"/>
      </rPr>
      <t>euro</t>
    </r>
    <r>
      <rPr>
        <sz val="12"/>
        <color theme="1"/>
        <rFont val="Times New Roman"/>
        <family val="1"/>
        <charset val="186"/>
      </rPr>
      <t xml:space="preserve"> gadā * 0.6049 (iznomātās platības koeficients) = 52,07 </t>
    </r>
    <r>
      <rPr>
        <i/>
        <sz val="12"/>
        <color theme="1"/>
        <rFont val="Times New Roman"/>
        <family val="1"/>
        <charset val="186"/>
      </rPr>
      <t>euro.</t>
    </r>
  </si>
  <si>
    <r>
      <t xml:space="preserve">Nekustamā īpašuma nodoklis 227,82 </t>
    </r>
    <r>
      <rPr>
        <i/>
        <sz val="12"/>
        <color theme="1"/>
        <rFont val="Times New Roman"/>
        <family val="1"/>
        <charset val="186"/>
      </rPr>
      <t>euro</t>
    </r>
    <r>
      <rPr>
        <sz val="12"/>
        <color theme="1"/>
        <rFont val="Times New Roman"/>
        <family val="1"/>
        <charset val="186"/>
      </rPr>
      <t xml:space="preserve"> gadā * 0.6049 (iznomātās platības koeficients) = 137,81 </t>
    </r>
    <r>
      <rPr>
        <i/>
        <sz val="12"/>
        <color theme="1"/>
        <rFont val="Times New Roman"/>
        <family val="1"/>
        <charset val="186"/>
      </rPr>
      <t>euro</t>
    </r>
    <r>
      <rPr>
        <sz val="12"/>
        <color theme="1"/>
        <rFont val="Times New Roman"/>
        <family val="1"/>
        <charset val="186"/>
      </rPr>
      <t>.</t>
    </r>
  </si>
  <si>
    <r>
      <t xml:space="preserve">Ēku amortizācija 631,17 </t>
    </r>
    <r>
      <rPr>
        <i/>
        <sz val="12"/>
        <color theme="1"/>
        <rFont val="Times New Roman"/>
        <family val="1"/>
        <charset val="186"/>
      </rPr>
      <t>euro</t>
    </r>
    <r>
      <rPr>
        <sz val="12"/>
        <color theme="1"/>
        <rFont val="Times New Roman"/>
        <family val="1"/>
        <charset val="186"/>
      </rPr>
      <t xml:space="preserve"> gadā * 0.6049 (iznomātās platības koeficients) = 381,79 </t>
    </r>
    <r>
      <rPr>
        <i/>
        <sz val="12"/>
        <color theme="1"/>
        <rFont val="Times New Roman"/>
        <family val="1"/>
        <charset val="186"/>
      </rPr>
      <t>euro</t>
    </r>
    <r>
      <rPr>
        <sz val="12"/>
        <color theme="1"/>
        <rFont val="Times New Roman"/>
        <family val="1"/>
        <charset val="186"/>
      </rPr>
      <t>.</t>
    </r>
  </si>
  <si>
    <r>
      <t xml:space="preserve">Pamatlīdzekļu amortizācija 451,25 </t>
    </r>
    <r>
      <rPr>
        <i/>
        <sz val="12"/>
        <color theme="1"/>
        <rFont val="Times New Roman"/>
        <family val="1"/>
        <charset val="186"/>
      </rPr>
      <t>euro</t>
    </r>
    <r>
      <rPr>
        <sz val="12"/>
        <color theme="1"/>
        <rFont val="Times New Roman"/>
        <family val="1"/>
        <charset val="186"/>
      </rPr>
      <t xml:space="preserve"> gadā * 0.6049 (iznomātās platības koeficients) = 272,96 </t>
    </r>
    <r>
      <rPr>
        <i/>
        <sz val="12"/>
        <color theme="1"/>
        <rFont val="Times New Roman"/>
        <family val="1"/>
        <charset val="186"/>
      </rPr>
      <t>euro</t>
    </r>
    <r>
      <rPr>
        <sz val="12"/>
        <color theme="1"/>
        <rFont val="Times New Roman"/>
        <family val="1"/>
        <charset val="186"/>
      </rPr>
      <t>.</t>
    </r>
  </si>
  <si>
    <r>
      <t xml:space="preserve">Pamatlīdzekļu amortizācija 381,58 </t>
    </r>
    <r>
      <rPr>
        <i/>
        <sz val="12"/>
        <color theme="1"/>
        <rFont val="Times New Roman"/>
        <family val="1"/>
        <charset val="186"/>
      </rPr>
      <t>euro</t>
    </r>
    <r>
      <rPr>
        <sz val="12"/>
        <color theme="1"/>
        <rFont val="Times New Roman"/>
        <family val="1"/>
        <charset val="186"/>
      </rPr>
      <t xml:space="preserve"> gadā * 0.6049 (iznomātās platības koeficients) = 230,82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</si>
  <si>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11 min. (11,24 </t>
    </r>
    <r>
      <rPr>
        <i/>
        <sz val="12"/>
        <color theme="1"/>
        <rFont val="Times New Roman"/>
        <family val="1"/>
        <charset val="186"/>
      </rPr>
      <t>euro</t>
    </r>
    <r>
      <rPr>
        <sz val="12"/>
        <color theme="1"/>
        <rFont val="Times New Roman"/>
        <family val="1"/>
        <charset val="186"/>
      </rPr>
      <t xml:space="preserve"> * 0.18 h) = 2,02 </t>
    </r>
    <r>
      <rPr>
        <i/>
        <sz val="12"/>
        <color theme="1"/>
        <rFont val="Times New Roman"/>
        <family val="1"/>
        <charset val="186"/>
      </rPr>
      <t>euro</t>
    </r>
    <r>
      <rPr>
        <sz val="12"/>
        <color theme="1"/>
        <rFont val="Times New Roman"/>
        <family val="1"/>
        <charset val="186"/>
      </rPr>
      <t xml:space="preserve">/mēn. * 12. mēn. = 24,24 </t>
    </r>
    <r>
      <rPr>
        <i/>
        <sz val="12"/>
        <color theme="1"/>
        <rFont val="Times New Roman"/>
        <family val="1"/>
        <charset val="186"/>
      </rPr>
      <t>euro</t>
    </r>
    <r>
      <rPr>
        <sz val="12"/>
        <color theme="1"/>
        <rFont val="Times New Roman"/>
        <family val="1"/>
        <charset val="186"/>
      </rPr>
      <t xml:space="preserve"> * 0.6049 (iznomātās platības koeficients) = 14,66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</si>
  <si>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10 min. (7,58 </t>
    </r>
    <r>
      <rPr>
        <i/>
        <sz val="12"/>
        <color theme="1"/>
        <rFont val="Times New Roman"/>
        <family val="1"/>
        <charset val="186"/>
      </rPr>
      <t>euro</t>
    </r>
    <r>
      <rPr>
        <sz val="12"/>
        <color theme="1"/>
        <rFont val="Times New Roman"/>
        <family val="1"/>
        <charset val="186"/>
      </rPr>
      <t xml:space="preserve"> * 0.17 h) = 1,29 </t>
    </r>
    <r>
      <rPr>
        <i/>
        <sz val="12"/>
        <color theme="1"/>
        <rFont val="Times New Roman"/>
        <family val="1"/>
        <charset val="186"/>
      </rPr>
      <t>euro</t>
    </r>
    <r>
      <rPr>
        <sz val="12"/>
        <color theme="1"/>
        <rFont val="Times New Roman"/>
        <family val="1"/>
        <charset val="186"/>
      </rPr>
      <t xml:space="preserve">/mēn. * 12. mēn. = 15,48 </t>
    </r>
    <r>
      <rPr>
        <i/>
        <sz val="12"/>
        <color theme="1"/>
        <rFont val="Times New Roman"/>
        <family val="1"/>
        <charset val="186"/>
      </rPr>
      <t>euro</t>
    </r>
    <r>
      <rPr>
        <sz val="12"/>
        <color theme="1"/>
        <rFont val="Times New Roman"/>
        <family val="1"/>
        <charset val="186"/>
      </rPr>
      <t xml:space="preserve"> * 0.6049 (iznomātās platības koeficients) = 9,36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</si>
  <si>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10 min. (11,22 </t>
    </r>
    <r>
      <rPr>
        <i/>
        <sz val="12"/>
        <color theme="1"/>
        <rFont val="Times New Roman"/>
        <family val="1"/>
        <charset val="186"/>
      </rPr>
      <t>euro</t>
    </r>
    <r>
      <rPr>
        <sz val="12"/>
        <color theme="1"/>
        <rFont val="Times New Roman"/>
        <family val="1"/>
        <charset val="186"/>
      </rPr>
      <t xml:space="preserve"> * 0.17 h) = 1,91 </t>
    </r>
    <r>
      <rPr>
        <i/>
        <sz val="12"/>
        <color theme="1"/>
        <rFont val="Times New Roman"/>
        <family val="1"/>
        <charset val="186"/>
      </rPr>
      <t>euro</t>
    </r>
    <r>
      <rPr>
        <sz val="12"/>
        <color theme="1"/>
        <rFont val="Times New Roman"/>
        <family val="1"/>
        <charset val="186"/>
      </rPr>
      <t xml:space="preserve">/mēn. * 12. mēn. = 22,92 </t>
    </r>
    <r>
      <rPr>
        <i/>
        <sz val="12"/>
        <color theme="1"/>
        <rFont val="Times New Roman"/>
        <family val="1"/>
        <charset val="186"/>
      </rPr>
      <t>euro</t>
    </r>
    <r>
      <rPr>
        <sz val="12"/>
        <color theme="1"/>
        <rFont val="Times New Roman"/>
        <family val="1"/>
        <charset val="186"/>
      </rPr>
      <t xml:space="preserve"> * 0.6049 (iznomātās platības koeficients) = 13,86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</si>
  <si>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 min. (15,03 </t>
    </r>
    <r>
      <rPr>
        <i/>
        <sz val="12"/>
        <color theme="1"/>
        <rFont val="Times New Roman"/>
        <family val="1"/>
        <charset val="186"/>
      </rPr>
      <t>euro</t>
    </r>
    <r>
      <rPr>
        <sz val="12"/>
        <color theme="1"/>
        <rFont val="Times New Roman"/>
        <family val="1"/>
        <charset val="186"/>
      </rPr>
      <t xml:space="preserve"> * 0.33 h) = 4,96 </t>
    </r>
    <r>
      <rPr>
        <i/>
        <sz val="12"/>
        <color theme="1"/>
        <rFont val="Times New Roman"/>
        <family val="1"/>
        <charset val="186"/>
      </rPr>
      <t>euro</t>
    </r>
    <r>
      <rPr>
        <sz val="12"/>
        <color theme="1"/>
        <rFont val="Times New Roman"/>
        <family val="1"/>
        <charset val="186"/>
      </rPr>
      <t xml:space="preserve">/mēn. * 12. mēn. = 59,52 </t>
    </r>
    <r>
      <rPr>
        <i/>
        <sz val="12"/>
        <color theme="1"/>
        <rFont val="Times New Roman"/>
        <family val="1"/>
        <charset val="186"/>
      </rPr>
      <t>euro</t>
    </r>
    <r>
      <rPr>
        <sz val="12"/>
        <color theme="1"/>
        <rFont val="Times New Roman"/>
        <family val="1"/>
        <charset val="186"/>
      </rPr>
      <t xml:space="preserve"> * 0.6049 (iznomātās platības koeficients) = 36,00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</si>
  <si>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9 min. (12,07 </t>
    </r>
    <r>
      <rPr>
        <i/>
        <sz val="12"/>
        <color theme="1"/>
        <rFont val="Times New Roman"/>
        <family val="1"/>
        <charset val="186"/>
      </rPr>
      <t>euro</t>
    </r>
    <r>
      <rPr>
        <sz val="12"/>
        <color theme="1"/>
        <rFont val="Times New Roman"/>
        <family val="1"/>
        <charset val="186"/>
      </rPr>
      <t xml:space="preserve"> * 0.15 h) = 1,81 </t>
    </r>
    <r>
      <rPr>
        <i/>
        <sz val="12"/>
        <color theme="1"/>
        <rFont val="Times New Roman"/>
        <family val="1"/>
        <charset val="186"/>
      </rPr>
      <t>euro</t>
    </r>
    <r>
      <rPr>
        <sz val="12"/>
        <color theme="1"/>
        <rFont val="Times New Roman"/>
        <family val="1"/>
        <charset val="186"/>
      </rPr>
      <t xml:space="preserve">/mēn. * 12. mēn. = 21,72 </t>
    </r>
    <r>
      <rPr>
        <i/>
        <sz val="12"/>
        <color theme="1"/>
        <rFont val="Times New Roman"/>
        <family val="1"/>
        <charset val="186"/>
      </rPr>
      <t>euro</t>
    </r>
    <r>
      <rPr>
        <sz val="12"/>
        <color theme="1"/>
        <rFont val="Times New Roman"/>
        <family val="1"/>
        <charset val="186"/>
      </rPr>
      <t xml:space="preserve"> * 0.6049 (iznomātās platības koeficients) = 13,14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</si>
  <si>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5.88 stunda, (8,22 </t>
    </r>
    <r>
      <rPr>
        <i/>
        <sz val="12"/>
        <color theme="1"/>
        <rFont val="Times New Roman"/>
        <family val="1"/>
        <charset val="186"/>
      </rPr>
      <t>euro</t>
    </r>
    <r>
      <rPr>
        <sz val="12"/>
        <color theme="1"/>
        <rFont val="Times New Roman"/>
        <family val="1"/>
        <charset val="186"/>
      </rPr>
      <t xml:space="preserve"> * 5.88 h) = 48,33 </t>
    </r>
    <r>
      <rPr>
        <i/>
        <sz val="12"/>
        <color theme="1"/>
        <rFont val="Times New Roman"/>
        <family val="1"/>
        <charset val="186"/>
      </rPr>
      <t>euro</t>
    </r>
    <r>
      <rPr>
        <sz val="12"/>
        <color theme="1"/>
        <rFont val="Times New Roman"/>
        <family val="1"/>
        <charset val="186"/>
      </rPr>
      <t xml:space="preserve">/mēn. * 12. mēn. = 579,96 </t>
    </r>
    <r>
      <rPr>
        <i/>
        <sz val="12"/>
        <color theme="1"/>
        <rFont val="Times New Roman"/>
        <family val="1"/>
        <charset val="186"/>
      </rPr>
      <t>euro</t>
    </r>
    <r>
      <rPr>
        <sz val="12"/>
        <color theme="1"/>
        <rFont val="Times New Roman"/>
        <family val="1"/>
        <charset val="186"/>
      </rPr>
      <t xml:space="preserve"> * 0.6049 (iznomātās platības koeficients) = 350,82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</si>
  <si>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5.41 stunda (9,11 </t>
    </r>
    <r>
      <rPr>
        <i/>
        <sz val="12"/>
        <color theme="1"/>
        <rFont val="Times New Roman"/>
        <family val="1"/>
        <charset val="186"/>
      </rPr>
      <t>euro</t>
    </r>
    <r>
      <rPr>
        <sz val="12"/>
        <color theme="1"/>
        <rFont val="Times New Roman"/>
        <family val="1"/>
        <charset val="186"/>
      </rPr>
      <t xml:space="preserve"> * 5.41 h) = 49,29 </t>
    </r>
    <r>
      <rPr>
        <i/>
        <sz val="12"/>
        <color theme="1"/>
        <rFont val="Times New Roman"/>
        <family val="1"/>
        <charset val="186"/>
      </rPr>
      <t>euro</t>
    </r>
    <r>
      <rPr>
        <sz val="12"/>
        <color theme="1"/>
        <rFont val="Times New Roman"/>
        <family val="1"/>
        <charset val="186"/>
      </rPr>
      <t xml:space="preserve">/mēn. * 12. mēn. = 591,48 </t>
    </r>
    <r>
      <rPr>
        <i/>
        <sz val="12"/>
        <color theme="1"/>
        <rFont val="Times New Roman"/>
        <family val="1"/>
        <charset val="186"/>
      </rPr>
      <t>euro</t>
    </r>
    <r>
      <rPr>
        <sz val="12"/>
        <color theme="1"/>
        <rFont val="Times New Roman"/>
        <family val="1"/>
        <charset val="186"/>
      </rPr>
      <t xml:space="preserve"> * 0.6049 (iznomātās platības koeficients) = 357,79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</si>
  <si>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8.31 stunda (8,22 </t>
    </r>
    <r>
      <rPr>
        <i/>
        <sz val="12"/>
        <color theme="1"/>
        <rFont val="Times New Roman"/>
        <family val="1"/>
        <charset val="186"/>
      </rPr>
      <t>euro</t>
    </r>
    <r>
      <rPr>
        <sz val="12"/>
        <color theme="1"/>
        <rFont val="Times New Roman"/>
        <family val="1"/>
        <charset val="186"/>
      </rPr>
      <t xml:space="preserve"> * 8.31 h) = 68,31 </t>
    </r>
    <r>
      <rPr>
        <i/>
        <sz val="12"/>
        <color theme="1"/>
        <rFont val="Times New Roman"/>
        <family val="1"/>
        <charset val="186"/>
      </rPr>
      <t>euro</t>
    </r>
    <r>
      <rPr>
        <sz val="12"/>
        <color theme="1"/>
        <rFont val="Times New Roman"/>
        <family val="1"/>
        <charset val="186"/>
      </rPr>
      <t xml:space="preserve">/mēn. * 12. mēn. = 819,72 </t>
    </r>
    <r>
      <rPr>
        <i/>
        <sz val="12"/>
        <color theme="1"/>
        <rFont val="Times New Roman"/>
        <family val="1"/>
        <charset val="186"/>
      </rPr>
      <t>euro</t>
    </r>
    <r>
      <rPr>
        <sz val="12"/>
        <color theme="1"/>
        <rFont val="Times New Roman"/>
        <family val="1"/>
        <charset val="186"/>
      </rPr>
      <t xml:space="preserve"> * 0.6049 (iznomātās platības koeficients) = 495,85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</si>
  <si>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40 min. (24,34 </t>
    </r>
    <r>
      <rPr>
        <i/>
        <sz val="12"/>
        <color theme="1"/>
        <rFont val="Times New Roman"/>
        <family val="1"/>
        <charset val="186"/>
      </rPr>
      <t>euro</t>
    </r>
    <r>
      <rPr>
        <sz val="12"/>
        <color theme="1"/>
        <rFont val="Times New Roman"/>
        <family val="1"/>
        <charset val="186"/>
      </rPr>
      <t xml:space="preserve"> * 0.67 h) = 16,31 </t>
    </r>
    <r>
      <rPr>
        <i/>
        <sz val="12"/>
        <color theme="1"/>
        <rFont val="Times New Roman"/>
        <family val="1"/>
        <charset val="186"/>
      </rPr>
      <t>euro</t>
    </r>
    <r>
      <rPr>
        <sz val="12"/>
        <color theme="1"/>
        <rFont val="Times New Roman"/>
        <family val="1"/>
        <charset val="186"/>
      </rPr>
      <t xml:space="preserve">/mēn. * 12. mēn. = 195,72 </t>
    </r>
    <r>
      <rPr>
        <i/>
        <sz val="12"/>
        <color theme="1"/>
        <rFont val="Times New Roman"/>
        <family val="1"/>
        <charset val="186"/>
      </rPr>
      <t>euro</t>
    </r>
    <r>
      <rPr>
        <sz val="12"/>
        <color theme="1"/>
        <rFont val="Times New Roman"/>
        <family val="1"/>
        <charset val="186"/>
      </rPr>
      <t xml:space="preserve"> * 0.6049 (iznomātās platības koeficients) = 118,39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</si>
  <si>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9 min. (26,96 </t>
    </r>
    <r>
      <rPr>
        <i/>
        <sz val="12"/>
        <color theme="1"/>
        <rFont val="Times New Roman"/>
        <family val="1"/>
        <charset val="186"/>
      </rPr>
      <t>euro</t>
    </r>
    <r>
      <rPr>
        <sz val="12"/>
        <color theme="1"/>
        <rFont val="Times New Roman"/>
        <family val="1"/>
        <charset val="186"/>
      </rPr>
      <t xml:space="preserve"> * 0.15 h) = 4,04 </t>
    </r>
    <r>
      <rPr>
        <i/>
        <sz val="12"/>
        <color theme="1"/>
        <rFont val="Times New Roman"/>
        <family val="1"/>
        <charset val="186"/>
      </rPr>
      <t>euro</t>
    </r>
    <r>
      <rPr>
        <sz val="12"/>
        <color theme="1"/>
        <rFont val="Times New Roman"/>
        <family val="1"/>
        <charset val="186"/>
      </rPr>
      <t xml:space="preserve">/mēn. * 12. mēn. = 48,48 </t>
    </r>
    <r>
      <rPr>
        <i/>
        <sz val="12"/>
        <color theme="1"/>
        <rFont val="Times New Roman"/>
        <family val="1"/>
        <charset val="186"/>
      </rPr>
      <t>euro</t>
    </r>
    <r>
      <rPr>
        <sz val="12"/>
        <color theme="1"/>
        <rFont val="Times New Roman"/>
        <family val="1"/>
        <charset val="186"/>
      </rPr>
      <t xml:space="preserve"> * 0.6049 (iznomātās platības koeficients) = 29,33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</si>
  <si>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1 545,76 </t>
    </r>
    <r>
      <rPr>
        <i/>
        <sz val="12"/>
        <color theme="1"/>
        <rFont val="Times New Roman"/>
        <family val="1"/>
        <charset val="186"/>
      </rPr>
      <t>euro</t>
    </r>
    <r>
      <rPr>
        <sz val="12"/>
        <color theme="1"/>
        <rFont val="Times New Roman"/>
        <family val="1"/>
        <charset val="186"/>
      </rPr>
      <t xml:space="preserve"> * 23,59 % = 364,64 </t>
    </r>
    <r>
      <rPr>
        <i/>
        <sz val="12"/>
        <color theme="1"/>
        <rFont val="Times New Roman"/>
        <family val="1"/>
        <charset val="186"/>
      </rPr>
      <t>euro</t>
    </r>
    <r>
      <rPr>
        <sz val="12"/>
        <color theme="1"/>
        <rFont val="Times New Roman"/>
        <family val="1"/>
        <charset val="186"/>
      </rPr>
      <t>.</t>
    </r>
  </si>
  <si>
    <r>
      <t xml:space="preserve">Pamatlīdzekļu amortizācija 297,62 </t>
    </r>
    <r>
      <rPr>
        <i/>
        <sz val="12"/>
        <color theme="1"/>
        <rFont val="Times New Roman"/>
        <family val="1"/>
        <charset val="186"/>
      </rPr>
      <t>euro</t>
    </r>
    <r>
      <rPr>
        <sz val="12"/>
        <color theme="1"/>
        <rFont val="Times New Roman"/>
        <family val="1"/>
        <charset val="186"/>
      </rPr>
      <t xml:space="preserve"> gadā * 0.6049 (iznomātās platības koeficients) = 180,03 </t>
    </r>
    <r>
      <rPr>
        <i/>
        <sz val="12"/>
        <color theme="1"/>
        <rFont val="Times New Roman"/>
        <family val="1"/>
        <charset val="186"/>
      </rPr>
      <t>euro</t>
    </r>
    <r>
      <rPr>
        <sz val="12"/>
        <color theme="1"/>
        <rFont val="Times New Roman"/>
        <family val="1"/>
        <charset val="186"/>
      </rPr>
      <t>.</t>
    </r>
  </si>
  <si>
    <r>
      <t xml:space="preserve">Izdevumi par apkuri 5 527,20 </t>
    </r>
    <r>
      <rPr>
        <i/>
        <sz val="12"/>
        <color theme="1"/>
        <rFont val="Times New Roman"/>
        <family val="1"/>
        <charset val="186"/>
      </rPr>
      <t>euro</t>
    </r>
    <r>
      <rPr>
        <sz val="12"/>
        <color theme="1"/>
        <rFont val="Times New Roman"/>
        <family val="1"/>
        <charset val="186"/>
      </rPr>
      <t xml:space="preserve"> gadā * 0.3951 (iznomātās platības koeficients) = 2 183,80 </t>
    </r>
    <r>
      <rPr>
        <i/>
        <sz val="12"/>
        <color theme="1"/>
        <rFont val="Times New Roman"/>
        <family val="1"/>
        <charset val="186"/>
      </rPr>
      <t>euro</t>
    </r>
    <r>
      <rPr>
        <sz val="12"/>
        <color theme="1"/>
        <rFont val="Times New Roman"/>
        <family val="1"/>
        <charset val="186"/>
      </rPr>
      <t>.</t>
    </r>
  </si>
  <si>
    <r>
      <t xml:space="preserve">Izdevumi par ūdeni un kanalizāciju 390,98 </t>
    </r>
    <r>
      <rPr>
        <i/>
        <sz val="12"/>
        <color theme="1"/>
        <rFont val="Times New Roman"/>
        <family val="1"/>
        <charset val="186"/>
      </rPr>
      <t>euro</t>
    </r>
    <r>
      <rPr>
        <sz val="12"/>
        <color theme="1"/>
        <rFont val="Times New Roman"/>
        <family val="1"/>
        <charset val="186"/>
      </rPr>
      <t xml:space="preserve"> gadā * 0.3951 (iznomātās platības koeficients) = 154,48 </t>
    </r>
    <r>
      <rPr>
        <i/>
        <sz val="12"/>
        <color theme="1"/>
        <rFont val="Times New Roman"/>
        <family val="1"/>
        <charset val="186"/>
      </rPr>
      <t>euro</t>
    </r>
    <r>
      <rPr>
        <sz val="12"/>
        <color theme="1"/>
        <rFont val="Times New Roman"/>
        <family val="1"/>
        <charset val="186"/>
      </rPr>
      <t>.</t>
    </r>
  </si>
  <si>
    <r>
      <t xml:space="preserve">Izdevumi par elektroenerģiju 2 316,15 </t>
    </r>
    <r>
      <rPr>
        <i/>
        <sz val="12"/>
        <color theme="1"/>
        <rFont val="Times New Roman"/>
        <family val="1"/>
        <charset val="186"/>
      </rPr>
      <t>euro</t>
    </r>
    <r>
      <rPr>
        <sz val="12"/>
        <color theme="1"/>
        <rFont val="Times New Roman"/>
        <family val="1"/>
        <charset val="186"/>
      </rPr>
      <t xml:space="preserve"> gadā * 0.3951 (iznomātās platības koeficients) = 915,11 </t>
    </r>
    <r>
      <rPr>
        <i/>
        <sz val="12"/>
        <color theme="1"/>
        <rFont val="Times New Roman"/>
        <family val="1"/>
        <charset val="186"/>
      </rPr>
      <t>euro</t>
    </r>
    <r>
      <rPr>
        <sz val="12"/>
        <color theme="1"/>
        <rFont val="Times New Roman"/>
        <family val="1"/>
        <charset val="186"/>
      </rPr>
      <t>.</t>
    </r>
  </si>
  <si>
    <r>
      <t xml:space="preserve">Izdevumi par atkritumu izvešanu 352,26 </t>
    </r>
    <r>
      <rPr>
        <i/>
        <sz val="12"/>
        <color theme="1"/>
        <rFont val="Times New Roman"/>
        <family val="1"/>
        <charset val="186"/>
      </rPr>
      <t>euro</t>
    </r>
    <r>
      <rPr>
        <sz val="12"/>
        <color theme="1"/>
        <rFont val="Times New Roman"/>
        <family val="1"/>
        <charset val="186"/>
      </rPr>
      <t xml:space="preserve"> gadā * 0.3951 (iznomātās platības koeficients)= 139,18 </t>
    </r>
    <r>
      <rPr>
        <i/>
        <sz val="12"/>
        <color theme="1"/>
        <rFont val="Times New Roman"/>
        <family val="1"/>
        <charset val="186"/>
      </rPr>
      <t>euro</t>
    </r>
    <r>
      <rPr>
        <sz val="12"/>
        <color theme="1"/>
        <rFont val="Times New Roman"/>
        <family val="1"/>
        <charset val="186"/>
      </rPr>
      <t>.</t>
    </r>
  </si>
  <si>
    <r>
      <t xml:space="preserve">Izdevumi par dabas gāzi 17,05 </t>
    </r>
    <r>
      <rPr>
        <i/>
        <sz val="12"/>
        <color theme="1"/>
        <rFont val="Times New Roman"/>
        <family val="1"/>
        <charset val="186"/>
      </rPr>
      <t>euro</t>
    </r>
    <r>
      <rPr>
        <sz val="12"/>
        <color theme="1"/>
        <rFont val="Times New Roman"/>
        <family val="1"/>
        <charset val="186"/>
      </rPr>
      <t xml:space="preserve"> gadā * 0.3951 (iznomātās platības koeficients) = 6,74 </t>
    </r>
    <r>
      <rPr>
        <i/>
        <sz val="12"/>
        <color theme="1"/>
        <rFont val="Times New Roman"/>
        <family val="1"/>
        <charset val="186"/>
      </rPr>
      <t>euro</t>
    </r>
    <r>
      <rPr>
        <sz val="12"/>
        <color theme="1"/>
        <rFont val="Times New Roman"/>
        <family val="1"/>
        <charset val="186"/>
      </rPr>
      <t>.</t>
    </r>
  </si>
  <si>
    <r>
      <t xml:space="preserve">Izdevumi par energoefektivitātes paaugstināšanas atzinumu 21,78 </t>
    </r>
    <r>
      <rPr>
        <i/>
        <sz val="12"/>
        <color theme="1"/>
        <rFont val="Times New Roman"/>
        <family val="1"/>
        <charset val="186"/>
      </rPr>
      <t>euro</t>
    </r>
    <r>
      <rPr>
        <sz val="12"/>
        <color theme="1"/>
        <rFont val="Times New Roman"/>
        <family val="1"/>
        <charset val="186"/>
      </rPr>
      <t xml:space="preserve"> gadā * 0.3951 (iznomātās platības koeficients) = 8,61 </t>
    </r>
    <r>
      <rPr>
        <i/>
        <sz val="12"/>
        <color theme="1"/>
        <rFont val="Times New Roman"/>
        <family val="1"/>
        <charset val="186"/>
      </rPr>
      <t>euro.</t>
    </r>
  </si>
  <si>
    <r>
      <t xml:space="preserve">Ēku sistēmu apkope, iekārtu un citu iekārtu apkope un remonts, avāriju bojājumu novēršanas izdevumi 102,57 </t>
    </r>
    <r>
      <rPr>
        <i/>
        <sz val="12"/>
        <color theme="1"/>
        <rFont val="Times New Roman"/>
        <family val="1"/>
        <charset val="186"/>
      </rPr>
      <t>euro</t>
    </r>
    <r>
      <rPr>
        <sz val="12"/>
        <color theme="1"/>
        <rFont val="Times New Roman"/>
        <family val="1"/>
        <charset val="186"/>
      </rPr>
      <t xml:space="preserve"> gadā * 0.3951(iznomātās platības koeficients) = 40,53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</si>
  <si>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2 759,23 </t>
    </r>
    <r>
      <rPr>
        <i/>
        <sz val="12"/>
        <color theme="1"/>
        <rFont val="Times New Roman"/>
        <family val="1"/>
        <charset val="186"/>
      </rPr>
      <t>euro</t>
    </r>
    <r>
      <rPr>
        <sz val="12"/>
        <color theme="1"/>
        <rFont val="Times New Roman"/>
        <family val="1"/>
        <charset val="186"/>
      </rPr>
      <t xml:space="preserve"> gadā * 0.3951 (iznomātās platības koeficients)= 1 090,17 </t>
    </r>
    <r>
      <rPr>
        <i/>
        <sz val="12"/>
        <color theme="1"/>
        <rFont val="Times New Roman"/>
        <family val="1"/>
        <charset val="186"/>
      </rPr>
      <t>euro</t>
    </r>
    <r>
      <rPr>
        <sz val="12"/>
        <color theme="1"/>
        <rFont val="Times New Roman"/>
        <family val="1"/>
        <charset val="186"/>
      </rPr>
      <t>.</t>
    </r>
  </si>
  <si>
    <r>
      <t xml:space="preserve">Saimniecības inventāra un materiālu (spuldzes, higiēnas preces, birstes u.tml.) iegādes izdevumi 86,08 </t>
    </r>
    <r>
      <rPr>
        <i/>
        <sz val="12"/>
        <color theme="1"/>
        <rFont val="Times New Roman"/>
        <family val="1"/>
        <charset val="186"/>
      </rPr>
      <t>euro</t>
    </r>
    <r>
      <rPr>
        <sz val="12"/>
        <color theme="1"/>
        <rFont val="Times New Roman"/>
        <family val="1"/>
        <charset val="186"/>
      </rPr>
      <t xml:space="preserve"> gadā * 0.3951 (iznomātās platības koeficients) = 34,01 </t>
    </r>
    <r>
      <rPr>
        <i/>
        <sz val="12"/>
        <color theme="1"/>
        <rFont val="Times New Roman"/>
        <family val="1"/>
        <charset val="186"/>
      </rPr>
      <t>euro</t>
    </r>
    <r>
      <rPr>
        <sz val="12"/>
        <color theme="1"/>
        <rFont val="Times New Roman"/>
        <family val="1"/>
        <charset val="186"/>
      </rPr>
      <t>.</t>
    </r>
  </si>
  <si>
    <r>
      <t xml:space="preserve">Nekustamā īpašuma nodoklis 227,82 </t>
    </r>
    <r>
      <rPr>
        <i/>
        <sz val="12"/>
        <color theme="1"/>
        <rFont val="Times New Roman"/>
        <family val="1"/>
        <charset val="186"/>
      </rPr>
      <t>euro</t>
    </r>
    <r>
      <rPr>
        <sz val="12"/>
        <color theme="1"/>
        <rFont val="Times New Roman"/>
        <family val="1"/>
        <charset val="186"/>
      </rPr>
      <t xml:space="preserve"> gadā * 0.3951 (iznomātās platības koeficients) = 90,01 </t>
    </r>
    <r>
      <rPr>
        <i/>
        <sz val="12"/>
        <color theme="1"/>
        <rFont val="Times New Roman"/>
        <family val="1"/>
        <charset val="186"/>
      </rPr>
      <t>euro</t>
    </r>
    <r>
      <rPr>
        <sz val="12"/>
        <color theme="1"/>
        <rFont val="Times New Roman"/>
        <family val="1"/>
        <charset val="186"/>
      </rPr>
      <t>.</t>
    </r>
  </si>
  <si>
    <r>
      <t xml:space="preserve">Ēku amortizācija 631,17 </t>
    </r>
    <r>
      <rPr>
        <i/>
        <sz val="12"/>
        <color theme="1"/>
        <rFont val="Times New Roman"/>
        <family val="1"/>
        <charset val="186"/>
      </rPr>
      <t>euro</t>
    </r>
    <r>
      <rPr>
        <sz val="12"/>
        <color theme="1"/>
        <rFont val="Times New Roman"/>
        <family val="1"/>
        <charset val="186"/>
      </rPr>
      <t xml:space="preserve"> gadā * 0.3951 (iznomātās platības koeficients) = 249,38 </t>
    </r>
    <r>
      <rPr>
        <i/>
        <sz val="12"/>
        <color theme="1"/>
        <rFont val="Times New Roman"/>
        <family val="1"/>
        <charset val="186"/>
      </rPr>
      <t>euro.</t>
    </r>
  </si>
  <si>
    <r>
      <t xml:space="preserve">Pamatlīdzekļu amortizācija 451,25 </t>
    </r>
    <r>
      <rPr>
        <i/>
        <sz val="12"/>
        <color theme="1"/>
        <rFont val="Times New Roman"/>
        <family val="1"/>
        <charset val="186"/>
      </rPr>
      <t>euro</t>
    </r>
    <r>
      <rPr>
        <sz val="12"/>
        <color theme="1"/>
        <rFont val="Times New Roman"/>
        <family val="1"/>
        <charset val="186"/>
      </rPr>
      <t xml:space="preserve"> gadā * 0.3951 (iznomātās platības koeficients) = 178,29 </t>
    </r>
    <r>
      <rPr>
        <i/>
        <sz val="12"/>
        <color theme="1"/>
        <rFont val="Times New Roman"/>
        <family val="1"/>
        <charset val="186"/>
      </rPr>
      <t>euro</t>
    </r>
    <r>
      <rPr>
        <sz val="12"/>
        <color theme="1"/>
        <rFont val="Times New Roman"/>
        <family val="1"/>
        <charset val="186"/>
      </rPr>
      <t>.</t>
    </r>
  </si>
  <si>
    <r>
      <t xml:space="preserve">Pamatlīdzekļu amortizācija 297,62 </t>
    </r>
    <r>
      <rPr>
        <i/>
        <sz val="12"/>
        <color theme="1"/>
        <rFont val="Times New Roman"/>
        <family val="1"/>
        <charset val="186"/>
      </rPr>
      <t>euro</t>
    </r>
    <r>
      <rPr>
        <sz val="12"/>
        <color theme="1"/>
        <rFont val="Times New Roman"/>
        <family val="1"/>
        <charset val="186"/>
      </rPr>
      <t xml:space="preserve"> gadā * 0.3951 (iznomātās platības koeficients) = 117,59 </t>
    </r>
    <r>
      <rPr>
        <i/>
        <sz val="12"/>
        <color theme="1"/>
        <rFont val="Times New Roman"/>
        <family val="1"/>
        <charset val="186"/>
      </rPr>
      <t>euro</t>
    </r>
    <r>
      <rPr>
        <sz val="12"/>
        <color theme="1"/>
        <rFont val="Times New Roman"/>
        <family val="1"/>
        <charset val="186"/>
      </rPr>
      <t>.</t>
    </r>
  </si>
  <si>
    <r>
      <t xml:space="preserve">Pamatlīdzekļu amortizācija 381,58 </t>
    </r>
    <r>
      <rPr>
        <i/>
        <sz val="12"/>
        <color theme="1"/>
        <rFont val="Times New Roman"/>
        <family val="1"/>
        <charset val="186"/>
      </rPr>
      <t>euro</t>
    </r>
    <r>
      <rPr>
        <sz val="12"/>
        <color theme="1"/>
        <rFont val="Times New Roman"/>
        <family val="1"/>
        <charset val="186"/>
      </rPr>
      <t xml:space="preserve"> gadā * 0.3951 (iznomātās platības koeficients) = 150,76 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</si>
  <si>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5.1 stundas, (8,14 </t>
    </r>
    <r>
      <rPr>
        <i/>
        <sz val="12"/>
        <color theme="1"/>
        <rFont val="Times New Roman"/>
        <family val="1"/>
        <charset val="186"/>
      </rPr>
      <t>euro</t>
    </r>
    <r>
      <rPr>
        <sz val="12"/>
        <color theme="1"/>
        <rFont val="Times New Roman"/>
        <family val="1"/>
        <charset val="186"/>
      </rPr>
      <t xml:space="preserve"> * 5.1 h) = 41,51 </t>
    </r>
    <r>
      <rPr>
        <i/>
        <sz val="12"/>
        <color theme="1"/>
        <rFont val="Times New Roman"/>
        <family val="1"/>
        <charset val="186"/>
      </rPr>
      <t>euro</t>
    </r>
    <r>
      <rPr>
        <sz val="12"/>
        <color theme="1"/>
        <rFont val="Times New Roman"/>
        <family val="1"/>
        <charset val="186"/>
      </rPr>
      <t xml:space="preserve">/mēn. * 12 mēn. = 498,12 </t>
    </r>
    <r>
      <rPr>
        <i/>
        <sz val="12"/>
        <color theme="1"/>
        <rFont val="Times New Roman"/>
        <family val="1"/>
        <charset val="186"/>
      </rPr>
      <t>euro</t>
    </r>
    <r>
      <rPr>
        <sz val="12"/>
        <color theme="1"/>
        <rFont val="Times New Roman"/>
        <family val="1"/>
        <charset val="186"/>
      </rPr>
      <t xml:space="preserve"> * 0.3951 (iznomātās platības koeficients) = 196,81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</si>
  <si>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15.85 stundas, (8,14 </t>
    </r>
    <r>
      <rPr>
        <i/>
        <sz val="12"/>
        <color theme="1"/>
        <rFont val="Times New Roman"/>
        <family val="1"/>
        <charset val="186"/>
      </rPr>
      <t>euro</t>
    </r>
    <r>
      <rPr>
        <sz val="12"/>
        <color theme="1"/>
        <rFont val="Times New Roman"/>
        <family val="1"/>
        <charset val="186"/>
      </rPr>
      <t xml:space="preserve"> * 15.85 h) = 129,02 </t>
    </r>
    <r>
      <rPr>
        <i/>
        <sz val="12"/>
        <color theme="1"/>
        <rFont val="Times New Roman"/>
        <family val="1"/>
        <charset val="186"/>
      </rPr>
      <t>euro</t>
    </r>
    <r>
      <rPr>
        <sz val="12"/>
        <color theme="1"/>
        <rFont val="Times New Roman"/>
        <family val="1"/>
        <charset val="186"/>
      </rPr>
      <t xml:space="preserve">/mēn. * 12 mēn. = 1 548,24 </t>
    </r>
    <r>
      <rPr>
        <i/>
        <sz val="12"/>
        <color theme="1"/>
        <rFont val="Times New Roman"/>
        <family val="1"/>
        <charset val="186"/>
      </rPr>
      <t>euro</t>
    </r>
    <r>
      <rPr>
        <sz val="12"/>
        <color theme="1"/>
        <rFont val="Times New Roman"/>
        <family val="1"/>
        <charset val="186"/>
      </rPr>
      <t xml:space="preserve"> * 0.3951 (iznomātās platības koeficients) = 611,71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</si>
  <si>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10.2 stundas, (5,37 </t>
    </r>
    <r>
      <rPr>
        <i/>
        <sz val="12"/>
        <color theme="1"/>
        <rFont val="Times New Roman"/>
        <family val="1"/>
        <charset val="186"/>
      </rPr>
      <t>euro</t>
    </r>
    <r>
      <rPr>
        <sz val="12"/>
        <color theme="1"/>
        <rFont val="Times New Roman"/>
        <family val="1"/>
        <charset val="186"/>
      </rPr>
      <t xml:space="preserve"> * 10.2 h) = 54,77 </t>
    </r>
    <r>
      <rPr>
        <i/>
        <sz val="12"/>
        <color theme="1"/>
        <rFont val="Times New Roman"/>
        <family val="1"/>
        <charset val="186"/>
      </rPr>
      <t>euro</t>
    </r>
    <r>
      <rPr>
        <sz val="12"/>
        <color theme="1"/>
        <rFont val="Times New Roman"/>
        <family val="1"/>
        <charset val="186"/>
      </rPr>
      <t xml:space="preserve">/mēn. * 12 mēn. = 657,24 </t>
    </r>
    <r>
      <rPr>
        <i/>
        <sz val="12"/>
        <color theme="1"/>
        <rFont val="Times New Roman"/>
        <family val="1"/>
        <charset val="186"/>
      </rPr>
      <t>euro</t>
    </r>
    <r>
      <rPr>
        <sz val="12"/>
        <color theme="1"/>
        <rFont val="Times New Roman"/>
        <family val="1"/>
        <charset val="186"/>
      </rPr>
      <t xml:space="preserve"> * 0.3951 (iznomātās platības koeficients) = 259,68 </t>
    </r>
    <r>
      <rPr>
        <i/>
        <sz val="12"/>
        <color theme="1"/>
        <rFont val="Times New Roman"/>
        <family val="1"/>
        <charset val="186"/>
      </rPr>
      <t>euro</t>
    </r>
    <r>
      <rPr>
        <sz val="12"/>
        <color theme="1"/>
        <rFont val="Times New Roman"/>
        <family val="1"/>
        <charset val="186"/>
      </rPr>
      <t xml:space="preserve">. </t>
    </r>
  </si>
  <si>
    <r>
      <t xml:space="preserve">Galv. nekust. īpaš. pārvaldnieks (196,81 </t>
    </r>
    <r>
      <rPr>
        <i/>
        <sz val="12"/>
        <color theme="1"/>
        <rFont val="Times New Roman"/>
        <family val="1"/>
        <charset val="186"/>
      </rPr>
      <t xml:space="preserve">euro </t>
    </r>
    <r>
      <rPr>
        <sz val="12"/>
        <color theme="1"/>
        <rFont val="Times New Roman"/>
        <family val="1"/>
        <charset val="186"/>
      </rPr>
      <t xml:space="preserve">* 5%) = 9,84 </t>
    </r>
    <r>
      <rPr>
        <i/>
        <sz val="12"/>
        <color theme="1"/>
        <rFont val="Times New Roman"/>
        <family val="1"/>
        <charset val="186"/>
      </rPr>
      <t>euro</t>
    </r>
    <r>
      <rPr>
        <sz val="12"/>
        <color theme="1"/>
        <rFont val="Times New Roman"/>
        <family val="1"/>
        <charset val="186"/>
      </rPr>
      <t xml:space="preserve">, Dienesta viesnīcas vadīotājs (611,71 </t>
    </r>
    <r>
      <rPr>
        <i/>
        <sz val="12"/>
        <color theme="1"/>
        <rFont val="Times New Roman"/>
        <family val="1"/>
        <charset val="186"/>
      </rPr>
      <t>euro</t>
    </r>
    <r>
      <rPr>
        <sz val="12"/>
        <color theme="1"/>
        <rFont val="Times New Roman"/>
        <family val="1"/>
        <charset val="186"/>
      </rPr>
      <t xml:space="preserve"> * 5%) = 30,59 </t>
    </r>
    <r>
      <rPr>
        <i/>
        <sz val="12"/>
        <color theme="1"/>
        <rFont val="Times New Roman"/>
        <family val="1"/>
        <charset val="186"/>
      </rPr>
      <t>euro</t>
    </r>
    <r>
      <rPr>
        <sz val="12"/>
        <color theme="1"/>
        <rFont val="Times New Roman"/>
        <family val="1"/>
        <charset val="186"/>
      </rPr>
      <t xml:space="preserve">. Saimniecības pārzinis (259,68 </t>
    </r>
    <r>
      <rPr>
        <i/>
        <sz val="12"/>
        <color theme="1"/>
        <rFont val="Times New Roman"/>
        <family val="1"/>
        <charset val="186"/>
      </rPr>
      <t>euro</t>
    </r>
    <r>
      <rPr>
        <sz val="12"/>
        <color theme="1"/>
        <rFont val="Times New Roman"/>
        <family val="1"/>
        <charset val="186"/>
      </rPr>
      <t xml:space="preserve"> * 5%) = 12,98 </t>
    </r>
    <r>
      <rPr>
        <i/>
        <sz val="12"/>
        <color theme="1"/>
        <rFont val="Times New Roman"/>
        <family val="1"/>
        <charset val="186"/>
      </rPr>
      <t>euro.</t>
    </r>
    <r>
      <rPr>
        <sz val="12"/>
        <color theme="1"/>
        <rFont val="Times New Roman"/>
        <family val="1"/>
        <charset val="186"/>
      </rPr>
      <t xml:space="preserve"> Kopā (9,84 </t>
    </r>
    <r>
      <rPr>
        <i/>
        <sz val="12"/>
        <color theme="1"/>
        <rFont val="Times New Roman"/>
        <family val="1"/>
        <charset val="186"/>
      </rPr>
      <t>euro</t>
    </r>
    <r>
      <rPr>
        <sz val="12"/>
        <color theme="1"/>
        <rFont val="Times New Roman"/>
        <family val="1"/>
        <charset val="186"/>
      </rPr>
      <t xml:space="preserve"> + 30,59 </t>
    </r>
    <r>
      <rPr>
        <i/>
        <sz val="12"/>
        <color theme="1"/>
        <rFont val="Times New Roman"/>
        <family val="1"/>
        <charset val="186"/>
      </rPr>
      <t>euro</t>
    </r>
    <r>
      <rPr>
        <sz val="12"/>
        <color theme="1"/>
        <rFont val="Times New Roman"/>
        <family val="1"/>
        <charset val="186"/>
      </rPr>
      <t xml:space="preserve"> + 12,98 </t>
    </r>
    <r>
      <rPr>
        <i/>
        <sz val="12"/>
        <color theme="1"/>
        <rFont val="Times New Roman"/>
        <family val="1"/>
        <charset val="186"/>
      </rPr>
      <t>euro</t>
    </r>
    <r>
      <rPr>
        <sz val="12"/>
        <color theme="1"/>
        <rFont val="Times New Roman"/>
        <family val="1"/>
        <charset val="186"/>
      </rPr>
      <t xml:space="preserve">) = 53,41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</si>
  <si>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1 175,02 </t>
    </r>
    <r>
      <rPr>
        <i/>
        <sz val="12"/>
        <color theme="1"/>
        <rFont val="Times New Roman"/>
        <family val="1"/>
        <charset val="186"/>
      </rPr>
      <t>euro</t>
    </r>
    <r>
      <rPr>
        <sz val="12"/>
        <color theme="1"/>
        <rFont val="Times New Roman"/>
        <family val="1"/>
        <charset val="186"/>
      </rPr>
      <t xml:space="preserve"> * 23,59 % = 277,19 </t>
    </r>
    <r>
      <rPr>
        <i/>
        <sz val="12"/>
        <color theme="1"/>
        <rFont val="Times New Roman"/>
        <family val="1"/>
        <charset val="186"/>
      </rPr>
      <t xml:space="preserve">euro. </t>
    </r>
  </si>
  <si>
    <r>
      <t xml:space="preserve">Darba devēja valsts sociālās apdrošināšanas obligātās iemaksas 277,19 </t>
    </r>
    <r>
      <rPr>
        <i/>
        <sz val="12"/>
        <color theme="1"/>
        <rFont val="Times New Roman"/>
        <family val="1"/>
        <charset val="186"/>
      </rPr>
      <t>euro</t>
    </r>
    <r>
      <rPr>
        <sz val="12"/>
        <color theme="1"/>
        <rFont val="Times New Roman"/>
        <family val="1"/>
        <charset val="186"/>
      </rPr>
      <t xml:space="preserve">. Veselības apdrošināšana 53,41 </t>
    </r>
    <r>
      <rPr>
        <i/>
        <sz val="12"/>
        <color theme="1"/>
        <rFont val="Times New Roman"/>
        <family val="1"/>
        <charset val="186"/>
      </rPr>
      <t>euro</t>
    </r>
    <r>
      <rPr>
        <sz val="12"/>
        <color theme="1"/>
        <rFont val="Times New Roman"/>
        <family val="1"/>
        <charset val="186"/>
      </rPr>
      <t xml:space="preserve">. Kopā 330,60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</si>
  <si>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166.92 (vid. d. stundu sk. mēnesī). Vid. mēn. noslogojums 1.28 stundas, (11,47 </t>
    </r>
    <r>
      <rPr>
        <i/>
        <sz val="12"/>
        <color theme="1"/>
        <rFont val="Times New Roman"/>
        <family val="1"/>
        <charset val="186"/>
      </rPr>
      <t>euro</t>
    </r>
    <r>
      <rPr>
        <sz val="12"/>
        <color theme="1"/>
        <rFont val="Times New Roman"/>
        <family val="1"/>
        <charset val="186"/>
      </rPr>
      <t xml:space="preserve"> * 1.28 h) = 14,68 </t>
    </r>
    <r>
      <rPr>
        <i/>
        <sz val="12"/>
        <color theme="1"/>
        <rFont val="Times New Roman"/>
        <family val="1"/>
        <charset val="186"/>
      </rPr>
      <t>euro</t>
    </r>
    <r>
      <rPr>
        <sz val="12"/>
        <color theme="1"/>
        <rFont val="Times New Roman"/>
        <family val="1"/>
        <charset val="186"/>
      </rPr>
      <t xml:space="preserve">/mēn. * 12. mēn. = 176,16 </t>
    </r>
    <r>
      <rPr>
        <i/>
        <sz val="12"/>
        <color theme="1"/>
        <rFont val="Times New Roman"/>
        <family val="1"/>
        <charset val="186"/>
      </rPr>
      <t>euro</t>
    </r>
    <r>
      <rPr>
        <sz val="12"/>
        <color theme="1"/>
        <rFont val="Times New Roman"/>
        <family val="1"/>
        <charset val="186"/>
      </rPr>
      <t xml:space="preserve"> * 0.3951 (iznomātās platības koeficients)  = 69,60 </t>
    </r>
    <r>
      <rPr>
        <i/>
        <sz val="12"/>
        <color theme="1"/>
        <rFont val="Times New Roman"/>
        <family val="1"/>
        <charset val="186"/>
      </rPr>
      <t>euro.</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</si>
  <si>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11 min. (11,24 </t>
    </r>
    <r>
      <rPr>
        <i/>
        <sz val="12"/>
        <color theme="1"/>
        <rFont val="Times New Roman"/>
        <family val="1"/>
        <charset val="186"/>
      </rPr>
      <t>euro</t>
    </r>
    <r>
      <rPr>
        <sz val="12"/>
        <color theme="1"/>
        <rFont val="Times New Roman"/>
        <family val="1"/>
        <charset val="186"/>
      </rPr>
      <t xml:space="preserve"> * 0.18 h) = 2,02 </t>
    </r>
    <r>
      <rPr>
        <i/>
        <sz val="12"/>
        <color theme="1"/>
        <rFont val="Times New Roman"/>
        <family val="1"/>
        <charset val="186"/>
      </rPr>
      <t>euro</t>
    </r>
    <r>
      <rPr>
        <sz val="12"/>
        <color theme="1"/>
        <rFont val="Times New Roman"/>
        <family val="1"/>
        <charset val="186"/>
      </rPr>
      <t xml:space="preserve">/mēn. * 12. mēn. = 24,24 </t>
    </r>
    <r>
      <rPr>
        <i/>
        <sz val="12"/>
        <color theme="1"/>
        <rFont val="Times New Roman"/>
        <family val="1"/>
        <charset val="186"/>
      </rPr>
      <t>euro</t>
    </r>
    <r>
      <rPr>
        <sz val="12"/>
        <color theme="1"/>
        <rFont val="Times New Roman"/>
        <family val="1"/>
        <charset val="186"/>
      </rPr>
      <t xml:space="preserve"> * 0.3951 (iznomātās platības koeficients) = 9,58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</si>
  <si>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10 min. (7,58 </t>
    </r>
    <r>
      <rPr>
        <i/>
        <sz val="12"/>
        <color theme="1"/>
        <rFont val="Times New Roman"/>
        <family val="1"/>
        <charset val="186"/>
      </rPr>
      <t>euro</t>
    </r>
    <r>
      <rPr>
        <sz val="12"/>
        <color theme="1"/>
        <rFont val="Times New Roman"/>
        <family val="1"/>
        <charset val="186"/>
      </rPr>
      <t xml:space="preserve"> * 0.17 h) = 1,29 </t>
    </r>
    <r>
      <rPr>
        <i/>
        <sz val="12"/>
        <color theme="1"/>
        <rFont val="Times New Roman"/>
        <family val="1"/>
        <charset val="186"/>
      </rPr>
      <t>euro</t>
    </r>
    <r>
      <rPr>
        <sz val="12"/>
        <color theme="1"/>
        <rFont val="Times New Roman"/>
        <family val="1"/>
        <charset val="186"/>
      </rPr>
      <t xml:space="preserve">/mēn. * 12. mēn. = 15,48 </t>
    </r>
    <r>
      <rPr>
        <i/>
        <sz val="12"/>
        <color theme="1"/>
        <rFont val="Times New Roman"/>
        <family val="1"/>
        <charset val="186"/>
      </rPr>
      <t>euro</t>
    </r>
    <r>
      <rPr>
        <sz val="12"/>
        <color theme="1"/>
        <rFont val="Times New Roman"/>
        <family val="1"/>
        <charset val="186"/>
      </rPr>
      <t xml:space="preserve"> * 0.3951 (iznomātās platības koeficients) = 6,12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</si>
  <si>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10 min. (11,22 </t>
    </r>
    <r>
      <rPr>
        <i/>
        <sz val="12"/>
        <color theme="1"/>
        <rFont val="Times New Roman"/>
        <family val="1"/>
        <charset val="186"/>
      </rPr>
      <t>euro</t>
    </r>
    <r>
      <rPr>
        <sz val="12"/>
        <color theme="1"/>
        <rFont val="Times New Roman"/>
        <family val="1"/>
        <charset val="186"/>
      </rPr>
      <t xml:space="preserve"> * 0.17 h) = 1,91 </t>
    </r>
    <r>
      <rPr>
        <i/>
        <sz val="12"/>
        <color theme="1"/>
        <rFont val="Times New Roman"/>
        <family val="1"/>
        <charset val="186"/>
      </rPr>
      <t>euro</t>
    </r>
    <r>
      <rPr>
        <sz val="12"/>
        <color theme="1"/>
        <rFont val="Times New Roman"/>
        <family val="1"/>
        <charset val="186"/>
      </rPr>
      <t xml:space="preserve">/mēn. * 12. mēn. = 22,92 </t>
    </r>
    <r>
      <rPr>
        <i/>
        <sz val="12"/>
        <color theme="1"/>
        <rFont val="Times New Roman"/>
        <family val="1"/>
        <charset val="186"/>
      </rPr>
      <t>euro</t>
    </r>
    <r>
      <rPr>
        <sz val="12"/>
        <color theme="1"/>
        <rFont val="Times New Roman"/>
        <family val="1"/>
        <charset val="186"/>
      </rPr>
      <t xml:space="preserve"> * 0.3951 (iznomātās platības koeficients)  = 9,06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</si>
  <si>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 min. (15,03 </t>
    </r>
    <r>
      <rPr>
        <i/>
        <sz val="12"/>
        <color theme="1"/>
        <rFont val="Times New Roman"/>
        <family val="1"/>
        <charset val="186"/>
      </rPr>
      <t>euro</t>
    </r>
    <r>
      <rPr>
        <sz val="12"/>
        <color theme="1"/>
        <rFont val="Times New Roman"/>
        <family val="1"/>
        <charset val="186"/>
      </rPr>
      <t xml:space="preserve"> * 0.33 h) = 4,96 </t>
    </r>
    <r>
      <rPr>
        <i/>
        <sz val="12"/>
        <color theme="1"/>
        <rFont val="Times New Roman"/>
        <family val="1"/>
        <charset val="186"/>
      </rPr>
      <t>euro</t>
    </r>
    <r>
      <rPr>
        <sz val="12"/>
        <color theme="1"/>
        <rFont val="Times New Roman"/>
        <family val="1"/>
        <charset val="186"/>
      </rPr>
      <t xml:space="preserve">/mēn. * 12. mēn. = 59,52 </t>
    </r>
    <r>
      <rPr>
        <i/>
        <sz val="12"/>
        <color theme="1"/>
        <rFont val="Times New Roman"/>
        <family val="1"/>
        <charset val="186"/>
      </rPr>
      <t>euro</t>
    </r>
    <r>
      <rPr>
        <sz val="12"/>
        <color theme="1"/>
        <rFont val="Times New Roman"/>
        <family val="1"/>
        <charset val="186"/>
      </rPr>
      <t xml:space="preserve"> * 0.3951 (iznomātās platības koeficients) = 23,52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</si>
  <si>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9 min. (12,07 </t>
    </r>
    <r>
      <rPr>
        <i/>
        <sz val="12"/>
        <color theme="1"/>
        <rFont val="Times New Roman"/>
        <family val="1"/>
        <charset val="186"/>
      </rPr>
      <t>euro</t>
    </r>
    <r>
      <rPr>
        <sz val="12"/>
        <color theme="1"/>
        <rFont val="Times New Roman"/>
        <family val="1"/>
        <charset val="186"/>
      </rPr>
      <t xml:space="preserve"> * 0.15 h) = 1,81 </t>
    </r>
    <r>
      <rPr>
        <i/>
        <sz val="12"/>
        <color theme="1"/>
        <rFont val="Times New Roman"/>
        <family val="1"/>
        <charset val="186"/>
      </rPr>
      <t>euro</t>
    </r>
    <r>
      <rPr>
        <sz val="12"/>
        <color theme="1"/>
        <rFont val="Times New Roman"/>
        <family val="1"/>
        <charset val="186"/>
      </rPr>
      <t xml:space="preserve">/mēn. * 12. mēn. = 21,72 </t>
    </r>
    <r>
      <rPr>
        <i/>
        <sz val="12"/>
        <color theme="1"/>
        <rFont val="Times New Roman"/>
        <family val="1"/>
        <charset val="186"/>
      </rPr>
      <t>euro</t>
    </r>
    <r>
      <rPr>
        <sz val="12"/>
        <color theme="1"/>
        <rFont val="Times New Roman"/>
        <family val="1"/>
        <charset val="186"/>
      </rPr>
      <t xml:space="preserve"> * 0.3951 (iznomātās platības koeficients) = 8,58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</si>
  <si>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5.88 stunda, (8,22 </t>
    </r>
    <r>
      <rPr>
        <i/>
        <sz val="12"/>
        <color theme="1"/>
        <rFont val="Times New Roman"/>
        <family val="1"/>
        <charset val="186"/>
      </rPr>
      <t>euro</t>
    </r>
    <r>
      <rPr>
        <sz val="12"/>
        <color theme="1"/>
        <rFont val="Times New Roman"/>
        <family val="1"/>
        <charset val="186"/>
      </rPr>
      <t xml:space="preserve"> * 5.88 h) = 48,33 </t>
    </r>
    <r>
      <rPr>
        <i/>
        <sz val="12"/>
        <color theme="1"/>
        <rFont val="Times New Roman"/>
        <family val="1"/>
        <charset val="186"/>
      </rPr>
      <t>euro</t>
    </r>
    <r>
      <rPr>
        <sz val="12"/>
        <color theme="1"/>
        <rFont val="Times New Roman"/>
        <family val="1"/>
        <charset val="186"/>
      </rPr>
      <t xml:space="preserve">/mēn. * 12. mēn. = 579,96 </t>
    </r>
    <r>
      <rPr>
        <i/>
        <sz val="12"/>
        <color theme="1"/>
        <rFont val="Times New Roman"/>
        <family val="1"/>
        <charset val="186"/>
      </rPr>
      <t>euro</t>
    </r>
    <r>
      <rPr>
        <sz val="12"/>
        <color theme="1"/>
        <rFont val="Times New Roman"/>
        <family val="1"/>
        <charset val="186"/>
      </rPr>
      <t xml:space="preserve"> * 0.3951 (iznomātās platības koeficients) = 229,14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</si>
  <si>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5.41 stunda (9,11 </t>
    </r>
    <r>
      <rPr>
        <i/>
        <sz val="12"/>
        <color theme="1"/>
        <rFont val="Times New Roman"/>
        <family val="1"/>
        <charset val="186"/>
      </rPr>
      <t>euro</t>
    </r>
    <r>
      <rPr>
        <sz val="12"/>
        <color theme="1"/>
        <rFont val="Times New Roman"/>
        <family val="1"/>
        <charset val="186"/>
      </rPr>
      <t xml:space="preserve"> * 5.41 h) = 49,29 </t>
    </r>
    <r>
      <rPr>
        <i/>
        <sz val="12"/>
        <color theme="1"/>
        <rFont val="Times New Roman"/>
        <family val="1"/>
        <charset val="186"/>
      </rPr>
      <t>euro</t>
    </r>
    <r>
      <rPr>
        <sz val="12"/>
        <color theme="1"/>
        <rFont val="Times New Roman"/>
        <family val="1"/>
        <charset val="186"/>
      </rPr>
      <t xml:space="preserve">/mēn. * 12. mēn. = 591,48 </t>
    </r>
    <r>
      <rPr>
        <i/>
        <sz val="12"/>
        <color theme="1"/>
        <rFont val="Times New Roman"/>
        <family val="1"/>
        <charset val="186"/>
      </rPr>
      <t>euro</t>
    </r>
    <r>
      <rPr>
        <sz val="12"/>
        <color theme="1"/>
        <rFont val="Times New Roman"/>
        <family val="1"/>
        <charset val="186"/>
      </rPr>
      <t xml:space="preserve"> * 0.3951 (iznomātās platības koeficients) = 233,69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</si>
  <si>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8.31 stunda (8,22 </t>
    </r>
    <r>
      <rPr>
        <i/>
        <sz val="12"/>
        <color theme="1"/>
        <rFont val="Times New Roman"/>
        <family val="1"/>
        <charset val="186"/>
      </rPr>
      <t>euro</t>
    </r>
    <r>
      <rPr>
        <sz val="12"/>
        <color theme="1"/>
        <rFont val="Times New Roman"/>
        <family val="1"/>
        <charset val="186"/>
      </rPr>
      <t xml:space="preserve"> * 8.31 h) = 68,31 </t>
    </r>
    <r>
      <rPr>
        <i/>
        <sz val="12"/>
        <color theme="1"/>
        <rFont val="Times New Roman"/>
        <family val="1"/>
        <charset val="186"/>
      </rPr>
      <t>euro</t>
    </r>
    <r>
      <rPr>
        <sz val="12"/>
        <color theme="1"/>
        <rFont val="Times New Roman"/>
        <family val="1"/>
        <charset val="186"/>
      </rPr>
      <t xml:space="preserve">/mēn. * 12. mēn. = 819,72 </t>
    </r>
    <r>
      <rPr>
        <i/>
        <sz val="12"/>
        <color theme="1"/>
        <rFont val="Times New Roman"/>
        <family val="1"/>
        <charset val="186"/>
      </rPr>
      <t>euro</t>
    </r>
    <r>
      <rPr>
        <sz val="12"/>
        <color theme="1"/>
        <rFont val="Times New Roman"/>
        <family val="1"/>
        <charset val="186"/>
      </rPr>
      <t xml:space="preserve"> * 0.3951 (iznomātās platības koeficients) = 323,87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</si>
  <si>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40 min. (24,34 </t>
    </r>
    <r>
      <rPr>
        <i/>
        <sz val="12"/>
        <color theme="1"/>
        <rFont val="Times New Roman"/>
        <family val="1"/>
        <charset val="186"/>
      </rPr>
      <t>euro</t>
    </r>
    <r>
      <rPr>
        <sz val="12"/>
        <color theme="1"/>
        <rFont val="Times New Roman"/>
        <family val="1"/>
        <charset val="186"/>
      </rPr>
      <t xml:space="preserve"> * 0.67 h) = 16,31 </t>
    </r>
    <r>
      <rPr>
        <i/>
        <sz val="12"/>
        <color theme="1"/>
        <rFont val="Times New Roman"/>
        <family val="1"/>
        <charset val="186"/>
      </rPr>
      <t>euro</t>
    </r>
    <r>
      <rPr>
        <sz val="12"/>
        <color theme="1"/>
        <rFont val="Times New Roman"/>
        <family val="1"/>
        <charset val="186"/>
      </rPr>
      <t xml:space="preserve">/mēn. * 12. mēn. = 195,72 </t>
    </r>
    <r>
      <rPr>
        <i/>
        <sz val="12"/>
        <color theme="1"/>
        <rFont val="Times New Roman"/>
        <family val="1"/>
        <charset val="186"/>
      </rPr>
      <t>euro</t>
    </r>
    <r>
      <rPr>
        <sz val="12"/>
        <color theme="1"/>
        <rFont val="Times New Roman"/>
        <family val="1"/>
        <charset val="186"/>
      </rPr>
      <t xml:space="preserve"> * 0.3951 (iznomātās platības koeficients) = 77,33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</si>
  <si>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1 009,64 </t>
    </r>
    <r>
      <rPr>
        <i/>
        <sz val="12"/>
        <color theme="1"/>
        <rFont val="Times New Roman"/>
        <family val="1"/>
        <charset val="186"/>
      </rPr>
      <t>euro</t>
    </r>
    <r>
      <rPr>
        <sz val="12"/>
        <color theme="1"/>
        <rFont val="Times New Roman"/>
        <family val="1"/>
        <charset val="186"/>
      </rPr>
      <t xml:space="preserve"> * 23,59 % = 238,17 </t>
    </r>
    <r>
      <rPr>
        <i/>
        <sz val="12"/>
        <color theme="1"/>
        <rFont val="Times New Roman"/>
        <family val="1"/>
        <charset val="186"/>
      </rPr>
      <t>euro</t>
    </r>
    <r>
      <rPr>
        <sz val="12"/>
        <color theme="1"/>
        <rFont val="Times New Roman"/>
        <family val="1"/>
        <charset val="186"/>
      </rPr>
      <t>.</t>
    </r>
  </si>
  <si>
    <r>
      <t xml:space="preserve">Galv. nekust. īpaš. pārvaldnieks (196,81 </t>
    </r>
    <r>
      <rPr>
        <i/>
        <sz val="12"/>
        <color theme="1"/>
        <rFont val="Times New Roman"/>
        <family val="1"/>
        <charset val="186"/>
      </rPr>
      <t>euro</t>
    </r>
    <r>
      <rPr>
        <sz val="12"/>
        <color theme="1"/>
        <rFont val="Times New Roman"/>
        <family val="1"/>
        <charset val="186"/>
      </rPr>
      <t xml:space="preserve"> * 10%) = 19,68 </t>
    </r>
    <r>
      <rPr>
        <i/>
        <sz val="12"/>
        <color theme="1"/>
        <rFont val="Times New Roman"/>
        <family val="1"/>
        <charset val="186"/>
      </rPr>
      <t>euro</t>
    </r>
    <r>
      <rPr>
        <sz val="12"/>
        <color theme="1"/>
        <rFont val="Times New Roman"/>
        <family val="1"/>
        <charset val="186"/>
      </rPr>
      <t xml:space="preserve">, Dienesta viesnīcas vadīotājs (611,71 </t>
    </r>
    <r>
      <rPr>
        <i/>
        <sz val="12"/>
        <color theme="1"/>
        <rFont val="Times New Roman"/>
        <family val="1"/>
        <charset val="186"/>
      </rPr>
      <t>euro</t>
    </r>
    <r>
      <rPr>
        <sz val="12"/>
        <color theme="1"/>
        <rFont val="Times New Roman"/>
        <family val="1"/>
        <charset val="186"/>
      </rPr>
      <t xml:space="preserve"> * 10%) = 61,17 </t>
    </r>
    <r>
      <rPr>
        <i/>
        <sz val="12"/>
        <color theme="1"/>
        <rFont val="Times New Roman"/>
        <family val="1"/>
        <charset val="186"/>
      </rPr>
      <t>euro</t>
    </r>
    <r>
      <rPr>
        <sz val="12"/>
        <color theme="1"/>
        <rFont val="Times New Roman"/>
        <family val="1"/>
        <charset val="186"/>
      </rPr>
      <t xml:space="preserve">. Saimniecības pārzinis (259,68 </t>
    </r>
    <r>
      <rPr>
        <i/>
        <sz val="12"/>
        <color theme="1"/>
        <rFont val="Times New Roman"/>
        <family val="1"/>
        <charset val="186"/>
      </rPr>
      <t>euro</t>
    </r>
    <r>
      <rPr>
        <sz val="12"/>
        <color theme="1"/>
        <rFont val="Times New Roman"/>
        <family val="1"/>
        <charset val="186"/>
      </rPr>
      <t xml:space="preserve"> * 10%) = 25,97 </t>
    </r>
    <r>
      <rPr>
        <i/>
        <sz val="12"/>
        <color theme="1"/>
        <rFont val="Times New Roman"/>
        <family val="1"/>
        <charset val="186"/>
      </rPr>
      <t>euro.</t>
    </r>
    <r>
      <rPr>
        <sz val="12"/>
        <color theme="1"/>
        <rFont val="Times New Roman"/>
        <family val="1"/>
        <charset val="186"/>
      </rPr>
      <t xml:space="preserve"> Kopā (19,68 </t>
    </r>
    <r>
      <rPr>
        <i/>
        <sz val="12"/>
        <color theme="1"/>
        <rFont val="Times New Roman"/>
        <family val="1"/>
        <charset val="186"/>
      </rPr>
      <t>euro</t>
    </r>
    <r>
      <rPr>
        <sz val="12"/>
        <color theme="1"/>
        <rFont val="Times New Roman"/>
        <family val="1"/>
        <charset val="186"/>
      </rPr>
      <t xml:space="preserve"> + 61,17 </t>
    </r>
    <r>
      <rPr>
        <i/>
        <sz val="12"/>
        <color theme="1"/>
        <rFont val="Times New Roman"/>
        <family val="1"/>
        <charset val="186"/>
      </rPr>
      <t>euro</t>
    </r>
    <r>
      <rPr>
        <sz val="12"/>
        <color theme="1"/>
        <rFont val="Times New Roman"/>
        <family val="1"/>
        <charset val="186"/>
      </rPr>
      <t xml:space="preserve"> + 25,97 </t>
    </r>
    <r>
      <rPr>
        <i/>
        <sz val="12"/>
        <color theme="1"/>
        <rFont val="Times New Roman"/>
        <family val="1"/>
        <charset val="186"/>
      </rPr>
      <t>euro</t>
    </r>
    <r>
      <rPr>
        <sz val="12"/>
        <color theme="1"/>
        <rFont val="Times New Roman"/>
        <family val="1"/>
        <charset val="186"/>
      </rPr>
      <t xml:space="preserve">) = 106,82 </t>
    </r>
    <r>
      <rPr>
        <i/>
        <sz val="12"/>
        <color theme="1"/>
        <rFont val="Times New Roman"/>
        <family val="1"/>
        <charset val="186"/>
      </rPr>
      <t>euro</t>
    </r>
    <r>
      <rPr>
        <sz val="12"/>
        <color theme="1"/>
        <rFont val="Times New Roman"/>
        <family val="1"/>
        <charset val="186"/>
      </rPr>
      <t>.</t>
    </r>
  </si>
  <si>
    <r>
      <t xml:space="preserve">Izdevumi par apkuri 4 986,54 </t>
    </r>
    <r>
      <rPr>
        <i/>
        <sz val="12"/>
        <color theme="1"/>
        <rFont val="Times New Roman"/>
        <family val="1"/>
        <charset val="186"/>
      </rPr>
      <t>euro</t>
    </r>
    <r>
      <rPr>
        <sz val="12"/>
        <color theme="1"/>
        <rFont val="Times New Roman"/>
        <family val="1"/>
        <charset val="186"/>
      </rPr>
      <t xml:space="preserve"> gadā * 0.1422 (iznomātās platības koeficients) = 709,09 euro.</t>
    </r>
  </si>
  <si>
    <r>
      <t xml:space="preserve">Izdevumi par ūdeni un kanalizāciju 379,31 euro gadā * 0.1422 (iznomātās platības koeficients) = 53,94 </t>
    </r>
    <r>
      <rPr>
        <i/>
        <sz val="12"/>
        <color theme="1"/>
        <rFont val="Times New Roman"/>
        <family val="1"/>
        <charset val="186"/>
      </rPr>
      <t>euro</t>
    </r>
    <r>
      <rPr>
        <sz val="12"/>
        <color theme="1"/>
        <rFont val="Times New Roman"/>
        <family val="1"/>
        <charset val="186"/>
      </rPr>
      <t>.</t>
    </r>
  </si>
  <si>
    <r>
      <t xml:space="preserve">Izdevumi par elektroenerģiju 1 575,16 euro gadā * 0.1422 (iznomātās platības koeficients) = 223,99 </t>
    </r>
    <r>
      <rPr>
        <i/>
        <sz val="12"/>
        <color theme="1"/>
        <rFont val="Times New Roman"/>
        <family val="1"/>
        <charset val="186"/>
      </rPr>
      <t>euro</t>
    </r>
    <r>
      <rPr>
        <sz val="12"/>
        <color theme="1"/>
        <rFont val="Times New Roman"/>
        <family val="1"/>
        <charset val="186"/>
      </rPr>
      <t>.</t>
    </r>
  </si>
  <si>
    <r>
      <t xml:space="preserve">Izdevumi par atkritumu izvešanu 539,08 </t>
    </r>
    <r>
      <rPr>
        <i/>
        <sz val="12"/>
        <color theme="1"/>
        <rFont val="Times New Roman"/>
        <family val="1"/>
        <charset val="186"/>
      </rPr>
      <t>euro</t>
    </r>
    <r>
      <rPr>
        <sz val="12"/>
        <color theme="1"/>
        <rFont val="Times New Roman"/>
        <family val="1"/>
        <charset val="186"/>
      </rPr>
      <t xml:space="preserve"> gadā * 0.1422 (iznomātās platības koeficients) = 76,66 </t>
    </r>
    <r>
      <rPr>
        <i/>
        <sz val="12"/>
        <color theme="1"/>
        <rFont val="Times New Roman"/>
        <family val="1"/>
        <charset val="186"/>
      </rPr>
      <t>euro</t>
    </r>
    <r>
      <rPr>
        <sz val="12"/>
        <color theme="1"/>
        <rFont val="Times New Roman"/>
        <family val="1"/>
        <charset val="186"/>
      </rPr>
      <t>.</t>
    </r>
  </si>
  <si>
    <r>
      <t xml:space="preserve">Kārtējā remonta izdevumi 83,31 </t>
    </r>
    <r>
      <rPr>
        <i/>
        <sz val="12"/>
        <color theme="1"/>
        <rFont val="Times New Roman"/>
        <family val="1"/>
        <charset val="186"/>
      </rPr>
      <t>euro</t>
    </r>
    <r>
      <rPr>
        <sz val="12"/>
        <color theme="1"/>
        <rFont val="Times New Roman"/>
        <family val="1"/>
        <charset val="186"/>
      </rPr>
      <t xml:space="preserve"> gadā * 0.1422 (iznomātās platības koeficients) = 11,85 </t>
    </r>
    <r>
      <rPr>
        <i/>
        <sz val="12"/>
        <color theme="1"/>
        <rFont val="Times New Roman"/>
        <family val="1"/>
        <charset val="186"/>
      </rPr>
      <t>euro.</t>
    </r>
  </si>
  <si>
    <r>
      <t xml:space="preserve">Iekārtu, aparatūras apkope un remonts, avāriju bojājumu novēršanas izdevumi 51,72 </t>
    </r>
    <r>
      <rPr>
        <i/>
        <sz val="12"/>
        <color theme="1"/>
        <rFont val="Times New Roman"/>
        <family val="1"/>
        <charset val="186"/>
      </rPr>
      <t>euro</t>
    </r>
    <r>
      <rPr>
        <sz val="12"/>
        <color theme="1"/>
        <rFont val="Times New Roman"/>
        <family val="1"/>
        <charset val="186"/>
      </rPr>
      <t xml:space="preserve"> gadā * 0.1422 (iznomātās platības koeficients) = 7,35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</si>
  <si>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2 795,43 </t>
    </r>
    <r>
      <rPr>
        <i/>
        <sz val="12"/>
        <color theme="1"/>
        <rFont val="Times New Roman"/>
        <family val="1"/>
        <charset val="186"/>
      </rPr>
      <t>euro</t>
    </r>
    <r>
      <rPr>
        <sz val="12"/>
        <color theme="1"/>
        <rFont val="Times New Roman"/>
        <family val="1"/>
        <charset val="186"/>
      </rPr>
      <t xml:space="preserve"> gadā * 0.1422 (iznomātās platības koeficients) = 397,51 </t>
    </r>
    <r>
      <rPr>
        <i/>
        <sz val="12"/>
        <color theme="1"/>
        <rFont val="Times New Roman"/>
        <family val="1"/>
        <charset val="186"/>
      </rPr>
      <t>euro</t>
    </r>
    <r>
      <rPr>
        <sz val="12"/>
        <color theme="1"/>
        <rFont val="Times New Roman"/>
        <family val="1"/>
        <charset val="186"/>
      </rPr>
      <t>.</t>
    </r>
  </si>
  <si>
    <r>
      <t xml:space="preserve">Pārējie uzturēšanas izdevumi 52,26 </t>
    </r>
    <r>
      <rPr>
        <i/>
        <sz val="12"/>
        <color theme="1"/>
        <rFont val="Times New Roman"/>
        <family val="1"/>
        <charset val="186"/>
      </rPr>
      <t>euro</t>
    </r>
    <r>
      <rPr>
        <sz val="12"/>
        <color theme="1"/>
        <rFont val="Times New Roman"/>
        <family val="1"/>
        <charset val="186"/>
      </rPr>
      <t xml:space="preserve"> gadā * 0.1422 (iznomātās platības koeficients) = 7,43 </t>
    </r>
    <r>
      <rPr>
        <i/>
        <sz val="12"/>
        <color theme="1"/>
        <rFont val="Times New Roman"/>
        <family val="1"/>
        <charset val="186"/>
      </rPr>
      <t>euro</t>
    </r>
    <r>
      <rPr>
        <sz val="12"/>
        <color theme="1"/>
        <rFont val="Times New Roman"/>
        <family val="1"/>
        <charset val="186"/>
      </rPr>
      <t>.</t>
    </r>
  </si>
  <si>
    <r>
      <t xml:space="preserve">Inventāra iegādes izdevumi 80,80 </t>
    </r>
    <r>
      <rPr>
        <i/>
        <sz val="12"/>
        <color theme="1"/>
        <rFont val="Times New Roman"/>
        <family val="1"/>
        <charset val="186"/>
      </rPr>
      <t>euro</t>
    </r>
    <r>
      <rPr>
        <sz val="12"/>
        <color theme="1"/>
        <rFont val="Times New Roman"/>
        <family val="1"/>
        <charset val="186"/>
      </rPr>
      <t xml:space="preserve"> gadā * 0.1422 (iznomātās platības koeficients) = 11,49 </t>
    </r>
    <r>
      <rPr>
        <i/>
        <sz val="12"/>
        <color theme="1"/>
        <rFont val="Times New Roman"/>
        <family val="1"/>
        <charset val="186"/>
      </rPr>
      <t>euro</t>
    </r>
    <r>
      <rPr>
        <sz val="12"/>
        <color theme="1"/>
        <rFont val="Times New Roman"/>
        <family val="1"/>
        <charset val="186"/>
      </rPr>
      <t>.</t>
    </r>
  </si>
  <si>
    <r>
      <t xml:space="preserve">Nekustamā īpašuma nodoklis 82,65 </t>
    </r>
    <r>
      <rPr>
        <i/>
        <sz val="12"/>
        <color theme="1"/>
        <rFont val="Times New Roman"/>
        <family val="1"/>
        <charset val="186"/>
      </rPr>
      <t>euro</t>
    </r>
    <r>
      <rPr>
        <sz val="12"/>
        <color theme="1"/>
        <rFont val="Times New Roman"/>
        <family val="1"/>
        <charset val="186"/>
      </rPr>
      <t xml:space="preserve"> gadā * 0.1422 (iznomātās platības koeficients) = 11,75 </t>
    </r>
    <r>
      <rPr>
        <i/>
        <sz val="12"/>
        <color theme="1"/>
        <rFont val="Times New Roman"/>
        <family val="1"/>
        <charset val="186"/>
      </rPr>
      <t>euro</t>
    </r>
    <r>
      <rPr>
        <sz val="12"/>
        <color theme="1"/>
        <rFont val="Times New Roman"/>
        <family val="1"/>
        <charset val="186"/>
      </rPr>
      <t>.</t>
    </r>
  </si>
  <si>
    <r>
      <t xml:space="preserve">Ēku amortizācija 181,87 </t>
    </r>
    <r>
      <rPr>
        <i/>
        <sz val="12"/>
        <color theme="1"/>
        <rFont val="Times New Roman"/>
        <family val="1"/>
        <charset val="186"/>
      </rPr>
      <t>euro</t>
    </r>
    <r>
      <rPr>
        <sz val="12"/>
        <color theme="1"/>
        <rFont val="Times New Roman"/>
        <family val="1"/>
        <charset val="186"/>
      </rPr>
      <t xml:space="preserve"> gadā * 0.1422 (iznomātās platības koeficients) = 25,86 </t>
    </r>
    <r>
      <rPr>
        <i/>
        <sz val="12"/>
        <color theme="1"/>
        <rFont val="Times New Roman"/>
        <family val="1"/>
        <charset val="186"/>
      </rPr>
      <t>euro</t>
    </r>
    <r>
      <rPr>
        <sz val="12"/>
        <color theme="1"/>
        <rFont val="Times New Roman"/>
        <family val="1"/>
        <charset val="186"/>
      </rPr>
      <t>.</t>
    </r>
  </si>
  <si>
    <r>
      <t xml:space="preserve">Pamatlīdzekļu amortizācija 268,80 </t>
    </r>
    <r>
      <rPr>
        <i/>
        <sz val="12"/>
        <color theme="1"/>
        <rFont val="Times New Roman"/>
        <family val="1"/>
        <charset val="186"/>
      </rPr>
      <t>euro</t>
    </r>
    <r>
      <rPr>
        <sz val="12"/>
        <color theme="1"/>
        <rFont val="Times New Roman"/>
        <family val="1"/>
        <charset val="186"/>
      </rPr>
      <t xml:space="preserve"> gadā * 0.1422 (iznomātās platības koeficients) = 38,22 </t>
    </r>
    <r>
      <rPr>
        <i/>
        <sz val="12"/>
        <color theme="1"/>
        <rFont val="Times New Roman"/>
        <family val="1"/>
        <charset val="186"/>
      </rPr>
      <t>euro</t>
    </r>
    <r>
      <rPr>
        <sz val="12"/>
        <color theme="1"/>
        <rFont val="Times New Roman"/>
        <family val="1"/>
        <charset val="186"/>
      </rPr>
      <t>.</t>
    </r>
  </si>
  <si>
    <r>
      <rPr>
        <b/>
        <i/>
        <sz val="12"/>
        <color theme="1"/>
        <rFont val="Times New Roman"/>
        <family val="1"/>
        <charset val="186"/>
      </rPr>
      <t>euro</t>
    </r>
    <r>
      <rPr>
        <b/>
        <sz val="12"/>
        <color theme="1"/>
        <rFont val="Times New Roman"/>
        <family val="1"/>
        <charset val="186"/>
      </rPr>
      <t>,  mēnesī par numuru</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</si>
  <si>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8 stundas, (8,14 </t>
    </r>
    <r>
      <rPr>
        <i/>
        <sz val="12"/>
        <color theme="1"/>
        <rFont val="Times New Roman"/>
        <family val="1"/>
        <charset val="186"/>
      </rPr>
      <t>euro</t>
    </r>
    <r>
      <rPr>
        <sz val="12"/>
        <color theme="1"/>
        <rFont val="Times New Roman"/>
        <family val="1"/>
        <charset val="186"/>
      </rPr>
      <t xml:space="preserve"> * 8 h) = 65,12 </t>
    </r>
    <r>
      <rPr>
        <i/>
        <sz val="12"/>
        <color theme="1"/>
        <rFont val="Times New Roman"/>
        <family val="1"/>
        <charset val="186"/>
      </rPr>
      <t>euro</t>
    </r>
    <r>
      <rPr>
        <sz val="12"/>
        <color theme="1"/>
        <rFont val="Times New Roman"/>
        <family val="1"/>
        <charset val="186"/>
      </rPr>
      <t xml:space="preserve">/mēn. * 12 mēn. = 781,44 </t>
    </r>
    <r>
      <rPr>
        <i/>
        <sz val="12"/>
        <color theme="1"/>
        <rFont val="Times New Roman"/>
        <family val="1"/>
        <charset val="186"/>
      </rPr>
      <t>euro</t>
    </r>
    <r>
      <rPr>
        <sz val="12"/>
        <color theme="1"/>
        <rFont val="Times New Roman"/>
        <family val="1"/>
        <charset val="186"/>
      </rPr>
      <t xml:space="preserve"> * 0.1422 (iznomātās platības koeficients) = 111,12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</si>
  <si>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23.89 stundas, (8,14 </t>
    </r>
    <r>
      <rPr>
        <i/>
        <sz val="12"/>
        <color theme="1"/>
        <rFont val="Times New Roman"/>
        <family val="1"/>
        <charset val="186"/>
      </rPr>
      <t>euro</t>
    </r>
    <r>
      <rPr>
        <sz val="12"/>
        <color theme="1"/>
        <rFont val="Times New Roman"/>
        <family val="1"/>
        <charset val="186"/>
      </rPr>
      <t xml:space="preserve"> * 23.89 h) = 194,46 </t>
    </r>
    <r>
      <rPr>
        <i/>
        <sz val="12"/>
        <color theme="1"/>
        <rFont val="Times New Roman"/>
        <family val="1"/>
        <charset val="186"/>
      </rPr>
      <t>euro</t>
    </r>
    <r>
      <rPr>
        <sz val="12"/>
        <color theme="1"/>
        <rFont val="Times New Roman"/>
        <family val="1"/>
        <charset val="186"/>
      </rPr>
      <t xml:space="preserve">/mēn. * 12 mēn. = 2 333,52 </t>
    </r>
    <r>
      <rPr>
        <i/>
        <sz val="12"/>
        <color theme="1"/>
        <rFont val="Times New Roman"/>
        <family val="1"/>
        <charset val="186"/>
      </rPr>
      <t>euro</t>
    </r>
    <r>
      <rPr>
        <sz val="12"/>
        <color theme="1"/>
        <rFont val="Times New Roman"/>
        <family val="1"/>
        <charset val="186"/>
      </rPr>
      <t xml:space="preserve"> * 0.1422 (iznomātās platības koeficients) = 331,83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</si>
  <si>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16 stundas, (5,37 </t>
    </r>
    <r>
      <rPr>
        <i/>
        <sz val="12"/>
        <color theme="1"/>
        <rFont val="Times New Roman"/>
        <family val="1"/>
        <charset val="186"/>
      </rPr>
      <t>euro</t>
    </r>
    <r>
      <rPr>
        <sz val="12"/>
        <color theme="1"/>
        <rFont val="Times New Roman"/>
        <family val="1"/>
        <charset val="186"/>
      </rPr>
      <t xml:space="preserve"> * 16 h) = 85,92 </t>
    </r>
    <r>
      <rPr>
        <i/>
        <sz val="12"/>
        <color theme="1"/>
        <rFont val="Times New Roman"/>
        <family val="1"/>
        <charset val="186"/>
      </rPr>
      <t>euro</t>
    </r>
    <r>
      <rPr>
        <sz val="12"/>
        <color theme="1"/>
        <rFont val="Times New Roman"/>
        <family val="1"/>
        <charset val="186"/>
      </rPr>
      <t xml:space="preserve">/mēn. * 12 mēn. = 1 031,04 </t>
    </r>
    <r>
      <rPr>
        <i/>
        <sz val="12"/>
        <color theme="1"/>
        <rFont val="Times New Roman"/>
        <family val="1"/>
        <charset val="186"/>
      </rPr>
      <t>euro</t>
    </r>
    <r>
      <rPr>
        <sz val="12"/>
        <color theme="1"/>
        <rFont val="Times New Roman"/>
        <family val="1"/>
        <charset val="186"/>
      </rPr>
      <t xml:space="preserve"> * 0.1422 (iznomātās platības koeficients) = 146,61 </t>
    </r>
    <r>
      <rPr>
        <i/>
        <sz val="12"/>
        <color theme="1"/>
        <rFont val="Times New Roman"/>
        <family val="1"/>
        <charset val="186"/>
      </rPr>
      <t>euro</t>
    </r>
    <r>
      <rPr>
        <sz val="12"/>
        <color theme="1"/>
        <rFont val="Times New Roman"/>
        <family val="1"/>
        <charset val="186"/>
      </rPr>
      <t xml:space="preserve">. </t>
    </r>
  </si>
  <si>
    <r>
      <t xml:space="preserve">Galv. nekust. īpaš. pārvaldnieks (111,12 </t>
    </r>
    <r>
      <rPr>
        <i/>
        <sz val="12"/>
        <color theme="1"/>
        <rFont val="Times New Roman"/>
        <family val="1"/>
        <charset val="186"/>
      </rPr>
      <t>euro</t>
    </r>
    <r>
      <rPr>
        <sz val="12"/>
        <color theme="1"/>
        <rFont val="Times New Roman"/>
        <family val="1"/>
        <charset val="186"/>
      </rPr>
      <t xml:space="preserve"> * 10%) = 11,11 </t>
    </r>
    <r>
      <rPr>
        <i/>
        <sz val="12"/>
        <color theme="1"/>
        <rFont val="Times New Roman"/>
        <family val="1"/>
        <charset val="186"/>
      </rPr>
      <t>euro</t>
    </r>
    <r>
      <rPr>
        <sz val="12"/>
        <color theme="1"/>
        <rFont val="Times New Roman"/>
        <family val="1"/>
        <charset val="186"/>
      </rPr>
      <t xml:space="preserve">, Dienesta viesnīcas vadīotājs (331,83 </t>
    </r>
    <r>
      <rPr>
        <i/>
        <sz val="12"/>
        <color theme="1"/>
        <rFont val="Times New Roman"/>
        <family val="1"/>
        <charset val="186"/>
      </rPr>
      <t>euro</t>
    </r>
    <r>
      <rPr>
        <sz val="12"/>
        <color theme="1"/>
        <rFont val="Times New Roman"/>
        <family val="1"/>
        <charset val="186"/>
      </rPr>
      <t xml:space="preserve"> * 10%) = 33,18 </t>
    </r>
    <r>
      <rPr>
        <i/>
        <sz val="12"/>
        <color theme="1"/>
        <rFont val="Times New Roman"/>
        <family val="1"/>
        <charset val="186"/>
      </rPr>
      <t>euro</t>
    </r>
    <r>
      <rPr>
        <sz val="12"/>
        <color theme="1"/>
        <rFont val="Times New Roman"/>
        <family val="1"/>
        <charset val="186"/>
      </rPr>
      <t xml:space="preserve">. Saimniecības pārzinis (146,61 </t>
    </r>
    <r>
      <rPr>
        <i/>
        <sz val="12"/>
        <color theme="1"/>
        <rFont val="Times New Roman"/>
        <family val="1"/>
        <charset val="186"/>
      </rPr>
      <t>euro</t>
    </r>
    <r>
      <rPr>
        <sz val="12"/>
        <color theme="1"/>
        <rFont val="Times New Roman"/>
        <family val="1"/>
        <charset val="186"/>
      </rPr>
      <t xml:space="preserve"> * 10%) = 14,66 </t>
    </r>
    <r>
      <rPr>
        <i/>
        <sz val="12"/>
        <color theme="1"/>
        <rFont val="Times New Roman"/>
        <family val="1"/>
        <charset val="186"/>
      </rPr>
      <t>euro.</t>
    </r>
    <r>
      <rPr>
        <sz val="12"/>
        <color theme="1"/>
        <rFont val="Times New Roman"/>
        <family val="1"/>
        <charset val="186"/>
      </rPr>
      <t xml:space="preserve"> Kopā (11,11 </t>
    </r>
    <r>
      <rPr>
        <i/>
        <sz val="12"/>
        <color theme="1"/>
        <rFont val="Times New Roman"/>
        <family val="1"/>
        <charset val="186"/>
      </rPr>
      <t>euro</t>
    </r>
    <r>
      <rPr>
        <sz val="12"/>
        <color theme="1"/>
        <rFont val="Times New Roman"/>
        <family val="1"/>
        <charset val="186"/>
      </rPr>
      <t xml:space="preserve"> + 33,18 </t>
    </r>
    <r>
      <rPr>
        <i/>
        <sz val="12"/>
        <color theme="1"/>
        <rFont val="Times New Roman"/>
        <family val="1"/>
        <charset val="186"/>
      </rPr>
      <t>euro</t>
    </r>
    <r>
      <rPr>
        <sz val="12"/>
        <color theme="1"/>
        <rFont val="Times New Roman"/>
        <family val="1"/>
        <charset val="186"/>
      </rPr>
      <t xml:space="preserve"> + 14,66 </t>
    </r>
    <r>
      <rPr>
        <i/>
        <sz val="12"/>
        <color theme="1"/>
        <rFont val="Times New Roman"/>
        <family val="1"/>
        <charset val="186"/>
      </rPr>
      <t>euro</t>
    </r>
    <r>
      <rPr>
        <sz val="12"/>
        <color theme="1"/>
        <rFont val="Times New Roman"/>
        <family val="1"/>
        <charset val="186"/>
      </rPr>
      <t xml:space="preserve">) = 58,95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</si>
  <si>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166.92 (vid. d. stundu sk. mēnesī). Vid. mēn. noslogojums 2 stundas, (11,47 </t>
    </r>
    <r>
      <rPr>
        <i/>
        <sz val="12"/>
        <color theme="1"/>
        <rFont val="Times New Roman"/>
        <family val="1"/>
        <charset val="186"/>
      </rPr>
      <t>euro</t>
    </r>
    <r>
      <rPr>
        <sz val="12"/>
        <color theme="1"/>
        <rFont val="Times New Roman"/>
        <family val="1"/>
        <charset val="186"/>
      </rPr>
      <t xml:space="preserve"> * 2 h) = 22,94 </t>
    </r>
    <r>
      <rPr>
        <i/>
        <sz val="12"/>
        <color theme="1"/>
        <rFont val="Times New Roman"/>
        <family val="1"/>
        <charset val="186"/>
      </rPr>
      <t>euro</t>
    </r>
    <r>
      <rPr>
        <sz val="12"/>
        <color theme="1"/>
        <rFont val="Times New Roman"/>
        <family val="1"/>
        <charset val="186"/>
      </rPr>
      <t xml:space="preserve">/mēn. * 12. mēn. = 275,28 </t>
    </r>
    <r>
      <rPr>
        <i/>
        <sz val="12"/>
        <color theme="1"/>
        <rFont val="Times New Roman"/>
        <family val="1"/>
        <charset val="186"/>
      </rPr>
      <t>euro</t>
    </r>
    <r>
      <rPr>
        <sz val="12"/>
        <color theme="1"/>
        <rFont val="Times New Roman"/>
        <family val="1"/>
        <charset val="186"/>
      </rPr>
      <t xml:space="preserve"> * 0.1422 (iznomātās platības koeficients) = 39,14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</si>
  <si>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9 min. (11,24 </t>
    </r>
    <r>
      <rPr>
        <i/>
        <sz val="12"/>
        <color theme="1"/>
        <rFont val="Times New Roman"/>
        <family val="1"/>
        <charset val="186"/>
      </rPr>
      <t>euro</t>
    </r>
    <r>
      <rPr>
        <sz val="12"/>
        <color theme="1"/>
        <rFont val="Times New Roman"/>
        <family val="1"/>
        <charset val="186"/>
      </rPr>
      <t xml:space="preserve"> * 0.15 h) = 1,69 </t>
    </r>
    <r>
      <rPr>
        <i/>
        <sz val="12"/>
        <color theme="1"/>
        <rFont val="Times New Roman"/>
        <family val="1"/>
        <charset val="186"/>
      </rPr>
      <t>euro</t>
    </r>
    <r>
      <rPr>
        <sz val="12"/>
        <color theme="1"/>
        <rFont val="Times New Roman"/>
        <family val="1"/>
        <charset val="186"/>
      </rPr>
      <t xml:space="preserve">/mēn. * 12. mēn. = 20,28 </t>
    </r>
    <r>
      <rPr>
        <i/>
        <sz val="12"/>
        <color theme="1"/>
        <rFont val="Times New Roman"/>
        <family val="1"/>
        <charset val="186"/>
      </rPr>
      <t>euro</t>
    </r>
    <r>
      <rPr>
        <sz val="12"/>
        <color theme="1"/>
        <rFont val="Times New Roman"/>
        <family val="1"/>
        <charset val="186"/>
      </rPr>
      <t xml:space="preserve"> * 0.1422 (iznomātās platības koeficients) = 2,88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</si>
  <si>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8 min. (7,58 </t>
    </r>
    <r>
      <rPr>
        <i/>
        <sz val="12"/>
        <color theme="1"/>
        <rFont val="Times New Roman"/>
        <family val="1"/>
        <charset val="186"/>
      </rPr>
      <t>euro</t>
    </r>
    <r>
      <rPr>
        <sz val="12"/>
        <color theme="1"/>
        <rFont val="Times New Roman"/>
        <family val="1"/>
        <charset val="186"/>
      </rPr>
      <t xml:space="preserve"> * 0.14 h) = 1,06 </t>
    </r>
    <r>
      <rPr>
        <i/>
        <sz val="12"/>
        <color theme="1"/>
        <rFont val="Times New Roman"/>
        <family val="1"/>
        <charset val="186"/>
      </rPr>
      <t>euro</t>
    </r>
    <r>
      <rPr>
        <sz val="12"/>
        <color theme="1"/>
        <rFont val="Times New Roman"/>
        <family val="1"/>
        <charset val="186"/>
      </rPr>
      <t xml:space="preserve">/mēn. * 12. mēn. = 12,72 </t>
    </r>
    <r>
      <rPr>
        <i/>
        <sz val="12"/>
        <color theme="1"/>
        <rFont val="Times New Roman"/>
        <family val="1"/>
        <charset val="186"/>
      </rPr>
      <t>euro</t>
    </r>
    <r>
      <rPr>
        <sz val="12"/>
        <color theme="1"/>
        <rFont val="Times New Roman"/>
        <family val="1"/>
        <charset val="186"/>
      </rPr>
      <t xml:space="preserve"> * 0.1422 (iznomātās platības koeficients) = 1,81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</si>
  <si>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8 min. (11,22 </t>
    </r>
    <r>
      <rPr>
        <i/>
        <sz val="12"/>
        <color theme="1"/>
        <rFont val="Times New Roman"/>
        <family val="1"/>
        <charset val="186"/>
      </rPr>
      <t>euro</t>
    </r>
    <r>
      <rPr>
        <sz val="12"/>
        <color theme="1"/>
        <rFont val="Times New Roman"/>
        <family val="1"/>
        <charset val="186"/>
      </rPr>
      <t xml:space="preserve"> * 0.14 h) = 1,57 </t>
    </r>
    <r>
      <rPr>
        <i/>
        <sz val="12"/>
        <color theme="1"/>
        <rFont val="Times New Roman"/>
        <family val="1"/>
        <charset val="186"/>
      </rPr>
      <t>euro</t>
    </r>
    <r>
      <rPr>
        <sz val="12"/>
        <color theme="1"/>
        <rFont val="Times New Roman"/>
        <family val="1"/>
        <charset val="186"/>
      </rPr>
      <t xml:space="preserve">/mēn. * 12. mēn. = 18,84 </t>
    </r>
    <r>
      <rPr>
        <i/>
        <sz val="12"/>
        <color theme="1"/>
        <rFont val="Times New Roman"/>
        <family val="1"/>
        <charset val="186"/>
      </rPr>
      <t>euro</t>
    </r>
    <r>
      <rPr>
        <sz val="12"/>
        <color theme="1"/>
        <rFont val="Times New Roman"/>
        <family val="1"/>
        <charset val="186"/>
      </rPr>
      <t xml:space="preserve"> * 0.1422 (iznomātās platības koeficients) = 2,68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</si>
  <si>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31 min. (15,03 </t>
    </r>
    <r>
      <rPr>
        <i/>
        <sz val="12"/>
        <color theme="1"/>
        <rFont val="Times New Roman"/>
        <family val="1"/>
        <charset val="186"/>
      </rPr>
      <t>euro</t>
    </r>
    <r>
      <rPr>
        <sz val="12"/>
        <color theme="1"/>
        <rFont val="Times New Roman"/>
        <family val="1"/>
        <charset val="186"/>
      </rPr>
      <t xml:space="preserve"> * 0.52 h) = 7,82 </t>
    </r>
    <r>
      <rPr>
        <i/>
        <sz val="12"/>
        <color theme="1"/>
        <rFont val="Times New Roman"/>
        <family val="1"/>
        <charset val="186"/>
      </rPr>
      <t>euro</t>
    </r>
    <r>
      <rPr>
        <sz val="12"/>
        <color theme="1"/>
        <rFont val="Times New Roman"/>
        <family val="1"/>
        <charset val="186"/>
      </rPr>
      <t xml:space="preserve">/mēn. * 12. mēn. = 93,84 </t>
    </r>
    <r>
      <rPr>
        <i/>
        <sz val="12"/>
        <color theme="1"/>
        <rFont val="Times New Roman"/>
        <family val="1"/>
        <charset val="186"/>
      </rPr>
      <t>euro</t>
    </r>
    <r>
      <rPr>
        <sz val="12"/>
        <color theme="1"/>
        <rFont val="Times New Roman"/>
        <family val="1"/>
        <charset val="186"/>
      </rPr>
      <t xml:space="preserve"> * 0.1422 (iznomātās platības koeficients) = 13,34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</si>
  <si>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8 min. (12,07 </t>
    </r>
    <r>
      <rPr>
        <i/>
        <sz val="12"/>
        <color theme="1"/>
        <rFont val="Times New Roman"/>
        <family val="1"/>
        <charset val="186"/>
      </rPr>
      <t>euro</t>
    </r>
    <r>
      <rPr>
        <sz val="12"/>
        <color theme="1"/>
        <rFont val="Times New Roman"/>
        <family val="1"/>
        <charset val="186"/>
      </rPr>
      <t xml:space="preserve"> * 0.13 h) = 1,57 </t>
    </r>
    <r>
      <rPr>
        <i/>
        <sz val="12"/>
        <color theme="1"/>
        <rFont val="Times New Roman"/>
        <family val="1"/>
        <charset val="186"/>
      </rPr>
      <t>euro</t>
    </r>
    <r>
      <rPr>
        <sz val="12"/>
        <color theme="1"/>
        <rFont val="Times New Roman"/>
        <family val="1"/>
        <charset val="186"/>
      </rPr>
      <t xml:space="preserve">/mēn. * 12. mēn. = 18,84 </t>
    </r>
    <r>
      <rPr>
        <i/>
        <sz val="12"/>
        <color theme="1"/>
        <rFont val="Times New Roman"/>
        <family val="1"/>
        <charset val="186"/>
      </rPr>
      <t>euro</t>
    </r>
    <r>
      <rPr>
        <sz val="12"/>
        <color theme="1"/>
        <rFont val="Times New Roman"/>
        <family val="1"/>
        <charset val="186"/>
      </rPr>
      <t xml:space="preserve"> * 0.1422 (iznomātās platības koeficients) = 2,68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</si>
  <si>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9.23 stunda, (8,22 </t>
    </r>
    <r>
      <rPr>
        <i/>
        <sz val="12"/>
        <color theme="1"/>
        <rFont val="Times New Roman"/>
        <family val="1"/>
        <charset val="186"/>
      </rPr>
      <t>euro</t>
    </r>
    <r>
      <rPr>
        <sz val="12"/>
        <color theme="1"/>
        <rFont val="Times New Roman"/>
        <family val="1"/>
        <charset val="186"/>
      </rPr>
      <t xml:space="preserve"> * 9.23 h) = 75,87 </t>
    </r>
    <r>
      <rPr>
        <i/>
        <sz val="12"/>
        <color theme="1"/>
        <rFont val="Times New Roman"/>
        <family val="1"/>
        <charset val="186"/>
      </rPr>
      <t>euro</t>
    </r>
    <r>
      <rPr>
        <sz val="12"/>
        <color theme="1"/>
        <rFont val="Times New Roman"/>
        <family val="1"/>
        <charset val="186"/>
      </rPr>
      <t xml:space="preserve">/mēn. * 12. mēn. = 910,44 </t>
    </r>
    <r>
      <rPr>
        <i/>
        <sz val="12"/>
        <color theme="1"/>
        <rFont val="Times New Roman"/>
        <family val="1"/>
        <charset val="186"/>
      </rPr>
      <t>euro</t>
    </r>
    <r>
      <rPr>
        <sz val="12"/>
        <color theme="1"/>
        <rFont val="Times New Roman"/>
        <family val="1"/>
        <charset val="186"/>
      </rPr>
      <t xml:space="preserve"> * 0.1422 (iznomātās platības koeficients) = 129,46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</si>
  <si>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5.93 stunda (9,11 </t>
    </r>
    <r>
      <rPr>
        <i/>
        <sz val="12"/>
        <color theme="1"/>
        <rFont val="Times New Roman"/>
        <family val="1"/>
        <charset val="186"/>
      </rPr>
      <t>euro</t>
    </r>
    <r>
      <rPr>
        <sz val="12"/>
        <color theme="1"/>
        <rFont val="Times New Roman"/>
        <family val="1"/>
        <charset val="186"/>
      </rPr>
      <t xml:space="preserve"> * 5.93 h) = 54,02 </t>
    </r>
    <r>
      <rPr>
        <i/>
        <sz val="12"/>
        <color theme="1"/>
        <rFont val="Times New Roman"/>
        <family val="1"/>
        <charset val="186"/>
      </rPr>
      <t>euro</t>
    </r>
    <r>
      <rPr>
        <sz val="12"/>
        <color theme="1"/>
        <rFont val="Times New Roman"/>
        <family val="1"/>
        <charset val="186"/>
      </rPr>
      <t xml:space="preserve">/mēn. * 12. mēn. = 648,24 </t>
    </r>
    <r>
      <rPr>
        <i/>
        <sz val="12"/>
        <color theme="1"/>
        <rFont val="Times New Roman"/>
        <family val="1"/>
        <charset val="186"/>
      </rPr>
      <t>euro</t>
    </r>
    <r>
      <rPr>
        <sz val="12"/>
        <color theme="1"/>
        <rFont val="Times New Roman"/>
        <family val="1"/>
        <charset val="186"/>
      </rPr>
      <t xml:space="preserve"> * 0.1422 (iznomātās platības koeficients) = 92,18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</si>
  <si>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13.63 stunda (8,22 </t>
    </r>
    <r>
      <rPr>
        <i/>
        <sz val="12"/>
        <color theme="1"/>
        <rFont val="Times New Roman"/>
        <family val="1"/>
        <charset val="186"/>
      </rPr>
      <t>euro</t>
    </r>
    <r>
      <rPr>
        <sz val="12"/>
        <color theme="1"/>
        <rFont val="Times New Roman"/>
        <family val="1"/>
        <charset val="186"/>
      </rPr>
      <t xml:space="preserve"> * 13.63 h) = 112,04 </t>
    </r>
    <r>
      <rPr>
        <i/>
        <sz val="12"/>
        <color theme="1"/>
        <rFont val="Times New Roman"/>
        <family val="1"/>
        <charset val="186"/>
      </rPr>
      <t>euro</t>
    </r>
    <r>
      <rPr>
        <sz val="12"/>
        <color theme="1"/>
        <rFont val="Times New Roman"/>
        <family val="1"/>
        <charset val="186"/>
      </rPr>
      <t xml:space="preserve">/mēn. * 12. mēn. = 1 344,48 </t>
    </r>
    <r>
      <rPr>
        <i/>
        <sz val="12"/>
        <color theme="1"/>
        <rFont val="Times New Roman"/>
        <family val="1"/>
        <charset val="186"/>
      </rPr>
      <t>euro</t>
    </r>
    <r>
      <rPr>
        <sz val="12"/>
        <color theme="1"/>
        <rFont val="Times New Roman"/>
        <family val="1"/>
        <charset val="186"/>
      </rPr>
      <t xml:space="preserve"> * 0.1422 (iznomātās platības koeficients) = 191,19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</si>
  <si>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9 min. (26,96 </t>
    </r>
    <r>
      <rPr>
        <i/>
        <sz val="12"/>
        <color theme="1"/>
        <rFont val="Times New Roman"/>
        <family val="1"/>
        <charset val="186"/>
      </rPr>
      <t>euro</t>
    </r>
    <r>
      <rPr>
        <sz val="12"/>
        <color theme="1"/>
        <rFont val="Times New Roman"/>
        <family val="1"/>
        <charset val="186"/>
      </rPr>
      <t xml:space="preserve"> * 0.15 h) = 4,04 </t>
    </r>
    <r>
      <rPr>
        <i/>
        <sz val="12"/>
        <color theme="1"/>
        <rFont val="Times New Roman"/>
        <family val="1"/>
        <charset val="186"/>
      </rPr>
      <t>euro</t>
    </r>
    <r>
      <rPr>
        <sz val="12"/>
        <color theme="1"/>
        <rFont val="Times New Roman"/>
        <family val="1"/>
        <charset val="186"/>
      </rPr>
      <t xml:space="preserve">/mēn. * 12. mēn. = 48,48 </t>
    </r>
    <r>
      <rPr>
        <i/>
        <sz val="12"/>
        <color theme="1"/>
        <rFont val="Times New Roman"/>
        <family val="1"/>
        <charset val="186"/>
      </rPr>
      <t>euro</t>
    </r>
    <r>
      <rPr>
        <sz val="12"/>
        <color theme="1"/>
        <rFont val="Times New Roman"/>
        <family val="1"/>
        <charset val="186"/>
      </rPr>
      <t xml:space="preserve"> * 0.1422 (iznomātās platības koeficients) = 6,89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</si>
  <si>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aizkari, podu vāki, u.c. higiēnas, saimniecības preces) iegādes izdevumi 66,15 </t>
    </r>
    <r>
      <rPr>
        <i/>
        <sz val="12"/>
        <color theme="1"/>
        <rFont val="Times New Roman"/>
        <family val="1"/>
        <charset val="186"/>
      </rPr>
      <t>euro</t>
    </r>
    <r>
      <rPr>
        <sz val="12"/>
        <color theme="1"/>
        <rFont val="Times New Roman"/>
        <family val="1"/>
        <charset val="186"/>
      </rPr>
      <t xml:space="preserve"> gadā * 0.1422 (iznomātās platības koeficients) = 9,41 </t>
    </r>
    <r>
      <rPr>
        <i/>
        <sz val="12"/>
        <color theme="1"/>
        <rFont val="Times New Roman"/>
        <family val="1"/>
        <charset val="186"/>
      </rPr>
      <t>euro</t>
    </r>
    <r>
      <rPr>
        <sz val="12"/>
        <color theme="1"/>
        <rFont val="Times New Roman"/>
        <family val="1"/>
        <charset val="186"/>
      </rPr>
      <t>.</t>
    </r>
  </si>
  <si>
    <r>
      <t xml:space="preserve">Izdevumi par apkuri 4 986,54 </t>
    </r>
    <r>
      <rPr>
        <i/>
        <sz val="12"/>
        <color theme="1"/>
        <rFont val="Times New Roman"/>
        <family val="1"/>
        <charset val="186"/>
      </rPr>
      <t>euro</t>
    </r>
    <r>
      <rPr>
        <sz val="12"/>
        <color theme="1"/>
        <rFont val="Times New Roman"/>
        <family val="1"/>
        <charset val="186"/>
      </rPr>
      <t xml:space="preserve"> gadā * 0.8578 (iznomātās platības koeficients) = 4 277,45 </t>
    </r>
    <r>
      <rPr>
        <i/>
        <sz val="12"/>
        <color theme="1"/>
        <rFont val="Times New Roman"/>
        <family val="1"/>
        <charset val="186"/>
      </rPr>
      <t>euro.</t>
    </r>
  </si>
  <si>
    <r>
      <t xml:space="preserve">Izdevumi par ūdeni un kanalizāciju 379,31 </t>
    </r>
    <r>
      <rPr>
        <i/>
        <sz val="12"/>
        <color theme="1"/>
        <rFont val="Times New Roman"/>
        <family val="1"/>
        <charset val="186"/>
      </rPr>
      <t>euro</t>
    </r>
    <r>
      <rPr>
        <sz val="12"/>
        <color theme="1"/>
        <rFont val="Times New Roman"/>
        <family val="1"/>
        <charset val="186"/>
      </rPr>
      <t xml:space="preserve"> gadā * 0.8578 (iznomātās platības koeficients) = 325,37 </t>
    </r>
    <r>
      <rPr>
        <i/>
        <sz val="12"/>
        <color theme="1"/>
        <rFont val="Times New Roman"/>
        <family val="1"/>
        <charset val="186"/>
      </rPr>
      <t>euro.</t>
    </r>
  </si>
  <si>
    <r>
      <t xml:space="preserve">Izdevumi par elektroenerģiju 1 575,16 </t>
    </r>
    <r>
      <rPr>
        <i/>
        <sz val="12"/>
        <color theme="1"/>
        <rFont val="Times New Roman"/>
        <family val="1"/>
        <charset val="186"/>
      </rPr>
      <t>euro</t>
    </r>
    <r>
      <rPr>
        <sz val="12"/>
        <color theme="1"/>
        <rFont val="Times New Roman"/>
        <family val="1"/>
        <charset val="186"/>
      </rPr>
      <t xml:space="preserve"> gadā * 0.8578 (iznomātās platības koeficients) = 1 351,17 </t>
    </r>
    <r>
      <rPr>
        <i/>
        <sz val="12"/>
        <color theme="1"/>
        <rFont val="Times New Roman"/>
        <family val="1"/>
        <charset val="186"/>
      </rPr>
      <t>euro.</t>
    </r>
  </si>
  <si>
    <r>
      <t xml:space="preserve">Izdevumi par atkritumu izvešanu 539,08 </t>
    </r>
    <r>
      <rPr>
        <i/>
        <sz val="12"/>
        <color theme="1"/>
        <rFont val="Times New Roman"/>
        <family val="1"/>
        <charset val="186"/>
      </rPr>
      <t>euro</t>
    </r>
    <r>
      <rPr>
        <sz val="12"/>
        <color theme="1"/>
        <rFont val="Times New Roman"/>
        <family val="1"/>
        <charset val="186"/>
      </rPr>
      <t xml:space="preserve"> gadā * 0.8578 (iznomātās platības koeficients) = 462,42 </t>
    </r>
    <r>
      <rPr>
        <i/>
        <sz val="12"/>
        <color theme="1"/>
        <rFont val="Times New Roman"/>
        <family val="1"/>
        <charset val="186"/>
      </rPr>
      <t>euro.</t>
    </r>
  </si>
  <si>
    <r>
      <t xml:space="preserve">Kārtējā remonta izdevumi 83,31 </t>
    </r>
    <r>
      <rPr>
        <i/>
        <sz val="12"/>
        <color theme="1"/>
        <rFont val="Times New Roman"/>
        <family val="1"/>
        <charset val="186"/>
      </rPr>
      <t>euro</t>
    </r>
    <r>
      <rPr>
        <sz val="12"/>
        <color theme="1"/>
        <rFont val="Times New Roman"/>
        <family val="1"/>
        <charset val="186"/>
      </rPr>
      <t xml:space="preserve"> gadā * 0.8578 (iznomātās platības koeficients) = 71,46 </t>
    </r>
    <r>
      <rPr>
        <i/>
        <sz val="12"/>
        <color theme="1"/>
        <rFont val="Times New Roman"/>
        <family val="1"/>
        <charset val="186"/>
      </rPr>
      <t>euro.</t>
    </r>
  </si>
  <si>
    <r>
      <t xml:space="preserve">Iekārtu, aparatūras apkope un remonts, avāriju bojājumu novēršanas izdevumi 51,72 euro gadā * 0.8578 (iznomātās platības koeficients) = 44,37 </t>
    </r>
    <r>
      <rPr>
        <i/>
        <sz val="12"/>
        <color theme="1"/>
        <rFont val="Times New Roman"/>
        <family val="1"/>
        <charset val="186"/>
      </rPr>
      <t>euro.</t>
    </r>
  </si>
  <si>
    <r>
      <t xml:space="preserve">Telpu, teritorijas uzkopšanas, apsardzes, apsaimniekošanas, apdrošināšanas izdevumi 2 795,43 </t>
    </r>
    <r>
      <rPr>
        <i/>
        <sz val="12"/>
        <color theme="1"/>
        <rFont val="Times New Roman"/>
        <family val="1"/>
        <charset val="186"/>
      </rPr>
      <t>euro</t>
    </r>
    <r>
      <rPr>
        <sz val="12"/>
        <color theme="1"/>
        <rFont val="Times New Roman"/>
        <family val="1"/>
        <charset val="186"/>
      </rPr>
      <t xml:space="preserve"> gadā * 0.8578 (iznomātās platības koeficients) = 2 397,92 </t>
    </r>
    <r>
      <rPr>
        <i/>
        <sz val="12"/>
        <color theme="1"/>
        <rFont val="Times New Roman"/>
        <family val="1"/>
        <charset val="186"/>
      </rPr>
      <t>euro.</t>
    </r>
  </si>
  <si>
    <r>
      <t xml:space="preserve">Pārējie uzturēšanas izdevumi 52,26 </t>
    </r>
    <r>
      <rPr>
        <i/>
        <sz val="12"/>
        <color theme="1"/>
        <rFont val="Times New Roman"/>
        <family val="1"/>
        <charset val="186"/>
      </rPr>
      <t>euro</t>
    </r>
    <r>
      <rPr>
        <sz val="12"/>
        <color theme="1"/>
        <rFont val="Times New Roman"/>
        <family val="1"/>
        <charset val="186"/>
      </rPr>
      <t xml:space="preserve"> gadā * 0.8578 (iznomātās platības koeficients) = 44,83 </t>
    </r>
    <r>
      <rPr>
        <i/>
        <sz val="12"/>
        <color theme="1"/>
        <rFont val="Times New Roman"/>
        <family val="1"/>
        <charset val="186"/>
      </rPr>
      <t>euro.</t>
    </r>
  </si>
  <si>
    <r>
      <t xml:space="preserve">Inventāra iegādes izdevumi 80,80 </t>
    </r>
    <r>
      <rPr>
        <i/>
        <sz val="12"/>
        <color theme="1"/>
        <rFont val="Times New Roman"/>
        <family val="1"/>
        <charset val="186"/>
      </rPr>
      <t>euro</t>
    </r>
    <r>
      <rPr>
        <sz val="12"/>
        <color theme="1"/>
        <rFont val="Times New Roman"/>
        <family val="1"/>
        <charset val="186"/>
      </rPr>
      <t xml:space="preserve"> gadā * 0.8578 (iznomātās platības koeficients) = 69,31 </t>
    </r>
    <r>
      <rPr>
        <i/>
        <sz val="12"/>
        <color theme="1"/>
        <rFont val="Times New Roman"/>
        <family val="1"/>
        <charset val="186"/>
      </rPr>
      <t>euro.</t>
    </r>
  </si>
  <si>
    <r>
      <t xml:space="preserve">Saimniecības inventāra un materiālu (izlietnes krāni, dušas krāni, dušas pievadi, aizkari, podu vāki, u.c. higiēnas, saimniecības preces) iegādes izdevumi 66,15 </t>
    </r>
    <r>
      <rPr>
        <i/>
        <sz val="12"/>
        <color theme="1"/>
        <rFont val="Times New Roman"/>
        <family val="1"/>
        <charset val="186"/>
      </rPr>
      <t>euro</t>
    </r>
    <r>
      <rPr>
        <sz val="12"/>
        <color theme="1"/>
        <rFont val="Times New Roman"/>
        <family val="1"/>
        <charset val="186"/>
      </rPr>
      <t xml:space="preserve"> gadā * 0.8578 (iznomātās platības koeficients) = 56,74 </t>
    </r>
    <r>
      <rPr>
        <i/>
        <sz val="12"/>
        <color theme="1"/>
        <rFont val="Times New Roman"/>
        <family val="1"/>
        <charset val="186"/>
      </rPr>
      <t>euro.</t>
    </r>
  </si>
  <si>
    <r>
      <t xml:space="preserve">Nekustamā īpašuma nodoklis 82,65 </t>
    </r>
    <r>
      <rPr>
        <i/>
        <sz val="12"/>
        <color theme="1"/>
        <rFont val="Times New Roman"/>
        <family val="1"/>
        <charset val="186"/>
      </rPr>
      <t>euro</t>
    </r>
    <r>
      <rPr>
        <sz val="12"/>
        <color theme="1"/>
        <rFont val="Times New Roman"/>
        <family val="1"/>
        <charset val="186"/>
      </rPr>
      <t xml:space="preserve"> gadā * 0.8578 (iznomātās platības koeficients) = 70,90 </t>
    </r>
    <r>
      <rPr>
        <i/>
        <sz val="12"/>
        <color theme="1"/>
        <rFont val="Times New Roman"/>
        <family val="1"/>
        <charset val="186"/>
      </rPr>
      <t>euro.</t>
    </r>
  </si>
  <si>
    <r>
      <t xml:space="preserve">Ēku amortizācija 181,87 </t>
    </r>
    <r>
      <rPr>
        <i/>
        <sz val="12"/>
        <color theme="1"/>
        <rFont val="Times New Roman"/>
        <family val="1"/>
        <charset val="186"/>
      </rPr>
      <t>euro</t>
    </r>
    <r>
      <rPr>
        <sz val="12"/>
        <color theme="1"/>
        <rFont val="Times New Roman"/>
        <family val="1"/>
        <charset val="186"/>
      </rPr>
      <t xml:space="preserve"> gadā * 0.8578 (iznomātās platības koeficients) = 156,01 </t>
    </r>
    <r>
      <rPr>
        <i/>
        <sz val="12"/>
        <color theme="1"/>
        <rFont val="Times New Roman"/>
        <family val="1"/>
        <charset val="186"/>
      </rPr>
      <t>euro.</t>
    </r>
  </si>
  <si>
    <r>
      <t xml:space="preserve">Pamatlīdzekļu amortizācija 268,80 </t>
    </r>
    <r>
      <rPr>
        <i/>
        <sz val="12"/>
        <color theme="1"/>
        <rFont val="Times New Roman"/>
        <family val="1"/>
        <charset val="186"/>
      </rPr>
      <t>euro</t>
    </r>
    <r>
      <rPr>
        <sz val="12"/>
        <color theme="1"/>
        <rFont val="Times New Roman"/>
        <family val="1"/>
        <charset val="186"/>
      </rPr>
      <t xml:space="preserve"> gadā * 0.8578 (iznomātās platības koeficients) = 230,58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</si>
  <si>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8 stundas, (8,14 </t>
    </r>
    <r>
      <rPr>
        <i/>
        <sz val="12"/>
        <color theme="1"/>
        <rFont val="Times New Roman"/>
        <family val="1"/>
        <charset val="186"/>
      </rPr>
      <t>euro</t>
    </r>
    <r>
      <rPr>
        <sz val="12"/>
        <color theme="1"/>
        <rFont val="Times New Roman"/>
        <family val="1"/>
        <charset val="186"/>
      </rPr>
      <t xml:space="preserve"> * 8 h) = 65,12 </t>
    </r>
    <r>
      <rPr>
        <i/>
        <sz val="12"/>
        <color theme="1"/>
        <rFont val="Times New Roman"/>
        <family val="1"/>
        <charset val="186"/>
      </rPr>
      <t>euro</t>
    </r>
    <r>
      <rPr>
        <sz val="12"/>
        <color theme="1"/>
        <rFont val="Times New Roman"/>
        <family val="1"/>
        <charset val="186"/>
      </rPr>
      <t xml:space="preserve">/mēn. * 12 mēn. = 781,44 </t>
    </r>
    <r>
      <rPr>
        <i/>
        <sz val="12"/>
        <color theme="1"/>
        <rFont val="Times New Roman"/>
        <family val="1"/>
        <charset val="186"/>
      </rPr>
      <t>euro</t>
    </r>
    <r>
      <rPr>
        <sz val="12"/>
        <color theme="1"/>
        <rFont val="Times New Roman"/>
        <family val="1"/>
        <charset val="186"/>
      </rPr>
      <t xml:space="preserve"> * 0.8578 (iznomātās platības koeficients) = 670,32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</si>
  <si>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23.89 stundas, (8,14 </t>
    </r>
    <r>
      <rPr>
        <i/>
        <sz val="12"/>
        <color theme="1"/>
        <rFont val="Times New Roman"/>
        <family val="1"/>
        <charset val="186"/>
      </rPr>
      <t>euro</t>
    </r>
    <r>
      <rPr>
        <sz val="12"/>
        <color theme="1"/>
        <rFont val="Times New Roman"/>
        <family val="1"/>
        <charset val="186"/>
      </rPr>
      <t xml:space="preserve"> * 23.89 h) = 194,46 </t>
    </r>
    <r>
      <rPr>
        <i/>
        <sz val="12"/>
        <color theme="1"/>
        <rFont val="Times New Roman"/>
        <family val="1"/>
        <charset val="186"/>
      </rPr>
      <t>euro</t>
    </r>
    <r>
      <rPr>
        <sz val="12"/>
        <color theme="1"/>
        <rFont val="Times New Roman"/>
        <family val="1"/>
        <charset val="186"/>
      </rPr>
      <t xml:space="preserve">/mēn. * 12 mēn. = 2 001,69 </t>
    </r>
    <r>
      <rPr>
        <i/>
        <sz val="12"/>
        <color theme="1"/>
        <rFont val="Times New Roman"/>
        <family val="1"/>
        <charset val="186"/>
      </rPr>
      <t>euro</t>
    </r>
    <r>
      <rPr>
        <sz val="12"/>
        <color theme="1"/>
        <rFont val="Times New Roman"/>
        <family val="1"/>
        <charset val="186"/>
      </rPr>
      <t xml:space="preserve"> * 0.8578 (iznomātās platības koeficients) = 2 001,69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</si>
  <si>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16 stundas, (5,37 </t>
    </r>
    <r>
      <rPr>
        <i/>
        <sz val="12"/>
        <color theme="1"/>
        <rFont val="Times New Roman"/>
        <family val="1"/>
        <charset val="186"/>
      </rPr>
      <t>euro</t>
    </r>
    <r>
      <rPr>
        <sz val="12"/>
        <color theme="1"/>
        <rFont val="Times New Roman"/>
        <family val="1"/>
        <charset val="186"/>
      </rPr>
      <t xml:space="preserve"> * 16 h) = 85,92 </t>
    </r>
    <r>
      <rPr>
        <i/>
        <sz val="12"/>
        <color theme="1"/>
        <rFont val="Times New Roman"/>
        <family val="1"/>
        <charset val="186"/>
      </rPr>
      <t>euro</t>
    </r>
    <r>
      <rPr>
        <sz val="12"/>
        <color theme="1"/>
        <rFont val="Times New Roman"/>
        <family val="1"/>
        <charset val="186"/>
      </rPr>
      <t xml:space="preserve">/mēn. * 12 mēn. = 1 031,04 </t>
    </r>
    <r>
      <rPr>
        <i/>
        <sz val="12"/>
        <color theme="1"/>
        <rFont val="Times New Roman"/>
        <family val="1"/>
        <charset val="186"/>
      </rPr>
      <t>euro</t>
    </r>
    <r>
      <rPr>
        <sz val="12"/>
        <color theme="1"/>
        <rFont val="Times New Roman"/>
        <family val="1"/>
        <charset val="186"/>
      </rPr>
      <t xml:space="preserve"> * 0.8578 (iznomātās platības koeficients) = 884,43 </t>
    </r>
    <r>
      <rPr>
        <i/>
        <sz val="12"/>
        <color theme="1"/>
        <rFont val="Times New Roman"/>
        <family val="1"/>
        <charset val="186"/>
      </rPr>
      <t>euro</t>
    </r>
    <r>
      <rPr>
        <sz val="12"/>
        <color theme="1"/>
        <rFont val="Times New Roman"/>
        <family val="1"/>
        <charset val="186"/>
      </rPr>
      <t xml:space="preserve">. </t>
    </r>
  </si>
  <si>
    <r>
      <t xml:space="preserve">Galv. nekust. īpaš. pārvaldnieks (670,32 </t>
    </r>
    <r>
      <rPr>
        <i/>
        <sz val="12"/>
        <color theme="1"/>
        <rFont val="Times New Roman"/>
        <family val="1"/>
        <charset val="186"/>
      </rPr>
      <t>euro</t>
    </r>
    <r>
      <rPr>
        <sz val="12"/>
        <color theme="1"/>
        <rFont val="Times New Roman"/>
        <family val="1"/>
        <charset val="186"/>
      </rPr>
      <t xml:space="preserve"> * 5%) = 33,52 </t>
    </r>
    <r>
      <rPr>
        <i/>
        <sz val="12"/>
        <color theme="1"/>
        <rFont val="Times New Roman"/>
        <family val="1"/>
        <charset val="186"/>
      </rPr>
      <t>euro</t>
    </r>
    <r>
      <rPr>
        <sz val="12"/>
        <color theme="1"/>
        <rFont val="Times New Roman"/>
        <family val="1"/>
        <charset val="186"/>
      </rPr>
      <t xml:space="preserve">, Dienesta viesnīcas vadīotājs (2 001,69 </t>
    </r>
    <r>
      <rPr>
        <i/>
        <sz val="12"/>
        <color theme="1"/>
        <rFont val="Times New Roman"/>
        <family val="1"/>
        <charset val="186"/>
      </rPr>
      <t>euro</t>
    </r>
    <r>
      <rPr>
        <sz val="12"/>
        <color theme="1"/>
        <rFont val="Times New Roman"/>
        <family val="1"/>
        <charset val="186"/>
      </rPr>
      <t xml:space="preserve"> * 5%) = 100,08 </t>
    </r>
    <r>
      <rPr>
        <i/>
        <sz val="12"/>
        <color theme="1"/>
        <rFont val="Times New Roman"/>
        <family val="1"/>
        <charset val="186"/>
      </rPr>
      <t>euro</t>
    </r>
    <r>
      <rPr>
        <sz val="12"/>
        <color theme="1"/>
        <rFont val="Times New Roman"/>
        <family val="1"/>
        <charset val="186"/>
      </rPr>
      <t xml:space="preserve">. Saimniecības pārzinis (884,43 </t>
    </r>
    <r>
      <rPr>
        <i/>
        <sz val="12"/>
        <color theme="1"/>
        <rFont val="Times New Roman"/>
        <family val="1"/>
        <charset val="186"/>
      </rPr>
      <t>euro</t>
    </r>
    <r>
      <rPr>
        <sz val="12"/>
        <color theme="1"/>
        <rFont val="Times New Roman"/>
        <family val="1"/>
        <charset val="186"/>
      </rPr>
      <t xml:space="preserve"> * 5%) = 44,22 </t>
    </r>
    <r>
      <rPr>
        <i/>
        <sz val="12"/>
        <color theme="1"/>
        <rFont val="Times New Roman"/>
        <family val="1"/>
        <charset val="186"/>
      </rPr>
      <t>euro.</t>
    </r>
    <r>
      <rPr>
        <sz val="12"/>
        <color theme="1"/>
        <rFont val="Times New Roman"/>
        <family val="1"/>
        <charset val="186"/>
      </rPr>
      <t xml:space="preserve"> Kopā (33,52 </t>
    </r>
    <r>
      <rPr>
        <i/>
        <sz val="12"/>
        <color theme="1"/>
        <rFont val="Times New Roman"/>
        <family val="1"/>
        <charset val="186"/>
      </rPr>
      <t>euro</t>
    </r>
    <r>
      <rPr>
        <sz val="12"/>
        <color theme="1"/>
        <rFont val="Times New Roman"/>
        <family val="1"/>
        <charset val="186"/>
      </rPr>
      <t xml:space="preserve"> + 100,08 </t>
    </r>
    <r>
      <rPr>
        <i/>
        <sz val="12"/>
        <color theme="1"/>
        <rFont val="Times New Roman"/>
        <family val="1"/>
        <charset val="186"/>
      </rPr>
      <t>euro</t>
    </r>
    <r>
      <rPr>
        <sz val="12"/>
        <color theme="1"/>
        <rFont val="Times New Roman"/>
        <family val="1"/>
        <charset val="186"/>
      </rPr>
      <t xml:space="preserve"> + 44,22 </t>
    </r>
    <r>
      <rPr>
        <i/>
        <sz val="12"/>
        <color theme="1"/>
        <rFont val="Times New Roman"/>
        <family val="1"/>
        <charset val="186"/>
      </rPr>
      <t>euro</t>
    </r>
    <r>
      <rPr>
        <sz val="12"/>
        <color theme="1"/>
        <rFont val="Times New Roman"/>
        <family val="1"/>
        <charset val="186"/>
      </rPr>
      <t xml:space="preserve">) = 177,82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</si>
  <si>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3 912,08 </t>
    </r>
    <r>
      <rPr>
        <i/>
        <sz val="12"/>
        <color theme="1"/>
        <rFont val="Times New Roman"/>
        <family val="1"/>
        <charset val="186"/>
      </rPr>
      <t>euro</t>
    </r>
    <r>
      <rPr>
        <sz val="12"/>
        <color theme="1"/>
        <rFont val="Times New Roman"/>
        <family val="1"/>
        <charset val="186"/>
      </rPr>
      <t xml:space="preserve"> * 23,59 % = 922,86 </t>
    </r>
    <r>
      <rPr>
        <i/>
        <sz val="12"/>
        <color theme="1"/>
        <rFont val="Times New Roman"/>
        <family val="1"/>
        <charset val="186"/>
      </rPr>
      <t xml:space="preserve">euro. </t>
    </r>
  </si>
  <si>
    <r>
      <t xml:space="preserve">Galv. nekust. īpaš. pārvaldnieks (111,12 </t>
    </r>
    <r>
      <rPr>
        <i/>
        <sz val="12"/>
        <color theme="1"/>
        <rFont val="Times New Roman"/>
        <family val="1"/>
        <charset val="186"/>
      </rPr>
      <t>euro</t>
    </r>
    <r>
      <rPr>
        <sz val="12"/>
        <color theme="1"/>
        <rFont val="Times New Roman"/>
        <family val="1"/>
        <charset val="186"/>
      </rPr>
      <t xml:space="preserve"> * 5%) = 5,56 </t>
    </r>
    <r>
      <rPr>
        <i/>
        <sz val="12"/>
        <color theme="1"/>
        <rFont val="Times New Roman"/>
        <family val="1"/>
        <charset val="186"/>
      </rPr>
      <t>euro</t>
    </r>
    <r>
      <rPr>
        <sz val="12"/>
        <color theme="1"/>
        <rFont val="Times New Roman"/>
        <family val="1"/>
        <charset val="186"/>
      </rPr>
      <t xml:space="preserve">, Dienesta viesnīcas vadīotājs (331,83 </t>
    </r>
    <r>
      <rPr>
        <i/>
        <sz val="12"/>
        <color theme="1"/>
        <rFont val="Times New Roman"/>
        <family val="1"/>
        <charset val="186"/>
      </rPr>
      <t>euro</t>
    </r>
    <r>
      <rPr>
        <sz val="12"/>
        <color theme="1"/>
        <rFont val="Times New Roman"/>
        <family val="1"/>
        <charset val="186"/>
      </rPr>
      <t xml:space="preserve"> * 5%) = 16,59 </t>
    </r>
    <r>
      <rPr>
        <i/>
        <sz val="12"/>
        <color theme="1"/>
        <rFont val="Times New Roman"/>
        <family val="1"/>
        <charset val="186"/>
      </rPr>
      <t>euro</t>
    </r>
    <r>
      <rPr>
        <sz val="12"/>
        <color theme="1"/>
        <rFont val="Times New Roman"/>
        <family val="1"/>
        <charset val="186"/>
      </rPr>
      <t xml:space="preserve">. Saimniecības pārzinis (146,61 </t>
    </r>
    <r>
      <rPr>
        <i/>
        <sz val="12"/>
        <color theme="1"/>
        <rFont val="Times New Roman"/>
        <family val="1"/>
        <charset val="186"/>
      </rPr>
      <t>euro</t>
    </r>
    <r>
      <rPr>
        <sz val="12"/>
        <color theme="1"/>
        <rFont val="Times New Roman"/>
        <family val="1"/>
        <charset val="186"/>
      </rPr>
      <t xml:space="preserve"> * 5%) = 7,33 </t>
    </r>
    <r>
      <rPr>
        <i/>
        <sz val="12"/>
        <color theme="1"/>
        <rFont val="Times New Roman"/>
        <family val="1"/>
        <charset val="186"/>
      </rPr>
      <t>euro.</t>
    </r>
    <r>
      <rPr>
        <sz val="12"/>
        <color theme="1"/>
        <rFont val="Times New Roman"/>
        <family val="1"/>
        <charset val="186"/>
      </rPr>
      <t xml:space="preserve"> Kopā (5,56 </t>
    </r>
    <r>
      <rPr>
        <i/>
        <sz val="12"/>
        <color theme="1"/>
        <rFont val="Times New Roman"/>
        <family val="1"/>
        <charset val="186"/>
      </rPr>
      <t>euro</t>
    </r>
    <r>
      <rPr>
        <sz val="12"/>
        <color theme="1"/>
        <rFont val="Times New Roman"/>
        <family val="1"/>
        <charset val="186"/>
      </rPr>
      <t xml:space="preserve"> + 16,59 </t>
    </r>
    <r>
      <rPr>
        <i/>
        <sz val="12"/>
        <color theme="1"/>
        <rFont val="Times New Roman"/>
        <family val="1"/>
        <charset val="186"/>
      </rPr>
      <t>euro</t>
    </r>
    <r>
      <rPr>
        <sz val="12"/>
        <color theme="1"/>
        <rFont val="Times New Roman"/>
        <family val="1"/>
        <charset val="186"/>
      </rPr>
      <t xml:space="preserve"> + 7,33 </t>
    </r>
    <r>
      <rPr>
        <i/>
        <sz val="12"/>
        <color theme="1"/>
        <rFont val="Times New Roman"/>
        <family val="1"/>
        <charset val="186"/>
      </rPr>
      <t>euro</t>
    </r>
    <r>
      <rPr>
        <sz val="12"/>
        <color theme="1"/>
        <rFont val="Times New Roman"/>
        <family val="1"/>
        <charset val="186"/>
      </rPr>
      <t xml:space="preserve">) = 29,48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</si>
  <si>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152,98 </t>
    </r>
    <r>
      <rPr>
        <i/>
        <sz val="12"/>
        <color theme="1"/>
        <rFont val="Times New Roman"/>
        <family val="1"/>
        <charset val="186"/>
      </rPr>
      <t>euro</t>
    </r>
    <r>
      <rPr>
        <sz val="12"/>
        <color theme="1"/>
        <rFont val="Times New Roman"/>
        <family val="1"/>
        <charset val="186"/>
      </rPr>
      <t xml:space="preserve">. Veselības apdrošināšana 29,48 </t>
    </r>
    <r>
      <rPr>
        <i/>
        <sz val="12"/>
        <color theme="1"/>
        <rFont val="Times New Roman"/>
        <family val="1"/>
        <charset val="186"/>
      </rPr>
      <t>euro</t>
    </r>
    <r>
      <rPr>
        <sz val="12"/>
        <color theme="1"/>
        <rFont val="Times New Roman"/>
        <family val="1"/>
        <charset val="186"/>
      </rPr>
      <t xml:space="preserve">. Kopā 182,46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</si>
  <si>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648,51 </t>
    </r>
    <r>
      <rPr>
        <i/>
        <sz val="12"/>
        <color theme="1"/>
        <rFont val="Times New Roman"/>
        <family val="1"/>
        <charset val="186"/>
      </rPr>
      <t>euro</t>
    </r>
    <r>
      <rPr>
        <sz val="12"/>
        <color theme="1"/>
        <rFont val="Times New Roman"/>
        <family val="1"/>
        <charset val="186"/>
      </rPr>
      <t xml:space="preserve"> * 23,59 % = 152,98 </t>
    </r>
    <r>
      <rPr>
        <i/>
        <sz val="12"/>
        <color theme="1"/>
        <rFont val="Times New Roman"/>
        <family val="1"/>
        <charset val="186"/>
      </rPr>
      <t xml:space="preserve">euro. </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</si>
  <si>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166.92 (vid. d. stundu sk. mēnesī). Vid. mēn. noslogojums 2 stundas, (11,47 </t>
    </r>
    <r>
      <rPr>
        <i/>
        <sz val="12"/>
        <color theme="1"/>
        <rFont val="Times New Roman"/>
        <family val="1"/>
        <charset val="186"/>
      </rPr>
      <t>euro</t>
    </r>
    <r>
      <rPr>
        <sz val="12"/>
        <color theme="1"/>
        <rFont val="Times New Roman"/>
        <family val="1"/>
        <charset val="186"/>
      </rPr>
      <t xml:space="preserve"> * 2 h) = 22,94 </t>
    </r>
    <r>
      <rPr>
        <i/>
        <sz val="12"/>
        <color theme="1"/>
        <rFont val="Times New Roman"/>
        <family val="1"/>
        <charset val="186"/>
      </rPr>
      <t>euro</t>
    </r>
    <r>
      <rPr>
        <sz val="12"/>
        <color theme="1"/>
        <rFont val="Times New Roman"/>
        <family val="1"/>
        <charset val="186"/>
      </rPr>
      <t xml:space="preserve">/mēn. * 12. mēn. = 275,28 </t>
    </r>
    <r>
      <rPr>
        <i/>
        <sz val="12"/>
        <color theme="1"/>
        <rFont val="Times New Roman"/>
        <family val="1"/>
        <charset val="186"/>
      </rPr>
      <t>euro</t>
    </r>
    <r>
      <rPr>
        <sz val="12"/>
        <color theme="1"/>
        <rFont val="Times New Roman"/>
        <family val="1"/>
        <charset val="186"/>
      </rPr>
      <t xml:space="preserve"> * 0.8578 (iznomātās platības koeficients) = 236,14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</si>
  <si>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9 min. (11,24 </t>
    </r>
    <r>
      <rPr>
        <i/>
        <sz val="12"/>
        <color theme="1"/>
        <rFont val="Times New Roman"/>
        <family val="1"/>
        <charset val="186"/>
      </rPr>
      <t>euro</t>
    </r>
    <r>
      <rPr>
        <sz val="12"/>
        <color theme="1"/>
        <rFont val="Times New Roman"/>
        <family val="1"/>
        <charset val="186"/>
      </rPr>
      <t xml:space="preserve"> * 0.15 h) = 1,69 </t>
    </r>
    <r>
      <rPr>
        <i/>
        <sz val="12"/>
        <color theme="1"/>
        <rFont val="Times New Roman"/>
        <family val="1"/>
        <charset val="186"/>
      </rPr>
      <t>euro</t>
    </r>
    <r>
      <rPr>
        <sz val="12"/>
        <color theme="1"/>
        <rFont val="Times New Roman"/>
        <family val="1"/>
        <charset val="186"/>
      </rPr>
      <t xml:space="preserve">/mēn. * 12. mēn. = 20,28 </t>
    </r>
    <r>
      <rPr>
        <i/>
        <sz val="12"/>
        <color theme="1"/>
        <rFont val="Times New Roman"/>
        <family val="1"/>
        <charset val="186"/>
      </rPr>
      <t>euro</t>
    </r>
    <r>
      <rPr>
        <sz val="12"/>
        <color theme="1"/>
        <rFont val="Times New Roman"/>
        <family val="1"/>
        <charset val="186"/>
      </rPr>
      <t xml:space="preserve"> * 0.8578 (iznomātās platības koeficients) = 17,40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</si>
  <si>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8 min. (7,58 </t>
    </r>
    <r>
      <rPr>
        <i/>
        <sz val="12"/>
        <color theme="1"/>
        <rFont val="Times New Roman"/>
        <family val="1"/>
        <charset val="186"/>
      </rPr>
      <t>euro</t>
    </r>
    <r>
      <rPr>
        <sz val="12"/>
        <color theme="1"/>
        <rFont val="Times New Roman"/>
        <family val="1"/>
        <charset val="186"/>
      </rPr>
      <t xml:space="preserve"> * 0.14 h) = 1,06 </t>
    </r>
    <r>
      <rPr>
        <i/>
        <sz val="12"/>
        <color theme="1"/>
        <rFont val="Times New Roman"/>
        <family val="1"/>
        <charset val="186"/>
      </rPr>
      <t>euro</t>
    </r>
    <r>
      <rPr>
        <sz val="12"/>
        <color theme="1"/>
        <rFont val="Times New Roman"/>
        <family val="1"/>
        <charset val="186"/>
      </rPr>
      <t xml:space="preserve">/mēn. * 12. mēn. = 12,72 euro * 0.8578 (iznomātās platības koeficients) = 10,91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</si>
  <si>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8 min. (11,22 </t>
    </r>
    <r>
      <rPr>
        <i/>
        <sz val="12"/>
        <color theme="1"/>
        <rFont val="Times New Roman"/>
        <family val="1"/>
        <charset val="186"/>
      </rPr>
      <t>euro</t>
    </r>
    <r>
      <rPr>
        <sz val="12"/>
        <color theme="1"/>
        <rFont val="Times New Roman"/>
        <family val="1"/>
        <charset val="186"/>
      </rPr>
      <t xml:space="preserve"> * 0.14 h) = 1,57 </t>
    </r>
    <r>
      <rPr>
        <i/>
        <sz val="12"/>
        <color theme="1"/>
        <rFont val="Times New Roman"/>
        <family val="1"/>
        <charset val="186"/>
      </rPr>
      <t>euro</t>
    </r>
    <r>
      <rPr>
        <sz val="12"/>
        <color theme="1"/>
        <rFont val="Times New Roman"/>
        <family val="1"/>
        <charset val="186"/>
      </rPr>
      <t xml:space="preserve">/mēn. * 12. mēn. = 18,84 </t>
    </r>
    <r>
      <rPr>
        <i/>
        <sz val="12"/>
        <color theme="1"/>
        <rFont val="Times New Roman"/>
        <family val="1"/>
        <charset val="186"/>
      </rPr>
      <t>euro</t>
    </r>
    <r>
      <rPr>
        <sz val="12"/>
        <color theme="1"/>
        <rFont val="Times New Roman"/>
        <family val="1"/>
        <charset val="186"/>
      </rPr>
      <t xml:space="preserve"> * 0.8578 (iznomātās platības koeficients) = 16,16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</si>
  <si>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31 min. (15,03 </t>
    </r>
    <r>
      <rPr>
        <i/>
        <sz val="12"/>
        <color theme="1"/>
        <rFont val="Times New Roman"/>
        <family val="1"/>
        <charset val="186"/>
      </rPr>
      <t>euro</t>
    </r>
    <r>
      <rPr>
        <sz val="12"/>
        <color theme="1"/>
        <rFont val="Times New Roman"/>
        <family val="1"/>
        <charset val="186"/>
      </rPr>
      <t xml:space="preserve"> * 0.52 h) = 7,82 </t>
    </r>
    <r>
      <rPr>
        <i/>
        <sz val="12"/>
        <color theme="1"/>
        <rFont val="Times New Roman"/>
        <family val="1"/>
        <charset val="186"/>
      </rPr>
      <t>euro</t>
    </r>
    <r>
      <rPr>
        <sz val="12"/>
        <color theme="1"/>
        <rFont val="Times New Roman"/>
        <family val="1"/>
        <charset val="186"/>
      </rPr>
      <t xml:space="preserve">/mēn. * 12. mēn. = 93,84 </t>
    </r>
    <r>
      <rPr>
        <i/>
        <sz val="12"/>
        <color theme="1"/>
        <rFont val="Times New Roman"/>
        <family val="1"/>
        <charset val="186"/>
      </rPr>
      <t>euro</t>
    </r>
    <r>
      <rPr>
        <sz val="12"/>
        <color theme="1"/>
        <rFont val="Times New Roman"/>
        <family val="1"/>
        <charset val="186"/>
      </rPr>
      <t xml:space="preserve"> * 0.8578 (iznomātās platības koeficients) = 80,50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</si>
  <si>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8 min. (12,07 </t>
    </r>
    <r>
      <rPr>
        <i/>
        <sz val="12"/>
        <color theme="1"/>
        <rFont val="Times New Roman"/>
        <family val="1"/>
        <charset val="186"/>
      </rPr>
      <t>euro</t>
    </r>
    <r>
      <rPr>
        <sz val="12"/>
        <color theme="1"/>
        <rFont val="Times New Roman"/>
        <family val="1"/>
        <charset val="186"/>
      </rPr>
      <t xml:space="preserve"> * 0.13 h) = 1,57 </t>
    </r>
    <r>
      <rPr>
        <i/>
        <sz val="12"/>
        <color theme="1"/>
        <rFont val="Times New Roman"/>
        <family val="1"/>
        <charset val="186"/>
      </rPr>
      <t>euro</t>
    </r>
    <r>
      <rPr>
        <sz val="12"/>
        <color theme="1"/>
        <rFont val="Times New Roman"/>
        <family val="1"/>
        <charset val="186"/>
      </rPr>
      <t xml:space="preserve">/mēn. * 12. mēn. = 18,84 </t>
    </r>
    <r>
      <rPr>
        <i/>
        <sz val="12"/>
        <color theme="1"/>
        <rFont val="Times New Roman"/>
        <family val="1"/>
        <charset val="186"/>
      </rPr>
      <t>euro</t>
    </r>
    <r>
      <rPr>
        <sz val="12"/>
        <color theme="1"/>
        <rFont val="Times New Roman"/>
        <family val="1"/>
        <charset val="186"/>
      </rPr>
      <t xml:space="preserve"> * 0.8578 (iznomātās platības koeficients) = 16,16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</si>
  <si>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9.23 stunda, (8,22 </t>
    </r>
    <r>
      <rPr>
        <i/>
        <sz val="12"/>
        <color theme="1"/>
        <rFont val="Times New Roman"/>
        <family val="1"/>
        <charset val="186"/>
      </rPr>
      <t>euro</t>
    </r>
    <r>
      <rPr>
        <sz val="12"/>
        <color theme="1"/>
        <rFont val="Times New Roman"/>
        <family val="1"/>
        <charset val="186"/>
      </rPr>
      <t xml:space="preserve"> * 9.23 h) = 75,87 </t>
    </r>
    <r>
      <rPr>
        <i/>
        <sz val="12"/>
        <color theme="1"/>
        <rFont val="Times New Roman"/>
        <family val="1"/>
        <charset val="186"/>
      </rPr>
      <t>euro</t>
    </r>
    <r>
      <rPr>
        <sz val="12"/>
        <color theme="1"/>
        <rFont val="Times New Roman"/>
        <family val="1"/>
        <charset val="186"/>
      </rPr>
      <t xml:space="preserve">/mēn. * 12. mēn. = 910,44 </t>
    </r>
    <r>
      <rPr>
        <i/>
        <sz val="12"/>
        <color theme="1"/>
        <rFont val="Times New Roman"/>
        <family val="1"/>
        <charset val="186"/>
      </rPr>
      <t>euro</t>
    </r>
    <r>
      <rPr>
        <sz val="12"/>
        <color theme="1"/>
        <rFont val="Times New Roman"/>
        <family val="1"/>
        <charset val="186"/>
      </rPr>
      <t xml:space="preserve"> * 0.8578 (iznomātās platības koeficients) = 780,98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</si>
  <si>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5.93 stunda (9,11 </t>
    </r>
    <r>
      <rPr>
        <i/>
        <sz val="12"/>
        <color theme="1"/>
        <rFont val="Times New Roman"/>
        <family val="1"/>
        <charset val="186"/>
      </rPr>
      <t>euro</t>
    </r>
    <r>
      <rPr>
        <sz val="12"/>
        <color theme="1"/>
        <rFont val="Times New Roman"/>
        <family val="1"/>
        <charset val="186"/>
      </rPr>
      <t xml:space="preserve"> * 5.93 h) = 54,02 </t>
    </r>
    <r>
      <rPr>
        <i/>
        <sz val="12"/>
        <color theme="1"/>
        <rFont val="Times New Roman"/>
        <family val="1"/>
        <charset val="186"/>
      </rPr>
      <t>euro</t>
    </r>
    <r>
      <rPr>
        <sz val="12"/>
        <color theme="1"/>
        <rFont val="Times New Roman"/>
        <family val="1"/>
        <charset val="186"/>
      </rPr>
      <t xml:space="preserve">/mēn. * 12. mēn. = 648,24 </t>
    </r>
    <r>
      <rPr>
        <i/>
        <sz val="12"/>
        <color theme="1"/>
        <rFont val="Times New Roman"/>
        <family val="1"/>
        <charset val="186"/>
      </rPr>
      <t>euro</t>
    </r>
    <r>
      <rPr>
        <sz val="12"/>
        <color theme="1"/>
        <rFont val="Times New Roman"/>
        <family val="1"/>
        <charset val="186"/>
      </rPr>
      <t xml:space="preserve"> * 0.8578 (iznomātās platības koeficients) = 556,06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</si>
  <si>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13.63 stunda (8,22 </t>
    </r>
    <r>
      <rPr>
        <i/>
        <sz val="12"/>
        <color theme="1"/>
        <rFont val="Times New Roman"/>
        <family val="1"/>
        <charset val="186"/>
      </rPr>
      <t>euro</t>
    </r>
    <r>
      <rPr>
        <sz val="12"/>
        <color theme="1"/>
        <rFont val="Times New Roman"/>
        <family val="1"/>
        <charset val="186"/>
      </rPr>
      <t xml:space="preserve"> * 13.63 h) = 112,04 </t>
    </r>
    <r>
      <rPr>
        <i/>
        <sz val="12"/>
        <color theme="1"/>
        <rFont val="Times New Roman"/>
        <family val="1"/>
        <charset val="186"/>
      </rPr>
      <t>euro</t>
    </r>
    <r>
      <rPr>
        <sz val="12"/>
        <color theme="1"/>
        <rFont val="Times New Roman"/>
        <family val="1"/>
        <charset val="186"/>
      </rPr>
      <t xml:space="preserve">/mēn. * 12. mēn. = 1 344,48 </t>
    </r>
    <r>
      <rPr>
        <i/>
        <sz val="12"/>
        <color theme="1"/>
        <rFont val="Times New Roman"/>
        <family val="1"/>
        <charset val="186"/>
      </rPr>
      <t>euro</t>
    </r>
    <r>
      <rPr>
        <sz val="12"/>
        <color theme="1"/>
        <rFont val="Times New Roman"/>
        <family val="1"/>
        <charset val="186"/>
      </rPr>
      <t xml:space="preserve"> * 0.8578 (iznomātās platības koeficients) = 1 153,29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</si>
  <si>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9 min. (26,96 </t>
    </r>
    <r>
      <rPr>
        <i/>
        <sz val="12"/>
        <color theme="1"/>
        <rFont val="Times New Roman"/>
        <family val="1"/>
        <charset val="186"/>
      </rPr>
      <t>euro</t>
    </r>
    <r>
      <rPr>
        <sz val="12"/>
        <color theme="1"/>
        <rFont val="Times New Roman"/>
        <family val="1"/>
        <charset val="186"/>
      </rPr>
      <t xml:space="preserve"> * 0.15 h) = 4,04 </t>
    </r>
    <r>
      <rPr>
        <i/>
        <sz val="12"/>
        <color theme="1"/>
        <rFont val="Times New Roman"/>
        <family val="1"/>
        <charset val="186"/>
      </rPr>
      <t>euro</t>
    </r>
    <r>
      <rPr>
        <sz val="12"/>
        <color theme="1"/>
        <rFont val="Times New Roman"/>
        <family val="1"/>
        <charset val="186"/>
      </rPr>
      <t xml:space="preserve">/mēn. * 12. mēn. = 48,48 </t>
    </r>
    <r>
      <rPr>
        <i/>
        <sz val="12"/>
        <color theme="1"/>
        <rFont val="Times New Roman"/>
        <family val="1"/>
        <charset val="186"/>
      </rPr>
      <t>euro</t>
    </r>
    <r>
      <rPr>
        <sz val="12"/>
        <color theme="1"/>
        <rFont val="Times New Roman"/>
        <family val="1"/>
        <charset val="186"/>
      </rPr>
      <t xml:space="preserve"> * 0.8578 (iznomātās platības koeficients) = 41,59 </t>
    </r>
    <r>
      <rPr>
        <i/>
        <sz val="12"/>
        <color theme="1"/>
        <rFont val="Times New Roman"/>
        <family val="1"/>
        <charset val="186"/>
      </rPr>
      <t>euro.</t>
    </r>
  </si>
  <si>
    <r>
      <t xml:space="preserve">Galv. nekust. īpaš. pārvaldnieks (670,32 </t>
    </r>
    <r>
      <rPr>
        <i/>
        <sz val="12"/>
        <color theme="1"/>
        <rFont val="Times New Roman"/>
        <family val="1"/>
        <charset val="186"/>
      </rPr>
      <t>euro</t>
    </r>
    <r>
      <rPr>
        <sz val="12"/>
        <color theme="1"/>
        <rFont val="Times New Roman"/>
        <family val="1"/>
        <charset val="186"/>
      </rPr>
      <t xml:space="preserve"> * 10%) = 67,03 </t>
    </r>
    <r>
      <rPr>
        <i/>
        <sz val="12"/>
        <color theme="1"/>
        <rFont val="Times New Roman"/>
        <family val="1"/>
        <charset val="186"/>
      </rPr>
      <t>euro</t>
    </r>
    <r>
      <rPr>
        <sz val="12"/>
        <color theme="1"/>
        <rFont val="Times New Roman"/>
        <family val="1"/>
        <charset val="186"/>
      </rPr>
      <t xml:space="preserve">, Dienesta viesnīcas vadīotājs (2 001,69 </t>
    </r>
    <r>
      <rPr>
        <i/>
        <sz val="12"/>
        <color theme="1"/>
        <rFont val="Times New Roman"/>
        <family val="1"/>
        <charset val="186"/>
      </rPr>
      <t>euro</t>
    </r>
    <r>
      <rPr>
        <sz val="12"/>
        <color theme="1"/>
        <rFont val="Times New Roman"/>
        <family val="1"/>
        <charset val="186"/>
      </rPr>
      <t xml:space="preserve"> * 10%) = 200,17 </t>
    </r>
    <r>
      <rPr>
        <i/>
        <sz val="12"/>
        <color theme="1"/>
        <rFont val="Times New Roman"/>
        <family val="1"/>
        <charset val="186"/>
      </rPr>
      <t>euro</t>
    </r>
    <r>
      <rPr>
        <sz val="12"/>
        <color theme="1"/>
        <rFont val="Times New Roman"/>
        <family val="1"/>
        <charset val="186"/>
      </rPr>
      <t xml:space="preserve">. Saimniecības pārzinis (884,43 </t>
    </r>
    <r>
      <rPr>
        <i/>
        <sz val="12"/>
        <color theme="1"/>
        <rFont val="Times New Roman"/>
        <family val="1"/>
        <charset val="186"/>
      </rPr>
      <t>euro</t>
    </r>
    <r>
      <rPr>
        <sz val="12"/>
        <color theme="1"/>
        <rFont val="Times New Roman"/>
        <family val="1"/>
        <charset val="186"/>
      </rPr>
      <t xml:space="preserve"> * 10%) = 88,44 </t>
    </r>
    <r>
      <rPr>
        <i/>
        <sz val="12"/>
        <color theme="1"/>
        <rFont val="Times New Roman"/>
        <family val="1"/>
        <charset val="186"/>
      </rPr>
      <t>euro.</t>
    </r>
    <r>
      <rPr>
        <sz val="12"/>
        <color theme="1"/>
        <rFont val="Times New Roman"/>
        <family val="1"/>
        <charset val="186"/>
      </rPr>
      <t xml:space="preserve"> Kopā (67,03 </t>
    </r>
    <r>
      <rPr>
        <i/>
        <sz val="12"/>
        <color theme="1"/>
        <rFont val="Times New Roman"/>
        <family val="1"/>
        <charset val="186"/>
      </rPr>
      <t>euro</t>
    </r>
    <r>
      <rPr>
        <sz val="12"/>
        <color theme="1"/>
        <rFont val="Times New Roman"/>
        <family val="1"/>
        <charset val="186"/>
      </rPr>
      <t xml:space="preserve"> + 200,17 </t>
    </r>
    <r>
      <rPr>
        <i/>
        <sz val="12"/>
        <color theme="1"/>
        <rFont val="Times New Roman"/>
        <family val="1"/>
        <charset val="186"/>
      </rPr>
      <t>euro</t>
    </r>
    <r>
      <rPr>
        <sz val="12"/>
        <color theme="1"/>
        <rFont val="Times New Roman"/>
        <family val="1"/>
        <charset val="186"/>
      </rPr>
      <t xml:space="preserve"> + 88,44 </t>
    </r>
    <r>
      <rPr>
        <i/>
        <sz val="12"/>
        <color theme="1"/>
        <rFont val="Times New Roman"/>
        <family val="1"/>
        <charset val="186"/>
      </rPr>
      <t>euro</t>
    </r>
    <r>
      <rPr>
        <sz val="12"/>
        <color theme="1"/>
        <rFont val="Times New Roman"/>
        <family val="1"/>
        <charset val="186"/>
      </rPr>
      <t xml:space="preserve">) = 355,64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</si>
  <si>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922,86 </t>
    </r>
    <r>
      <rPr>
        <i/>
        <sz val="12"/>
        <color theme="1"/>
        <rFont val="Times New Roman"/>
        <family val="1"/>
        <charset val="186"/>
      </rPr>
      <t>euro</t>
    </r>
    <r>
      <rPr>
        <sz val="12"/>
        <color theme="1"/>
        <rFont val="Times New Roman"/>
        <family val="1"/>
        <charset val="186"/>
      </rPr>
      <t xml:space="preserve">. Veselības apdrošināšana 177,82 </t>
    </r>
    <r>
      <rPr>
        <i/>
        <sz val="12"/>
        <color theme="1"/>
        <rFont val="Times New Roman"/>
        <family val="1"/>
        <charset val="186"/>
      </rPr>
      <t>euro</t>
    </r>
    <r>
      <rPr>
        <sz val="12"/>
        <color theme="1"/>
        <rFont val="Times New Roman"/>
        <family val="1"/>
        <charset val="186"/>
      </rPr>
      <t xml:space="preserve">. Kopā 1 100,68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</si>
  <si>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9 min. (26,96 </t>
    </r>
    <r>
      <rPr>
        <i/>
        <sz val="12"/>
        <color theme="1"/>
        <rFont val="Times New Roman"/>
        <family val="1"/>
        <charset val="186"/>
      </rPr>
      <t>euro</t>
    </r>
    <r>
      <rPr>
        <sz val="12"/>
        <color theme="1"/>
        <rFont val="Times New Roman"/>
        <family val="1"/>
        <charset val="186"/>
      </rPr>
      <t xml:space="preserve"> * 0.15 h) = 4,04 </t>
    </r>
    <r>
      <rPr>
        <i/>
        <sz val="12"/>
        <color theme="1"/>
        <rFont val="Times New Roman"/>
        <family val="1"/>
        <charset val="186"/>
      </rPr>
      <t>euro</t>
    </r>
    <r>
      <rPr>
        <sz val="12"/>
        <color theme="1"/>
        <rFont val="Times New Roman"/>
        <family val="1"/>
        <charset val="186"/>
      </rPr>
      <t xml:space="preserve">/mēn. * 12. mēn. = 48,48 </t>
    </r>
    <r>
      <rPr>
        <i/>
        <sz val="12"/>
        <color theme="1"/>
        <rFont val="Times New Roman"/>
        <family val="1"/>
        <charset val="186"/>
      </rPr>
      <t>euro</t>
    </r>
    <r>
      <rPr>
        <sz val="12"/>
        <color theme="1"/>
        <rFont val="Times New Roman"/>
        <family val="1"/>
        <charset val="186"/>
      </rPr>
      <t xml:space="preserve"> * 0.3951 (iznomātās platības koeficients) = 19,15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</si>
  <si>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43 min. (24,34 </t>
    </r>
    <r>
      <rPr>
        <i/>
        <sz val="12"/>
        <color theme="1"/>
        <rFont val="Times New Roman"/>
        <family val="1"/>
        <charset val="186"/>
      </rPr>
      <t>euro</t>
    </r>
    <r>
      <rPr>
        <sz val="12"/>
        <color theme="1"/>
        <rFont val="Times New Roman"/>
        <family val="1"/>
        <charset val="186"/>
      </rPr>
      <t xml:space="preserve"> * 0.72 h) = 17,52 </t>
    </r>
    <r>
      <rPr>
        <i/>
        <sz val="12"/>
        <color theme="1"/>
        <rFont val="Times New Roman"/>
        <family val="1"/>
        <charset val="186"/>
      </rPr>
      <t>euro</t>
    </r>
    <r>
      <rPr>
        <sz val="12"/>
        <color theme="1"/>
        <rFont val="Times New Roman"/>
        <family val="1"/>
        <charset val="186"/>
      </rPr>
      <t xml:space="preserve">/mēn. * 12. mēn. = 210,24 </t>
    </r>
    <r>
      <rPr>
        <i/>
        <sz val="12"/>
        <color theme="1"/>
        <rFont val="Times New Roman"/>
        <family val="1"/>
        <charset val="186"/>
      </rPr>
      <t>euro</t>
    </r>
    <r>
      <rPr>
        <sz val="12"/>
        <color theme="1"/>
        <rFont val="Times New Roman"/>
        <family val="1"/>
        <charset val="186"/>
      </rPr>
      <t xml:space="preserve"> * 0.1422 (iznomātās platības koeficients) = 29,90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</si>
  <si>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euro). Stundas tarifa likme 24,34 euro = 4 062 euro / 166.92 (vid. d. stundu sk. mēnesī). Vid. mēn. noslogojums 43 min. (24,34 euro * 0.72 h) = 17,52 euro/mēn. * 12. mēn. = 210,24 euro * 0.8578 (iznomātās platības koeficients) = 180,34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</si>
  <si>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3 089,53 </t>
    </r>
    <r>
      <rPr>
        <i/>
        <sz val="12"/>
        <color theme="1"/>
        <rFont val="Times New Roman"/>
        <family val="1"/>
        <charset val="186"/>
      </rPr>
      <t>euro</t>
    </r>
    <r>
      <rPr>
        <sz val="12"/>
        <color theme="1"/>
        <rFont val="Times New Roman"/>
        <family val="1"/>
        <charset val="186"/>
      </rPr>
      <t xml:space="preserve"> * 23,59 % = 728,82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</si>
  <si>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512,15 </t>
    </r>
    <r>
      <rPr>
        <i/>
        <sz val="12"/>
        <color theme="1"/>
        <rFont val="Times New Roman"/>
        <family val="1"/>
        <charset val="186"/>
      </rPr>
      <t>euro</t>
    </r>
    <r>
      <rPr>
        <sz val="12"/>
        <color theme="1"/>
        <rFont val="Times New Roman"/>
        <family val="1"/>
        <charset val="186"/>
      </rPr>
      <t xml:space="preserve"> * 23,59 % = 120,82 </t>
    </r>
    <r>
      <rPr>
        <i/>
        <sz val="12"/>
        <color theme="1"/>
        <rFont val="Times New Roman"/>
        <family val="1"/>
        <charset val="186"/>
      </rPr>
      <t>euro</t>
    </r>
    <r>
      <rPr>
        <sz val="12"/>
        <color theme="1"/>
        <rFont val="Times New Roman"/>
        <family val="1"/>
        <charset val="186"/>
      </rPr>
      <t>.</t>
    </r>
  </si>
  <si>
    <r>
      <t xml:space="preserve">Nekustamā īpašuma nodoklis 10 541,00 </t>
    </r>
    <r>
      <rPr>
        <i/>
        <sz val="12"/>
        <color theme="1"/>
        <rFont val="Times New Roman"/>
        <family val="1"/>
        <charset val="186"/>
      </rPr>
      <t>euro</t>
    </r>
    <r>
      <rPr>
        <sz val="12"/>
        <color theme="1"/>
        <rFont val="Times New Roman"/>
        <family val="1"/>
        <charset val="186"/>
      </rPr>
      <t xml:space="preserve"> gadā * 0.0087 (iznomātās platības koeficients) = 91,71 </t>
    </r>
    <r>
      <rPr>
        <i/>
        <sz val="12"/>
        <color theme="1"/>
        <rFont val="Times New Roman"/>
        <family val="1"/>
        <charset val="186"/>
      </rPr>
      <t>euro</t>
    </r>
    <r>
      <rPr>
        <sz val="12"/>
        <color theme="1"/>
        <rFont val="Times New Roman"/>
        <family val="1"/>
        <charset val="186"/>
      </rPr>
      <t>.</t>
    </r>
  </si>
  <si>
    <r>
      <t xml:space="preserve">Ēku amortizācija 6 565,16 </t>
    </r>
    <r>
      <rPr>
        <i/>
        <sz val="12"/>
        <color theme="1"/>
        <rFont val="Times New Roman"/>
        <family val="1"/>
        <charset val="186"/>
      </rPr>
      <t>euro</t>
    </r>
    <r>
      <rPr>
        <sz val="12"/>
        <color theme="1"/>
        <rFont val="Times New Roman"/>
        <family val="1"/>
        <charset val="186"/>
      </rPr>
      <t xml:space="preserve"> gadā * 0.0087 (iznomātās platības koeficients) = 57,12 </t>
    </r>
    <r>
      <rPr>
        <i/>
        <sz val="12"/>
        <color theme="1"/>
        <rFont val="Times New Roman"/>
        <family val="1"/>
        <charset val="186"/>
      </rPr>
      <t>euro.</t>
    </r>
  </si>
  <si>
    <r>
      <t xml:space="preserve">Pamatlīdzekļu amortizācija 4 439,23 </t>
    </r>
    <r>
      <rPr>
        <i/>
        <sz val="12"/>
        <color theme="1"/>
        <rFont val="Times New Roman"/>
        <family val="1"/>
        <charset val="186"/>
      </rPr>
      <t>euro</t>
    </r>
    <r>
      <rPr>
        <sz val="12"/>
        <color theme="1"/>
        <rFont val="Times New Roman"/>
        <family val="1"/>
        <charset val="186"/>
      </rPr>
      <t xml:space="preserve"> gadā * 0.0087 (iznomātās platības koeficients) = 38,62 </t>
    </r>
    <r>
      <rPr>
        <i/>
        <sz val="12"/>
        <color theme="1"/>
        <rFont val="Times New Roman"/>
        <family val="1"/>
        <charset val="186"/>
      </rPr>
      <t>euro.</t>
    </r>
  </si>
  <si>
    <r>
      <t xml:space="preserve">Pamatlīdzekļu amortizācija 492,88 </t>
    </r>
    <r>
      <rPr>
        <i/>
        <sz val="12"/>
        <color theme="1"/>
        <rFont val="Times New Roman"/>
        <family val="1"/>
        <charset val="186"/>
      </rPr>
      <t>euro</t>
    </r>
    <r>
      <rPr>
        <sz val="12"/>
        <color theme="1"/>
        <rFont val="Times New Roman"/>
        <family val="1"/>
        <charset val="186"/>
      </rPr>
      <t xml:space="preserve"> gadā * 0.0087 (iznomātās platības koeficients) = 4,29 </t>
    </r>
    <r>
      <rPr>
        <i/>
        <sz val="12"/>
        <color theme="1"/>
        <rFont val="Times New Roman"/>
        <family val="1"/>
        <charset val="186"/>
      </rPr>
      <t>euro.</t>
    </r>
  </si>
  <si>
    <r>
      <t xml:space="preserve">Saimniecības inventāra un materiālu (izlietnes krāni, dušas krāni, dušas pievadi, aizkari, podu vāki, u.c. higiēnas, saimniecības preces) iegādes izdevumi 905,02 </t>
    </r>
    <r>
      <rPr>
        <i/>
        <sz val="12"/>
        <color theme="1"/>
        <rFont val="Times New Roman"/>
        <family val="1"/>
        <charset val="186"/>
      </rPr>
      <t>euro</t>
    </r>
    <r>
      <rPr>
        <sz val="12"/>
        <color theme="1"/>
        <rFont val="Times New Roman"/>
        <family val="1"/>
        <charset val="186"/>
      </rPr>
      <t xml:space="preserve"> gadā * 0.0087 (iznomātās platības koeficients) = 7,87 </t>
    </r>
    <r>
      <rPr>
        <i/>
        <sz val="12"/>
        <color theme="1"/>
        <rFont val="Times New Roman"/>
        <family val="1"/>
        <charset val="186"/>
      </rPr>
      <t>euro.</t>
    </r>
  </si>
  <si>
    <r>
      <t xml:space="preserve">Inventāra iegādes izdevumi 607,49 </t>
    </r>
    <r>
      <rPr>
        <i/>
        <sz val="12"/>
        <color theme="1"/>
        <rFont val="Times New Roman"/>
        <family val="1"/>
        <charset val="186"/>
      </rPr>
      <t>euro</t>
    </r>
    <r>
      <rPr>
        <sz val="12"/>
        <color theme="1"/>
        <rFont val="Times New Roman"/>
        <family val="1"/>
        <charset val="186"/>
      </rPr>
      <t xml:space="preserve"> gadā * 0.0087 (iznomātās platības koeficients) = 5,29 </t>
    </r>
    <r>
      <rPr>
        <i/>
        <sz val="12"/>
        <color theme="1"/>
        <rFont val="Times New Roman"/>
        <family val="1"/>
        <charset val="186"/>
      </rPr>
      <t>euro.</t>
    </r>
  </si>
  <si>
    <r>
      <t xml:space="preserve">Biotualetes noma gadā 121,00 </t>
    </r>
    <r>
      <rPr>
        <i/>
        <sz val="12"/>
        <color theme="1"/>
        <rFont val="Times New Roman"/>
        <family val="1"/>
        <charset val="186"/>
      </rPr>
      <t>euro</t>
    </r>
    <r>
      <rPr>
        <sz val="12"/>
        <color theme="1"/>
        <rFont val="Times New Roman"/>
        <family val="1"/>
        <charset val="186"/>
      </rPr>
      <t xml:space="preserve"> * 0.0087 (iznomātās platības koeficients) = 1,05 </t>
    </r>
    <r>
      <rPr>
        <i/>
        <sz val="12"/>
        <color theme="1"/>
        <rFont val="Times New Roman"/>
        <family val="1"/>
        <charset val="186"/>
      </rPr>
      <t>euro</t>
    </r>
    <r>
      <rPr>
        <sz val="12"/>
        <color theme="1"/>
        <rFont val="Times New Roman"/>
        <family val="1"/>
        <charset val="186"/>
      </rPr>
      <t>.</t>
    </r>
  </si>
  <si>
    <r>
      <t xml:space="preserve">Pārējie uzturēšanas izdevumi 1 602,25 </t>
    </r>
    <r>
      <rPr>
        <i/>
        <sz val="12"/>
        <color theme="1"/>
        <rFont val="Times New Roman"/>
        <family val="1"/>
        <charset val="186"/>
      </rPr>
      <t>euro</t>
    </r>
    <r>
      <rPr>
        <sz val="12"/>
        <color theme="1"/>
        <rFont val="Times New Roman"/>
        <family val="1"/>
        <charset val="186"/>
      </rPr>
      <t xml:space="preserve"> gadā * 0.0087 (iznomātās platības koeficients) = 13,94 </t>
    </r>
    <r>
      <rPr>
        <i/>
        <sz val="12"/>
        <color theme="1"/>
        <rFont val="Times New Roman"/>
        <family val="1"/>
        <charset val="186"/>
      </rPr>
      <t>euro.</t>
    </r>
  </si>
  <si>
    <r>
      <t xml:space="preserve">Telpu, teritorijas uzkopšanas, apsardzes, apsaimniekošanas, apdrošināšanas izdevumi 133 418,65 </t>
    </r>
    <r>
      <rPr>
        <i/>
        <sz val="12"/>
        <color theme="1"/>
        <rFont val="Times New Roman"/>
        <family val="1"/>
        <charset val="186"/>
      </rPr>
      <t>euro</t>
    </r>
    <r>
      <rPr>
        <sz val="12"/>
        <color theme="1"/>
        <rFont val="Times New Roman"/>
        <family val="1"/>
        <charset val="186"/>
      </rPr>
      <t xml:space="preserve"> gadā * 0.0087 (iznomātās platības koeficients) = 1 160,74 </t>
    </r>
    <r>
      <rPr>
        <i/>
        <sz val="12"/>
        <color theme="1"/>
        <rFont val="Times New Roman"/>
        <family val="1"/>
        <charset val="186"/>
      </rPr>
      <t>euro.</t>
    </r>
  </si>
  <si>
    <r>
      <t xml:space="preserve">Video novērošanas un apsardzes signalizācijas sistēmas tehniskā apkope, Ugunsdzēsības krānu, ūdensvada, sirēnu iekārtu un citu iekārtu apkope un remonts, evakuācijas plānu izstrāde, avāriju bojājumu novēršanas izdevumi 1 715,08 </t>
    </r>
    <r>
      <rPr>
        <i/>
        <sz val="12"/>
        <color theme="1"/>
        <rFont val="Times New Roman"/>
        <family val="1"/>
        <charset val="186"/>
      </rPr>
      <t>euro</t>
    </r>
    <r>
      <rPr>
        <sz val="12"/>
        <color theme="1"/>
        <rFont val="Times New Roman"/>
        <family val="1"/>
        <charset val="186"/>
      </rPr>
      <t xml:space="preserve"> gadā * 0.0087 (iznomātās platības koeficients) = 14,92 </t>
    </r>
    <r>
      <rPr>
        <i/>
        <sz val="12"/>
        <color theme="1"/>
        <rFont val="Times New Roman"/>
        <family val="1"/>
        <charset val="186"/>
      </rPr>
      <t>euro</t>
    </r>
    <r>
      <rPr>
        <sz val="12"/>
        <color theme="1"/>
        <rFont val="Times New Roman"/>
        <family val="1"/>
        <charset val="186"/>
      </rPr>
      <t>.</t>
    </r>
  </si>
  <si>
    <r>
      <t xml:space="preserve">Izdevumi par energoefektivitātes paaugstināšanas atzinumu  464,98 </t>
    </r>
    <r>
      <rPr>
        <i/>
        <sz val="12"/>
        <color theme="1"/>
        <rFont val="Times New Roman"/>
        <family val="1"/>
        <charset val="186"/>
      </rPr>
      <t>euro</t>
    </r>
    <r>
      <rPr>
        <sz val="12"/>
        <color theme="1"/>
        <rFont val="Times New Roman"/>
        <family val="1"/>
        <charset val="186"/>
      </rPr>
      <t xml:space="preserve"> gadā * 0.0087 (iznomātās platības koeficients) = 4,05 </t>
    </r>
    <r>
      <rPr>
        <i/>
        <sz val="12"/>
        <color theme="1"/>
        <rFont val="Times New Roman"/>
        <family val="1"/>
        <charset val="186"/>
      </rPr>
      <t>euro.</t>
    </r>
  </si>
  <si>
    <r>
      <t xml:space="preserve">Izdevumi par atkritumu izvešanu 23 680,95 </t>
    </r>
    <r>
      <rPr>
        <i/>
        <sz val="12"/>
        <color theme="1"/>
        <rFont val="Times New Roman"/>
        <family val="1"/>
        <charset val="186"/>
      </rPr>
      <t>euro</t>
    </r>
    <r>
      <rPr>
        <sz val="12"/>
        <color theme="1"/>
        <rFont val="Times New Roman"/>
        <family val="1"/>
        <charset val="186"/>
      </rPr>
      <t xml:space="preserve"> gadā * 0.0087 (iznomātās platības koeficients) = 206,02 </t>
    </r>
    <r>
      <rPr>
        <i/>
        <sz val="12"/>
        <color theme="1"/>
        <rFont val="Times New Roman"/>
        <family val="1"/>
        <charset val="186"/>
      </rPr>
      <t>euro.</t>
    </r>
  </si>
  <si>
    <r>
      <t xml:space="preserve">Izdevumi par ūdeni un kanalizāciju 52 111,24 </t>
    </r>
    <r>
      <rPr>
        <i/>
        <sz val="12"/>
        <color theme="1"/>
        <rFont val="Times New Roman"/>
        <family val="1"/>
        <charset val="186"/>
      </rPr>
      <t>euro</t>
    </r>
    <r>
      <rPr>
        <sz val="12"/>
        <color theme="1"/>
        <rFont val="Times New Roman"/>
        <family val="1"/>
        <charset val="186"/>
      </rPr>
      <t xml:space="preserve"> gadā * 0.0087 (iznomātās platības koeficients) = 453,37 </t>
    </r>
    <r>
      <rPr>
        <i/>
        <sz val="12"/>
        <color theme="1"/>
        <rFont val="Times New Roman"/>
        <family val="1"/>
        <charset val="186"/>
      </rPr>
      <t>euro</t>
    </r>
    <r>
      <rPr>
        <sz val="12"/>
        <color theme="1"/>
        <rFont val="Times New Roman"/>
        <family val="1"/>
        <charset val="186"/>
      </rPr>
      <t>.</t>
    </r>
  </si>
  <si>
    <r>
      <t xml:space="preserve">Izdevumi par apkuri 48 868,00 </t>
    </r>
    <r>
      <rPr>
        <i/>
        <sz val="12"/>
        <color theme="1"/>
        <rFont val="Times New Roman"/>
        <family val="1"/>
        <charset val="186"/>
      </rPr>
      <t>euro</t>
    </r>
    <r>
      <rPr>
        <sz val="12"/>
        <color theme="1"/>
        <rFont val="Times New Roman"/>
        <family val="1"/>
        <charset val="186"/>
      </rPr>
      <t xml:space="preserve"> gadā * 0.0087 (iznomātās platības koeficients) = 425,15 </t>
    </r>
    <r>
      <rPr>
        <i/>
        <sz val="12"/>
        <color theme="1"/>
        <rFont val="Times New Roman"/>
        <family val="1"/>
        <charset val="186"/>
      </rPr>
      <t>euro.</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</si>
  <si>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1.91 stundas, (11,24 </t>
    </r>
    <r>
      <rPr>
        <i/>
        <sz val="12"/>
        <color theme="1"/>
        <rFont val="Times New Roman"/>
        <family val="1"/>
        <charset val="186"/>
      </rPr>
      <t>euro</t>
    </r>
    <r>
      <rPr>
        <sz val="12"/>
        <color theme="1"/>
        <rFont val="Times New Roman"/>
        <family val="1"/>
        <charset val="186"/>
      </rPr>
      <t xml:space="preserve"> * 1.91 h) = 21,47 </t>
    </r>
    <r>
      <rPr>
        <i/>
        <sz val="12"/>
        <color theme="1"/>
        <rFont val="Times New Roman"/>
        <family val="1"/>
        <charset val="186"/>
      </rPr>
      <t>euro</t>
    </r>
    <r>
      <rPr>
        <sz val="12"/>
        <color theme="1"/>
        <rFont val="Times New Roman"/>
        <family val="1"/>
        <charset val="186"/>
      </rPr>
      <t xml:space="preserve">/mēn. * 12. mēn. = 257,64 </t>
    </r>
    <r>
      <rPr>
        <i/>
        <sz val="12"/>
        <color theme="1"/>
        <rFont val="Times New Roman"/>
        <family val="1"/>
        <charset val="186"/>
      </rPr>
      <t>euro</t>
    </r>
    <r>
      <rPr>
        <sz val="12"/>
        <color theme="1"/>
        <rFont val="Times New Roman"/>
        <family val="1"/>
        <charset val="186"/>
      </rPr>
      <t xml:space="preserve"> * 0.0087 (iznomātās platības koeficients) = 2,24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</si>
  <si>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1.87 stundas,  (7,58 </t>
    </r>
    <r>
      <rPr>
        <i/>
        <sz val="12"/>
        <color theme="1"/>
        <rFont val="Times New Roman"/>
        <family val="1"/>
        <charset val="186"/>
      </rPr>
      <t>euro</t>
    </r>
    <r>
      <rPr>
        <sz val="12"/>
        <color theme="1"/>
        <rFont val="Times New Roman"/>
        <family val="1"/>
        <charset val="186"/>
      </rPr>
      <t xml:space="preserve"> * 1.87 h) = 14,17 </t>
    </r>
    <r>
      <rPr>
        <i/>
        <sz val="12"/>
        <color theme="1"/>
        <rFont val="Times New Roman"/>
        <family val="1"/>
        <charset val="186"/>
      </rPr>
      <t>euro</t>
    </r>
    <r>
      <rPr>
        <sz val="12"/>
        <color theme="1"/>
        <rFont val="Times New Roman"/>
        <family val="1"/>
        <charset val="186"/>
      </rPr>
      <t xml:space="preserve">/mēn. * 12. mēn. = 170,04 </t>
    </r>
    <r>
      <rPr>
        <i/>
        <sz val="12"/>
        <color theme="1"/>
        <rFont val="Times New Roman"/>
        <family val="1"/>
        <charset val="186"/>
      </rPr>
      <t>euro</t>
    </r>
    <r>
      <rPr>
        <sz val="12"/>
        <color theme="1"/>
        <rFont val="Times New Roman"/>
        <family val="1"/>
        <charset val="186"/>
      </rPr>
      <t xml:space="preserve"> * 0.0087 (iznomātās platības koeficients) = 1,48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</si>
  <si>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1.83 stundas, (11,22 </t>
    </r>
    <r>
      <rPr>
        <i/>
        <sz val="12"/>
        <color theme="1"/>
        <rFont val="Times New Roman"/>
        <family val="1"/>
        <charset val="186"/>
      </rPr>
      <t>euro</t>
    </r>
    <r>
      <rPr>
        <sz val="12"/>
        <color theme="1"/>
        <rFont val="Times New Roman"/>
        <family val="1"/>
        <charset val="186"/>
      </rPr>
      <t xml:space="preserve"> * 1.83 h) = 20,53 </t>
    </r>
    <r>
      <rPr>
        <i/>
        <sz val="12"/>
        <color theme="1"/>
        <rFont val="Times New Roman"/>
        <family val="1"/>
        <charset val="186"/>
      </rPr>
      <t>euro</t>
    </r>
    <r>
      <rPr>
        <sz val="12"/>
        <color theme="1"/>
        <rFont val="Times New Roman"/>
        <family val="1"/>
        <charset val="186"/>
      </rPr>
      <t xml:space="preserve">/mēn. * 12. mēn. = 246,36 </t>
    </r>
    <r>
      <rPr>
        <i/>
        <sz val="12"/>
        <color theme="1"/>
        <rFont val="Times New Roman"/>
        <family val="1"/>
        <charset val="186"/>
      </rPr>
      <t>euro</t>
    </r>
    <r>
      <rPr>
        <sz val="12"/>
        <color theme="1"/>
        <rFont val="Times New Roman"/>
        <family val="1"/>
        <charset val="186"/>
      </rPr>
      <t xml:space="preserve"> * 0.0087 (iznomātās platības koeficients) = 2,14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</si>
  <si>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2.06 stundas, (15,03 </t>
    </r>
    <r>
      <rPr>
        <i/>
        <sz val="12"/>
        <color theme="1"/>
        <rFont val="Times New Roman"/>
        <family val="1"/>
        <charset val="186"/>
      </rPr>
      <t>euro</t>
    </r>
    <r>
      <rPr>
        <sz val="12"/>
        <color theme="1"/>
        <rFont val="Times New Roman"/>
        <family val="1"/>
        <charset val="186"/>
      </rPr>
      <t xml:space="preserve"> * 2.06 h) = 30,96 </t>
    </r>
    <r>
      <rPr>
        <i/>
        <sz val="12"/>
        <color theme="1"/>
        <rFont val="Times New Roman"/>
        <family val="1"/>
        <charset val="186"/>
      </rPr>
      <t>euro</t>
    </r>
    <r>
      <rPr>
        <sz val="12"/>
        <color theme="1"/>
        <rFont val="Times New Roman"/>
        <family val="1"/>
        <charset val="186"/>
      </rPr>
      <t xml:space="preserve">/mēn. * 12. mēn. = 371,52 </t>
    </r>
    <r>
      <rPr>
        <i/>
        <sz val="12"/>
        <color theme="1"/>
        <rFont val="Times New Roman"/>
        <family val="1"/>
        <charset val="186"/>
      </rPr>
      <t>euro</t>
    </r>
    <r>
      <rPr>
        <sz val="12"/>
        <color theme="1"/>
        <rFont val="Times New Roman"/>
        <family val="1"/>
        <charset val="186"/>
      </rPr>
      <t xml:space="preserve"> * 0.0087 (iznomātās platības koeficients) = 3,23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</si>
  <si>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1.66 stundas, (12,07 </t>
    </r>
    <r>
      <rPr>
        <i/>
        <sz val="12"/>
        <color theme="1"/>
        <rFont val="Times New Roman"/>
        <family val="1"/>
        <charset val="186"/>
      </rPr>
      <t>euro</t>
    </r>
    <r>
      <rPr>
        <sz val="12"/>
        <color theme="1"/>
        <rFont val="Times New Roman"/>
        <family val="1"/>
        <charset val="186"/>
      </rPr>
      <t xml:space="preserve"> * 1.66 h) = 20,04 </t>
    </r>
    <r>
      <rPr>
        <i/>
        <sz val="12"/>
        <color theme="1"/>
        <rFont val="Times New Roman"/>
        <family val="1"/>
        <charset val="186"/>
      </rPr>
      <t>euro</t>
    </r>
    <r>
      <rPr>
        <sz val="12"/>
        <color theme="1"/>
        <rFont val="Times New Roman"/>
        <family val="1"/>
        <charset val="186"/>
      </rPr>
      <t xml:space="preserve">/mēn. * 12. mēn. = 240,48 </t>
    </r>
    <r>
      <rPr>
        <i/>
        <sz val="12"/>
        <color theme="1"/>
        <rFont val="Times New Roman"/>
        <family val="1"/>
        <charset val="186"/>
      </rPr>
      <t>euro</t>
    </r>
    <r>
      <rPr>
        <sz val="12"/>
        <color theme="1"/>
        <rFont val="Times New Roman"/>
        <family val="1"/>
        <charset val="186"/>
      </rPr>
      <t xml:space="preserve"> * 0.0087 (iznomātās platības koeficients) = 2,09 </t>
    </r>
    <r>
      <rPr>
        <i/>
        <sz val="12"/>
        <color theme="1"/>
        <rFont val="Times New Roman"/>
        <family val="1"/>
        <charset val="186"/>
      </rPr>
      <t>euro.</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</si>
  <si>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/166.92 (vid. d. stundu sk. mēnesī). Vid. mēn. noslogojums 9.23 stunda, (8,22 </t>
    </r>
    <r>
      <rPr>
        <i/>
        <sz val="12"/>
        <color theme="1"/>
        <rFont val="Times New Roman"/>
        <family val="1"/>
        <charset val="186"/>
      </rPr>
      <t>euro</t>
    </r>
    <r>
      <rPr>
        <sz val="12"/>
        <color theme="1"/>
        <rFont val="Times New Roman"/>
        <family val="1"/>
        <charset val="186"/>
      </rPr>
      <t xml:space="preserve"> * 9.23 h) = 75,87 </t>
    </r>
    <r>
      <rPr>
        <i/>
        <sz val="12"/>
        <color theme="1"/>
        <rFont val="Times New Roman"/>
        <family val="1"/>
        <charset val="186"/>
      </rPr>
      <t>euro</t>
    </r>
    <r>
      <rPr>
        <sz val="12"/>
        <color theme="1"/>
        <rFont val="Times New Roman"/>
        <family val="1"/>
        <charset val="186"/>
      </rPr>
      <t xml:space="preserve">/mēn. * 12. mēn. = 910,44 </t>
    </r>
    <r>
      <rPr>
        <i/>
        <sz val="12"/>
        <color theme="1"/>
        <rFont val="Times New Roman"/>
        <family val="1"/>
        <charset val="186"/>
      </rPr>
      <t>euro</t>
    </r>
    <r>
      <rPr>
        <sz val="12"/>
        <color theme="1"/>
        <rFont val="Times New Roman"/>
        <family val="1"/>
        <charset val="186"/>
      </rPr>
      <t xml:space="preserve"> * 0.0087  (iznomātās platības koeficients) = 7,92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</si>
  <si>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/166.92 (vid. d. stundu sk. mēnesī). Vid. mēn. noslogojums 33.59 stundas, (9,11 </t>
    </r>
    <r>
      <rPr>
        <i/>
        <sz val="12"/>
        <color theme="1"/>
        <rFont val="Times New Roman"/>
        <family val="1"/>
        <charset val="186"/>
      </rPr>
      <t>euro</t>
    </r>
    <r>
      <rPr>
        <sz val="12"/>
        <color theme="1"/>
        <rFont val="Times New Roman"/>
        <family val="1"/>
        <charset val="186"/>
      </rPr>
      <t xml:space="preserve"> * 33.59 h) = 306,00 </t>
    </r>
    <r>
      <rPr>
        <i/>
        <sz val="12"/>
        <color theme="1"/>
        <rFont val="Times New Roman"/>
        <family val="1"/>
        <charset val="186"/>
      </rPr>
      <t>euro</t>
    </r>
    <r>
      <rPr>
        <sz val="12"/>
        <color theme="1"/>
        <rFont val="Times New Roman"/>
        <family val="1"/>
        <charset val="186"/>
      </rPr>
      <t xml:space="preserve">/mēn. * 12. mēn. = 3 672,00 </t>
    </r>
    <r>
      <rPr>
        <i/>
        <sz val="12"/>
        <color theme="1"/>
        <rFont val="Times New Roman"/>
        <family val="1"/>
        <charset val="186"/>
      </rPr>
      <t>euro</t>
    </r>
    <r>
      <rPr>
        <sz val="12"/>
        <color theme="1"/>
        <rFont val="Times New Roman"/>
        <family val="1"/>
        <charset val="186"/>
      </rPr>
      <t xml:space="preserve"> * 0.0087 (iznomātās platības koeficients) = 31,95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</si>
  <si>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58.67 stundas, (8,22 </t>
    </r>
    <r>
      <rPr>
        <i/>
        <sz val="12"/>
        <color theme="1"/>
        <rFont val="Times New Roman"/>
        <family val="1"/>
        <charset val="186"/>
      </rPr>
      <t>euro</t>
    </r>
    <r>
      <rPr>
        <sz val="12"/>
        <color theme="1"/>
        <rFont val="Times New Roman"/>
        <family val="1"/>
        <charset val="186"/>
      </rPr>
      <t xml:space="preserve"> * 58.67 h) = 482,27 </t>
    </r>
    <r>
      <rPr>
        <i/>
        <sz val="12"/>
        <color theme="1"/>
        <rFont val="Times New Roman"/>
        <family val="1"/>
        <charset val="186"/>
      </rPr>
      <t>euro</t>
    </r>
    <r>
      <rPr>
        <sz val="12"/>
        <color theme="1"/>
        <rFont val="Times New Roman"/>
        <family val="1"/>
        <charset val="186"/>
      </rPr>
      <t xml:space="preserve">/mēn. * 12. mēn. = 5 787,24 </t>
    </r>
    <r>
      <rPr>
        <i/>
        <sz val="12"/>
        <color theme="1"/>
        <rFont val="Times New Roman"/>
        <family val="1"/>
        <charset val="186"/>
      </rPr>
      <t>euro</t>
    </r>
    <r>
      <rPr>
        <sz val="12"/>
        <color theme="1"/>
        <rFont val="Times New Roman"/>
        <family val="1"/>
        <charset val="186"/>
      </rPr>
      <t xml:space="preserve"> * 0.0087 (iznomātās platības koeficients) = 50,35 </t>
    </r>
    <r>
      <rPr>
        <i/>
        <sz val="12"/>
        <color theme="1"/>
        <rFont val="Times New Roman"/>
        <family val="1"/>
        <charset val="186"/>
      </rPr>
      <t>euro.</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</si>
  <si>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7.2 stundas, (24,34 </t>
    </r>
    <r>
      <rPr>
        <i/>
        <sz val="12"/>
        <color theme="1"/>
        <rFont val="Times New Roman"/>
        <family val="1"/>
        <charset val="186"/>
      </rPr>
      <t>euro</t>
    </r>
    <r>
      <rPr>
        <sz val="12"/>
        <color theme="1"/>
        <rFont val="Times New Roman"/>
        <family val="1"/>
        <charset val="186"/>
      </rPr>
      <t xml:space="preserve"> * 7.2 h) = 175,25 </t>
    </r>
    <r>
      <rPr>
        <i/>
        <sz val="12"/>
        <color theme="1"/>
        <rFont val="Times New Roman"/>
        <family val="1"/>
        <charset val="186"/>
      </rPr>
      <t>euro</t>
    </r>
    <r>
      <rPr>
        <sz val="12"/>
        <color theme="1"/>
        <rFont val="Times New Roman"/>
        <family val="1"/>
        <charset val="186"/>
      </rPr>
      <t xml:space="preserve">/mēn. * 12. mēn. = 2 103,00 </t>
    </r>
    <r>
      <rPr>
        <i/>
        <sz val="12"/>
        <color theme="1"/>
        <rFont val="Times New Roman"/>
        <family val="1"/>
        <charset val="186"/>
      </rPr>
      <t>euro</t>
    </r>
    <r>
      <rPr>
        <sz val="12"/>
        <color theme="1"/>
        <rFont val="Times New Roman"/>
        <family val="1"/>
        <charset val="186"/>
      </rPr>
      <t xml:space="preserve"> * 0.0087 (iznomātās platības koeficients) = 18,30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</si>
  <si>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1.65 stundas, (26,96 euro * 1.65 h) = 44,48 </t>
    </r>
    <r>
      <rPr>
        <i/>
        <sz val="12"/>
        <color theme="1"/>
        <rFont val="Times New Roman"/>
        <family val="1"/>
        <charset val="186"/>
      </rPr>
      <t>euro</t>
    </r>
    <r>
      <rPr>
        <sz val="12"/>
        <color theme="1"/>
        <rFont val="Times New Roman"/>
        <family val="1"/>
        <charset val="186"/>
      </rPr>
      <t xml:space="preserve">/mēn. * 12. mēn. = 533,76 </t>
    </r>
    <r>
      <rPr>
        <i/>
        <sz val="12"/>
        <color theme="1"/>
        <rFont val="Times New Roman"/>
        <family val="1"/>
        <charset val="186"/>
      </rPr>
      <t>euro</t>
    </r>
    <r>
      <rPr>
        <sz val="12"/>
        <color theme="1"/>
        <rFont val="Times New Roman"/>
        <family val="1"/>
        <charset val="186"/>
      </rPr>
      <t xml:space="preserve"> * 0.0087 (iznomātās platības koeficients) = 4,64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</si>
  <si>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124,34 </t>
    </r>
    <r>
      <rPr>
        <i/>
        <sz val="12"/>
        <color theme="1"/>
        <rFont val="Times New Roman"/>
        <family val="1"/>
        <charset val="186"/>
      </rPr>
      <t>euro</t>
    </r>
    <r>
      <rPr>
        <sz val="12"/>
        <color theme="1"/>
        <rFont val="Times New Roman"/>
        <family val="1"/>
        <charset val="186"/>
      </rPr>
      <t xml:space="preserve"> * 23,59 % = 29,33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</si>
  <si>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166.92 (vid. d. stundu sk. mēnesī). Vid. mēn. noslogojums 6.26 stundas, (8,14 </t>
    </r>
    <r>
      <rPr>
        <i/>
        <sz val="12"/>
        <color theme="1"/>
        <rFont val="Times New Roman"/>
        <family val="1"/>
        <charset val="186"/>
      </rPr>
      <t>euro</t>
    </r>
    <r>
      <rPr>
        <sz val="12"/>
        <color theme="1"/>
        <rFont val="Times New Roman"/>
        <family val="1"/>
        <charset val="186"/>
      </rPr>
      <t xml:space="preserve"> * 6.26 h) = 50,96 </t>
    </r>
    <r>
      <rPr>
        <i/>
        <sz val="12"/>
        <color theme="1"/>
        <rFont val="Times New Roman"/>
        <family val="1"/>
        <charset val="186"/>
      </rPr>
      <t>euro</t>
    </r>
    <r>
      <rPr>
        <sz val="12"/>
        <color theme="1"/>
        <rFont val="Times New Roman"/>
        <family val="1"/>
        <charset val="186"/>
      </rPr>
      <t xml:space="preserve">/mēn. * 12 mēn. = 611,52 </t>
    </r>
    <r>
      <rPr>
        <i/>
        <sz val="12"/>
        <color theme="1"/>
        <rFont val="Times New Roman"/>
        <family val="1"/>
        <charset val="186"/>
      </rPr>
      <t>euro</t>
    </r>
    <r>
      <rPr>
        <sz val="12"/>
        <color theme="1"/>
        <rFont val="Times New Roman"/>
        <family val="1"/>
        <charset val="186"/>
      </rPr>
      <t xml:space="preserve"> * 0.0087 (iznomātās platības koeficients)  = 5,32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</si>
  <si>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142.54 stundas, (8,14 </t>
    </r>
    <r>
      <rPr>
        <i/>
        <sz val="12"/>
        <color theme="1"/>
        <rFont val="Times New Roman"/>
        <family val="1"/>
        <charset val="186"/>
      </rPr>
      <t>euro</t>
    </r>
    <r>
      <rPr>
        <sz val="12"/>
        <color theme="1"/>
        <rFont val="Times New Roman"/>
        <family val="1"/>
        <charset val="186"/>
      </rPr>
      <t xml:space="preserve"> * 142.54 h) = 1 160,28  </t>
    </r>
    <r>
      <rPr>
        <i/>
        <sz val="12"/>
        <color theme="1"/>
        <rFont val="Times New Roman"/>
        <family val="1"/>
        <charset val="186"/>
      </rPr>
      <t>euro</t>
    </r>
    <r>
      <rPr>
        <sz val="12"/>
        <color theme="1"/>
        <rFont val="Times New Roman"/>
        <family val="1"/>
        <charset val="186"/>
      </rPr>
      <t xml:space="preserve">/mēn.  * 12 mēn. = 13 923,36 </t>
    </r>
    <r>
      <rPr>
        <i/>
        <sz val="12"/>
        <color theme="1"/>
        <rFont val="Times New Roman"/>
        <family val="1"/>
        <charset val="186"/>
      </rPr>
      <t>euro</t>
    </r>
    <r>
      <rPr>
        <sz val="12"/>
        <color theme="1"/>
        <rFont val="Times New Roman"/>
        <family val="1"/>
        <charset val="186"/>
      </rPr>
      <t xml:space="preserve"> * 0.0087 (iznomātās platības koeficients)  = 121,13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</si>
  <si>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10.44 stundas, (5,37 </t>
    </r>
    <r>
      <rPr>
        <i/>
        <sz val="12"/>
        <color theme="1"/>
        <rFont val="Times New Roman"/>
        <family val="1"/>
        <charset val="186"/>
      </rPr>
      <t>euro</t>
    </r>
    <r>
      <rPr>
        <sz val="12"/>
        <color theme="1"/>
        <rFont val="Times New Roman"/>
        <family val="1"/>
        <charset val="186"/>
      </rPr>
      <t xml:space="preserve"> * 10.44 h) = 56,06  </t>
    </r>
    <r>
      <rPr>
        <i/>
        <sz val="12"/>
        <color theme="1"/>
        <rFont val="Times New Roman"/>
        <family val="1"/>
        <charset val="186"/>
      </rPr>
      <t>euro</t>
    </r>
    <r>
      <rPr>
        <sz val="12"/>
        <color theme="1"/>
        <rFont val="Times New Roman"/>
        <family val="1"/>
        <charset val="186"/>
      </rPr>
      <t xml:space="preserve">/mēn.  * 12 mēn. = 672,72 </t>
    </r>
    <r>
      <rPr>
        <i/>
        <sz val="12"/>
        <color theme="1"/>
        <rFont val="Times New Roman"/>
        <family val="1"/>
        <charset val="186"/>
      </rPr>
      <t>euro</t>
    </r>
    <r>
      <rPr>
        <sz val="12"/>
        <color theme="1"/>
        <rFont val="Times New Roman"/>
        <family val="1"/>
        <charset val="186"/>
      </rPr>
      <t xml:space="preserve"> * 0.0087 (iznomātās platības koeficients) = 5,85 </t>
    </r>
    <r>
      <rPr>
        <i/>
        <sz val="12"/>
        <color theme="1"/>
        <rFont val="Times New Roman"/>
        <family val="1"/>
        <charset val="186"/>
      </rPr>
      <t>euro</t>
    </r>
    <r>
      <rPr>
        <sz val="12"/>
        <color theme="1"/>
        <rFont val="Times New Roman"/>
        <family val="1"/>
        <charset val="186"/>
      </rPr>
      <t xml:space="preserve">. </t>
    </r>
  </si>
  <si>
    <r>
      <t xml:space="preserve">Galv. nekust. īpaš. pārvaldnieks (5,32 </t>
    </r>
    <r>
      <rPr>
        <i/>
        <sz val="12"/>
        <color theme="1"/>
        <rFont val="Times New Roman"/>
        <family val="1"/>
        <charset val="186"/>
      </rPr>
      <t>euro</t>
    </r>
    <r>
      <rPr>
        <sz val="12"/>
        <color theme="1"/>
        <rFont val="Times New Roman"/>
        <family val="1"/>
        <charset val="186"/>
      </rPr>
      <t xml:space="preserve"> * 10%) = 0,53 </t>
    </r>
    <r>
      <rPr>
        <i/>
        <sz val="12"/>
        <color theme="1"/>
        <rFont val="Times New Roman"/>
        <family val="1"/>
        <charset val="186"/>
      </rPr>
      <t>euro</t>
    </r>
    <r>
      <rPr>
        <sz val="12"/>
        <color theme="1"/>
        <rFont val="Times New Roman"/>
        <family val="1"/>
        <charset val="186"/>
      </rPr>
      <t xml:space="preserve">, Dienesta viesnīcas vadīotājs (121,13 euro * 10%) = 12,11 euro.  Saimniecības pārzinis (5,85 </t>
    </r>
    <r>
      <rPr>
        <i/>
        <sz val="12"/>
        <color theme="1"/>
        <rFont val="Times New Roman"/>
        <family val="1"/>
        <charset val="186"/>
      </rPr>
      <t>euro</t>
    </r>
    <r>
      <rPr>
        <sz val="12"/>
        <color theme="1"/>
        <rFont val="Times New Roman"/>
        <family val="1"/>
        <charset val="186"/>
      </rPr>
      <t xml:space="preserve"> * 10%) = 0,59 </t>
    </r>
    <r>
      <rPr>
        <i/>
        <sz val="12"/>
        <color theme="1"/>
        <rFont val="Times New Roman"/>
        <family val="1"/>
        <charset val="186"/>
      </rPr>
      <t>euro.</t>
    </r>
    <r>
      <rPr>
        <sz val="12"/>
        <color theme="1"/>
        <rFont val="Times New Roman"/>
        <family val="1"/>
        <charset val="186"/>
      </rPr>
      <t xml:space="preserve"> Kopā (0,53 </t>
    </r>
    <r>
      <rPr>
        <i/>
        <sz val="12"/>
        <color theme="1"/>
        <rFont val="Times New Roman"/>
        <family val="1"/>
        <charset val="186"/>
      </rPr>
      <t>euro</t>
    </r>
    <r>
      <rPr>
        <sz val="12"/>
        <color theme="1"/>
        <rFont val="Times New Roman"/>
        <family val="1"/>
        <charset val="186"/>
      </rPr>
      <t xml:space="preserve"> + 12,04 </t>
    </r>
    <r>
      <rPr>
        <i/>
        <sz val="12"/>
        <color theme="1"/>
        <rFont val="Times New Roman"/>
        <family val="1"/>
        <charset val="186"/>
      </rPr>
      <t>euro</t>
    </r>
    <r>
      <rPr>
        <sz val="12"/>
        <color theme="1"/>
        <rFont val="Times New Roman"/>
        <family val="1"/>
        <charset val="186"/>
      </rPr>
      <t xml:space="preserve"> + 0,59 </t>
    </r>
    <r>
      <rPr>
        <i/>
        <sz val="12"/>
        <color theme="1"/>
        <rFont val="Times New Roman"/>
        <family val="1"/>
        <charset val="186"/>
      </rPr>
      <t>euro</t>
    </r>
    <r>
      <rPr>
        <sz val="12"/>
        <color theme="1"/>
        <rFont val="Times New Roman"/>
        <family val="1"/>
        <charset val="186"/>
      </rPr>
      <t xml:space="preserve">) = 13,23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</si>
  <si>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(145,53 </t>
    </r>
    <r>
      <rPr>
        <i/>
        <sz val="12"/>
        <color theme="1"/>
        <rFont val="Times New Roman"/>
        <family val="1"/>
        <charset val="186"/>
      </rPr>
      <t>euro</t>
    </r>
    <r>
      <rPr>
        <sz val="12"/>
        <color theme="1"/>
        <rFont val="Times New Roman"/>
        <family val="1"/>
        <charset val="186"/>
      </rPr>
      <t xml:space="preserve"> * 23,59 %) = 34,33 </t>
    </r>
    <r>
      <rPr>
        <i/>
        <sz val="12"/>
        <color theme="1"/>
        <rFont val="Times New Roman"/>
        <family val="1"/>
        <charset val="186"/>
      </rPr>
      <t xml:space="preserve">euro. </t>
    </r>
  </si>
  <si>
    <r>
      <t xml:space="preserve">Galv. nekust. īpaš. pārvaldnieks (5,32 </t>
    </r>
    <r>
      <rPr>
        <i/>
        <sz val="12"/>
        <color theme="1"/>
        <rFont val="Times New Roman"/>
        <family val="1"/>
        <charset val="186"/>
      </rPr>
      <t>euro</t>
    </r>
    <r>
      <rPr>
        <sz val="12"/>
        <color theme="1"/>
        <rFont val="Times New Roman"/>
        <family val="1"/>
        <charset val="186"/>
      </rPr>
      <t xml:space="preserve"> * 5%) = 0,27 </t>
    </r>
    <r>
      <rPr>
        <i/>
        <sz val="12"/>
        <color theme="1"/>
        <rFont val="Times New Roman"/>
        <family val="1"/>
        <charset val="186"/>
      </rPr>
      <t>euro</t>
    </r>
    <r>
      <rPr>
        <sz val="12"/>
        <color theme="1"/>
        <rFont val="Times New Roman"/>
        <family val="1"/>
        <charset val="186"/>
      </rPr>
      <t xml:space="preserve">, Dienesta viesnīcas vadīotājs (121,13 </t>
    </r>
    <r>
      <rPr>
        <i/>
        <sz val="12"/>
        <color theme="1"/>
        <rFont val="Times New Roman"/>
        <family val="1"/>
        <charset val="186"/>
      </rPr>
      <t>euro</t>
    </r>
    <r>
      <rPr>
        <sz val="12"/>
        <color theme="1"/>
        <rFont val="Times New Roman"/>
        <family val="1"/>
        <charset val="186"/>
      </rPr>
      <t xml:space="preserve"> * 5%) = 6,06 </t>
    </r>
    <r>
      <rPr>
        <i/>
        <sz val="12"/>
        <color theme="1"/>
        <rFont val="Times New Roman"/>
        <family val="1"/>
        <charset val="186"/>
      </rPr>
      <t>euro</t>
    </r>
    <r>
      <rPr>
        <sz val="12"/>
        <color theme="1"/>
        <rFont val="Times New Roman"/>
        <family val="1"/>
        <charset val="186"/>
      </rPr>
      <t xml:space="preserve">.  Saimniecības pārzinis (5,85 </t>
    </r>
    <r>
      <rPr>
        <i/>
        <sz val="12"/>
        <color theme="1"/>
        <rFont val="Times New Roman"/>
        <family val="1"/>
        <charset val="186"/>
      </rPr>
      <t>euro</t>
    </r>
    <r>
      <rPr>
        <sz val="12"/>
        <color theme="1"/>
        <rFont val="Times New Roman"/>
        <family val="1"/>
        <charset val="186"/>
      </rPr>
      <t xml:space="preserve"> * 5%) = 0,29 </t>
    </r>
    <r>
      <rPr>
        <i/>
        <sz val="12"/>
        <color theme="1"/>
        <rFont val="Times New Roman"/>
        <family val="1"/>
        <charset val="186"/>
      </rPr>
      <t>euro.</t>
    </r>
    <r>
      <rPr>
        <sz val="12"/>
        <color theme="1"/>
        <rFont val="Times New Roman"/>
        <family val="1"/>
        <charset val="186"/>
      </rPr>
      <t xml:space="preserve"> Kopā (0,27 </t>
    </r>
    <r>
      <rPr>
        <i/>
        <sz val="12"/>
        <color theme="1"/>
        <rFont val="Times New Roman"/>
        <family val="1"/>
        <charset val="186"/>
      </rPr>
      <t>euro</t>
    </r>
    <r>
      <rPr>
        <sz val="12"/>
        <color theme="1"/>
        <rFont val="Times New Roman"/>
        <family val="1"/>
        <charset val="186"/>
      </rPr>
      <t xml:space="preserve"> + 6,06 </t>
    </r>
    <r>
      <rPr>
        <i/>
        <sz val="12"/>
        <color theme="1"/>
        <rFont val="Times New Roman"/>
        <family val="1"/>
        <charset val="186"/>
      </rPr>
      <t>euro</t>
    </r>
    <r>
      <rPr>
        <sz val="12"/>
        <color theme="1"/>
        <rFont val="Times New Roman"/>
        <family val="1"/>
        <charset val="186"/>
      </rPr>
      <t xml:space="preserve"> + 0,29 </t>
    </r>
    <r>
      <rPr>
        <i/>
        <sz val="12"/>
        <color theme="1"/>
        <rFont val="Times New Roman"/>
        <family val="1"/>
        <charset val="186"/>
      </rPr>
      <t>euro</t>
    </r>
    <r>
      <rPr>
        <sz val="12"/>
        <color theme="1"/>
        <rFont val="Times New Roman"/>
        <family val="1"/>
        <charset val="186"/>
      </rPr>
      <t xml:space="preserve">) = 6,62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</si>
  <si>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34,33 </t>
    </r>
    <r>
      <rPr>
        <i/>
        <sz val="12"/>
        <color theme="1"/>
        <rFont val="Times New Roman"/>
        <family val="1"/>
        <charset val="186"/>
      </rPr>
      <t>euro</t>
    </r>
    <r>
      <rPr>
        <sz val="12"/>
        <color theme="1"/>
        <rFont val="Times New Roman"/>
        <family val="1"/>
        <charset val="186"/>
      </rPr>
      <t xml:space="preserve">. Veselības apdrošināšana 6,62 </t>
    </r>
    <r>
      <rPr>
        <i/>
        <sz val="12"/>
        <color theme="1"/>
        <rFont val="Times New Roman"/>
        <family val="1"/>
        <charset val="186"/>
      </rPr>
      <t>euro</t>
    </r>
    <r>
      <rPr>
        <sz val="12"/>
        <color theme="1"/>
        <rFont val="Times New Roman"/>
        <family val="1"/>
        <charset val="186"/>
      </rPr>
      <t xml:space="preserve">. Kopā 40,95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</si>
  <si>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2.06 stundas, (15,03 </t>
    </r>
    <r>
      <rPr>
        <i/>
        <sz val="12"/>
        <color theme="1"/>
        <rFont val="Times New Roman"/>
        <family val="1"/>
        <charset val="186"/>
      </rPr>
      <t>euro</t>
    </r>
    <r>
      <rPr>
        <sz val="12"/>
        <color theme="1"/>
        <rFont val="Times New Roman"/>
        <family val="1"/>
        <charset val="186"/>
      </rPr>
      <t xml:space="preserve"> * 2.06 h) = 30,96 </t>
    </r>
    <r>
      <rPr>
        <i/>
        <sz val="12"/>
        <color theme="1"/>
        <rFont val="Times New Roman"/>
        <family val="1"/>
        <charset val="186"/>
      </rPr>
      <t>euro</t>
    </r>
    <r>
      <rPr>
        <sz val="12"/>
        <color theme="1"/>
        <rFont val="Times New Roman"/>
        <family val="1"/>
        <charset val="186"/>
      </rPr>
      <t xml:space="preserve">/mēn. * 12. mēn. = 371,52 </t>
    </r>
    <r>
      <rPr>
        <i/>
        <sz val="12"/>
        <color theme="1"/>
        <rFont val="Times New Roman"/>
        <family val="1"/>
        <charset val="186"/>
      </rPr>
      <t>euro</t>
    </r>
    <r>
      <rPr>
        <sz val="12"/>
        <color theme="1"/>
        <rFont val="Times New Roman"/>
        <family val="1"/>
        <charset val="186"/>
      </rPr>
      <t xml:space="preserve"> * 0.0155 (iznomātās platības koeficients) = 5,76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</si>
  <si>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1.83 stundas, (11,22 </t>
    </r>
    <r>
      <rPr>
        <i/>
        <sz val="12"/>
        <color theme="1"/>
        <rFont val="Times New Roman"/>
        <family val="1"/>
        <charset val="186"/>
      </rPr>
      <t>euro</t>
    </r>
    <r>
      <rPr>
        <sz val="12"/>
        <color theme="1"/>
        <rFont val="Times New Roman"/>
        <family val="1"/>
        <charset val="186"/>
      </rPr>
      <t xml:space="preserve"> * 1.83 h) = 20,53 </t>
    </r>
    <r>
      <rPr>
        <i/>
        <sz val="12"/>
        <color theme="1"/>
        <rFont val="Times New Roman"/>
        <family val="1"/>
        <charset val="186"/>
      </rPr>
      <t>euro</t>
    </r>
    <r>
      <rPr>
        <sz val="12"/>
        <color theme="1"/>
        <rFont val="Times New Roman"/>
        <family val="1"/>
        <charset val="186"/>
      </rPr>
      <t xml:space="preserve">/mēn. * 12. mēn. = 246,36 </t>
    </r>
    <r>
      <rPr>
        <i/>
        <sz val="12"/>
        <color theme="1"/>
        <rFont val="Times New Roman"/>
        <family val="1"/>
        <charset val="186"/>
      </rPr>
      <t>euro</t>
    </r>
    <r>
      <rPr>
        <sz val="12"/>
        <color theme="1"/>
        <rFont val="Times New Roman"/>
        <family val="1"/>
        <charset val="186"/>
      </rPr>
      <t xml:space="preserve"> * 0.0107 (iznomātās platības koeficients) = 2,64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</si>
  <si>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1.66 stundas, (12,07 </t>
    </r>
    <r>
      <rPr>
        <i/>
        <sz val="12"/>
        <color theme="1"/>
        <rFont val="Times New Roman"/>
        <family val="1"/>
        <charset val="186"/>
      </rPr>
      <t>euro</t>
    </r>
    <r>
      <rPr>
        <sz val="12"/>
        <color theme="1"/>
        <rFont val="Times New Roman"/>
        <family val="1"/>
        <charset val="186"/>
      </rPr>
      <t xml:space="preserve"> * 1.66 h) = 20,04 </t>
    </r>
    <r>
      <rPr>
        <i/>
        <sz val="12"/>
        <color theme="1"/>
        <rFont val="Times New Roman"/>
        <family val="1"/>
        <charset val="186"/>
      </rPr>
      <t>euro</t>
    </r>
    <r>
      <rPr>
        <sz val="12"/>
        <color theme="1"/>
        <rFont val="Times New Roman"/>
        <family val="1"/>
        <charset val="186"/>
      </rPr>
      <t xml:space="preserve">/mēn. * 12. mēn. = 240,48 </t>
    </r>
    <r>
      <rPr>
        <i/>
        <sz val="12"/>
        <color theme="1"/>
        <rFont val="Times New Roman"/>
        <family val="1"/>
        <charset val="186"/>
      </rPr>
      <t>euro</t>
    </r>
    <r>
      <rPr>
        <sz val="12"/>
        <color theme="1"/>
        <rFont val="Times New Roman"/>
        <family val="1"/>
        <charset val="186"/>
      </rPr>
      <t xml:space="preserve"> * 0.0107 (iznomātās platības koeficients) = 2,57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</si>
  <si>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 xml:space="preserve">euro </t>
    </r>
    <r>
      <rPr>
        <sz val="12"/>
        <color theme="1"/>
        <rFont val="Times New Roman"/>
        <family val="1"/>
        <charset val="186"/>
      </rPr>
      <t xml:space="preserve">/ 166.92 (vid. d. stundu sk. mēnesī). Vid. mēn. noslogojums 9.23 stunda, (8,22 </t>
    </r>
    <r>
      <rPr>
        <i/>
        <sz val="12"/>
        <color theme="1"/>
        <rFont val="Times New Roman"/>
        <family val="1"/>
        <charset val="186"/>
      </rPr>
      <t>euro</t>
    </r>
    <r>
      <rPr>
        <sz val="12"/>
        <color theme="1"/>
        <rFont val="Times New Roman"/>
        <family val="1"/>
        <charset val="186"/>
      </rPr>
      <t xml:space="preserve"> * 9.23 h) = 75,87 </t>
    </r>
    <r>
      <rPr>
        <i/>
        <sz val="12"/>
        <color theme="1"/>
        <rFont val="Times New Roman"/>
        <family val="1"/>
        <charset val="186"/>
      </rPr>
      <t>euro</t>
    </r>
    <r>
      <rPr>
        <sz val="12"/>
        <color theme="1"/>
        <rFont val="Times New Roman"/>
        <family val="1"/>
        <charset val="186"/>
      </rPr>
      <t xml:space="preserve">/mēn. * 12. mēn. = 910,44 </t>
    </r>
    <r>
      <rPr>
        <i/>
        <sz val="12"/>
        <color theme="1"/>
        <rFont val="Times New Roman"/>
        <family val="1"/>
        <charset val="186"/>
      </rPr>
      <t>euro</t>
    </r>
    <r>
      <rPr>
        <sz val="12"/>
        <color theme="1"/>
        <rFont val="Times New Roman"/>
        <family val="1"/>
        <charset val="186"/>
      </rPr>
      <t xml:space="preserve"> * 0.0107 (iznomātās platības koeficients) = 9,74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</si>
  <si>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 xml:space="preserve">euro </t>
    </r>
    <r>
      <rPr>
        <sz val="12"/>
        <color theme="1"/>
        <rFont val="Times New Roman"/>
        <family val="1"/>
        <charset val="186"/>
      </rPr>
      <t xml:space="preserve">/ 166.92 (vid. d. stundu sk. mēnesī). Vid. mēn. noslogojums 33.59 stundas, (9,11 </t>
    </r>
    <r>
      <rPr>
        <i/>
        <sz val="12"/>
        <color theme="1"/>
        <rFont val="Times New Roman"/>
        <family val="1"/>
        <charset val="186"/>
      </rPr>
      <t>euro</t>
    </r>
    <r>
      <rPr>
        <sz val="12"/>
        <color theme="1"/>
        <rFont val="Times New Roman"/>
        <family val="1"/>
        <charset val="186"/>
      </rPr>
      <t xml:space="preserve"> * 33.59 h) = 306,00 </t>
    </r>
    <r>
      <rPr>
        <i/>
        <sz val="12"/>
        <color theme="1"/>
        <rFont val="Times New Roman"/>
        <family val="1"/>
        <charset val="186"/>
      </rPr>
      <t>euro</t>
    </r>
    <r>
      <rPr>
        <sz val="12"/>
        <color theme="1"/>
        <rFont val="Times New Roman"/>
        <family val="1"/>
        <charset val="186"/>
      </rPr>
      <t xml:space="preserve">/mēn. * 12. mēn. = 3 672,00 </t>
    </r>
    <r>
      <rPr>
        <i/>
        <sz val="12"/>
        <color theme="1"/>
        <rFont val="Times New Roman"/>
        <family val="1"/>
        <charset val="186"/>
      </rPr>
      <t>euro</t>
    </r>
    <r>
      <rPr>
        <sz val="12"/>
        <color theme="1"/>
        <rFont val="Times New Roman"/>
        <family val="1"/>
        <charset val="186"/>
      </rPr>
      <t xml:space="preserve"> * 0.0107 (iznomātās platības koeficients) = 39,29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</si>
  <si>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1 645,18 </t>
    </r>
    <r>
      <rPr>
        <i/>
        <sz val="12"/>
        <color theme="1"/>
        <rFont val="Times New Roman"/>
        <family val="1"/>
        <charset val="186"/>
      </rPr>
      <t>euro</t>
    </r>
    <r>
      <rPr>
        <sz val="12"/>
        <color theme="1"/>
        <rFont val="Times New Roman"/>
        <family val="1"/>
        <charset val="186"/>
      </rPr>
      <t xml:space="preserve">. Veselības apdrošināšana 317,00 </t>
    </r>
    <r>
      <rPr>
        <i/>
        <sz val="12"/>
        <color theme="1"/>
        <rFont val="Times New Roman"/>
        <family val="1"/>
        <charset val="186"/>
      </rPr>
      <t>euro</t>
    </r>
    <r>
      <rPr>
        <sz val="12"/>
        <color theme="1"/>
        <rFont val="Times New Roman"/>
        <family val="1"/>
        <charset val="186"/>
      </rPr>
      <t xml:space="preserve">. Kopā 1 962,18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</si>
  <si>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5 958,54 </t>
    </r>
    <r>
      <rPr>
        <i/>
        <sz val="12"/>
        <color theme="1"/>
        <rFont val="Times New Roman"/>
        <family val="1"/>
        <charset val="186"/>
      </rPr>
      <t>euro</t>
    </r>
    <r>
      <rPr>
        <sz val="12"/>
        <color theme="1"/>
        <rFont val="Times New Roman"/>
        <family val="1"/>
        <charset val="186"/>
      </rPr>
      <t xml:space="preserve"> * 23,59 % = 1 405,62 </t>
    </r>
    <r>
      <rPr>
        <i/>
        <sz val="12"/>
        <color theme="1"/>
        <rFont val="Times New Roman"/>
        <family val="1"/>
        <charset val="186"/>
      </rPr>
      <t>euro</t>
    </r>
    <r>
      <rPr>
        <sz val="12"/>
        <color theme="1"/>
        <rFont val="Times New Roman"/>
        <family val="1"/>
        <charset val="186"/>
      </rPr>
      <t>.</t>
    </r>
  </si>
  <si>
    <r>
      <t xml:space="preserve">Izdevumi par atkritumu izvešanu 23 680,95 </t>
    </r>
    <r>
      <rPr>
        <i/>
        <sz val="12"/>
        <color theme="1"/>
        <rFont val="Times New Roman"/>
        <family val="1"/>
        <charset val="186"/>
      </rPr>
      <t>euro</t>
    </r>
    <r>
      <rPr>
        <sz val="12"/>
        <color theme="1"/>
        <rFont val="Times New Roman"/>
        <family val="1"/>
        <charset val="186"/>
      </rPr>
      <t xml:space="preserve"> gadā * 0.4169 (iznomātās platības koeficients) = 9 872,59 </t>
    </r>
    <r>
      <rPr>
        <i/>
        <sz val="12"/>
        <color theme="1"/>
        <rFont val="Times New Roman"/>
        <family val="1"/>
        <charset val="186"/>
      </rPr>
      <t>euro</t>
    </r>
    <r>
      <rPr>
        <sz val="12"/>
        <color theme="1"/>
        <rFont val="Times New Roman"/>
        <family val="1"/>
        <charset val="186"/>
      </rPr>
      <t>.</t>
    </r>
  </si>
  <si>
    <r>
      <t xml:space="preserve">Nekustamā īpašuma nodoklis 10 541,01 </t>
    </r>
    <r>
      <rPr>
        <i/>
        <sz val="12"/>
        <color theme="1"/>
        <rFont val="Times New Roman"/>
        <family val="1"/>
        <charset val="186"/>
      </rPr>
      <t>euro</t>
    </r>
    <r>
      <rPr>
        <sz val="12"/>
        <color theme="1"/>
        <rFont val="Times New Roman"/>
        <family val="1"/>
        <charset val="186"/>
      </rPr>
      <t xml:space="preserve"> gadā * 0.4169 (iznomātās platības koeficients) = 4 394,55 </t>
    </r>
    <r>
      <rPr>
        <i/>
        <sz val="12"/>
        <color theme="1"/>
        <rFont val="Times New Roman"/>
        <family val="1"/>
        <charset val="186"/>
      </rPr>
      <t>euro</t>
    </r>
    <r>
      <rPr>
        <sz val="12"/>
        <color theme="1"/>
        <rFont val="Times New Roman"/>
        <family val="1"/>
        <charset val="186"/>
      </rPr>
      <t>.</t>
    </r>
  </si>
  <si>
    <r>
      <t xml:space="preserve">Galv. nekust. īpaš. pārvaldnieks (31,02 </t>
    </r>
    <r>
      <rPr>
        <i/>
        <sz val="12"/>
        <color theme="1"/>
        <rFont val="Times New Roman"/>
        <family val="1"/>
        <charset val="186"/>
      </rPr>
      <t>euro</t>
    </r>
    <r>
      <rPr>
        <sz val="12"/>
        <color theme="1"/>
        <rFont val="Times New Roman"/>
        <family val="1"/>
        <charset val="186"/>
      </rPr>
      <t xml:space="preserve"> * 10%) = 3,10 </t>
    </r>
    <r>
      <rPr>
        <i/>
        <sz val="12"/>
        <color theme="1"/>
        <rFont val="Times New Roman"/>
        <family val="1"/>
        <charset val="186"/>
      </rPr>
      <t>euro</t>
    </r>
    <r>
      <rPr>
        <sz val="12"/>
        <color theme="1"/>
        <rFont val="Times New Roman"/>
        <family val="1"/>
        <charset val="186"/>
      </rPr>
      <t xml:space="preserve">, Dienesta viesnīcas vadīotājs (706,33 </t>
    </r>
    <r>
      <rPr>
        <i/>
        <sz val="12"/>
        <color theme="1"/>
        <rFont val="Times New Roman"/>
        <family val="1"/>
        <charset val="186"/>
      </rPr>
      <t>euro</t>
    </r>
    <r>
      <rPr>
        <sz val="12"/>
        <color theme="1"/>
        <rFont val="Times New Roman"/>
        <family val="1"/>
        <charset val="186"/>
      </rPr>
      <t xml:space="preserve"> * 10%) = 70,63 </t>
    </r>
    <r>
      <rPr>
        <i/>
        <sz val="12"/>
        <color theme="1"/>
        <rFont val="Times New Roman"/>
        <family val="1"/>
        <charset val="186"/>
      </rPr>
      <t>euro</t>
    </r>
    <r>
      <rPr>
        <sz val="12"/>
        <color theme="1"/>
        <rFont val="Times New Roman"/>
        <family val="1"/>
        <charset val="186"/>
      </rPr>
      <t xml:space="preserve">.  Saimniecības pārzinis (34,13 </t>
    </r>
    <r>
      <rPr>
        <i/>
        <sz val="12"/>
        <color theme="1"/>
        <rFont val="Times New Roman"/>
        <family val="1"/>
        <charset val="186"/>
      </rPr>
      <t>euro</t>
    </r>
    <r>
      <rPr>
        <sz val="12"/>
        <color theme="1"/>
        <rFont val="Times New Roman"/>
        <family val="1"/>
        <charset val="186"/>
      </rPr>
      <t xml:space="preserve"> * 10%) = 3,41 </t>
    </r>
    <r>
      <rPr>
        <i/>
        <sz val="12"/>
        <color theme="1"/>
        <rFont val="Times New Roman"/>
        <family val="1"/>
        <charset val="186"/>
      </rPr>
      <t>euro.</t>
    </r>
    <r>
      <rPr>
        <sz val="12"/>
        <color theme="1"/>
        <rFont val="Times New Roman"/>
        <family val="1"/>
        <charset val="186"/>
      </rPr>
      <t xml:space="preserve"> Kopā (3,10 </t>
    </r>
    <r>
      <rPr>
        <i/>
        <sz val="12"/>
        <color theme="1"/>
        <rFont val="Times New Roman"/>
        <family val="1"/>
        <charset val="186"/>
      </rPr>
      <t>euro</t>
    </r>
    <r>
      <rPr>
        <sz val="12"/>
        <color theme="1"/>
        <rFont val="Times New Roman"/>
        <family val="1"/>
        <charset val="186"/>
      </rPr>
      <t xml:space="preserve"> + 70,63 </t>
    </r>
    <r>
      <rPr>
        <i/>
        <sz val="12"/>
        <color theme="1"/>
        <rFont val="Times New Roman"/>
        <family val="1"/>
        <charset val="186"/>
      </rPr>
      <t>euro</t>
    </r>
    <r>
      <rPr>
        <sz val="12"/>
        <color theme="1"/>
        <rFont val="Times New Roman"/>
        <family val="1"/>
        <charset val="186"/>
      </rPr>
      <t xml:space="preserve"> +3,41 </t>
    </r>
    <r>
      <rPr>
        <i/>
        <sz val="12"/>
        <color theme="1"/>
        <rFont val="Times New Roman"/>
        <family val="1"/>
        <charset val="186"/>
      </rPr>
      <t>euro</t>
    </r>
    <r>
      <rPr>
        <sz val="12"/>
        <color theme="1"/>
        <rFont val="Times New Roman"/>
        <family val="1"/>
        <charset val="186"/>
      </rPr>
      <t xml:space="preserve">) = 77,14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</si>
  <si>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848,62 </t>
    </r>
    <r>
      <rPr>
        <i/>
        <sz val="12"/>
        <color theme="1"/>
        <rFont val="Times New Roman"/>
        <family val="1"/>
        <charset val="186"/>
      </rPr>
      <t>euro</t>
    </r>
    <r>
      <rPr>
        <sz val="12"/>
        <color theme="1"/>
        <rFont val="Times New Roman"/>
        <family val="1"/>
        <charset val="186"/>
      </rPr>
      <t xml:space="preserve"> * 23,59 % = 200,19 </t>
    </r>
    <r>
      <rPr>
        <i/>
        <sz val="12"/>
        <color theme="1"/>
        <rFont val="Times New Roman"/>
        <family val="1"/>
        <charset val="186"/>
      </rPr>
      <t xml:space="preserve">euro. </t>
    </r>
  </si>
  <si>
    <r>
      <t xml:space="preserve">Pārējie uzturēšanas izdevumi 2 168,13 </t>
    </r>
    <r>
      <rPr>
        <i/>
        <sz val="12"/>
        <color theme="1"/>
        <rFont val="Times New Roman"/>
        <family val="1"/>
        <charset val="186"/>
      </rPr>
      <t>euro</t>
    </r>
    <r>
      <rPr>
        <sz val="12"/>
        <color theme="1"/>
        <rFont val="Times New Roman"/>
        <family val="1"/>
        <charset val="186"/>
      </rPr>
      <t xml:space="preserve"> gadā * 0.05073 (iznomātās platības koeficients) = 109,99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</si>
  <si>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200,19 </t>
    </r>
    <r>
      <rPr>
        <i/>
        <sz val="12"/>
        <color theme="1"/>
        <rFont val="Times New Roman"/>
        <family val="1"/>
        <charset val="186"/>
      </rPr>
      <t>euro</t>
    </r>
    <r>
      <rPr>
        <sz val="12"/>
        <color theme="1"/>
        <rFont val="Times New Roman"/>
        <family val="1"/>
        <charset val="186"/>
      </rPr>
      <t xml:space="preserve">. Veselības apdrošināšana 38,58 </t>
    </r>
    <r>
      <rPr>
        <i/>
        <sz val="12"/>
        <color theme="1"/>
        <rFont val="Times New Roman"/>
        <family val="1"/>
        <charset val="186"/>
      </rPr>
      <t>euro</t>
    </r>
    <r>
      <rPr>
        <sz val="12"/>
        <color theme="1"/>
        <rFont val="Times New Roman"/>
        <family val="1"/>
        <charset val="186"/>
      </rPr>
      <t xml:space="preserve">. Kopā 238,77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</si>
  <si>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33.59 stundas, (9,11 </t>
    </r>
    <r>
      <rPr>
        <i/>
        <sz val="12"/>
        <color theme="1"/>
        <rFont val="Times New Roman"/>
        <family val="1"/>
        <charset val="186"/>
      </rPr>
      <t>euro</t>
    </r>
    <r>
      <rPr>
        <sz val="12"/>
        <color theme="1"/>
        <rFont val="Times New Roman"/>
        <family val="1"/>
        <charset val="186"/>
      </rPr>
      <t xml:space="preserve"> * 33.59 h) = 306,00 </t>
    </r>
    <r>
      <rPr>
        <i/>
        <sz val="12"/>
        <color theme="1"/>
        <rFont val="Times New Roman"/>
        <family val="1"/>
        <charset val="186"/>
      </rPr>
      <t>euro</t>
    </r>
    <r>
      <rPr>
        <sz val="12"/>
        <color theme="1"/>
        <rFont val="Times New Roman"/>
        <family val="1"/>
        <charset val="186"/>
      </rPr>
      <t xml:space="preserve">/mēn. * 12. mēn. = 3 672,00 </t>
    </r>
    <r>
      <rPr>
        <i/>
        <sz val="12"/>
        <color theme="1"/>
        <rFont val="Times New Roman"/>
        <family val="1"/>
        <charset val="186"/>
      </rPr>
      <t>euro</t>
    </r>
    <r>
      <rPr>
        <sz val="12"/>
        <color theme="1"/>
        <rFont val="Times New Roman"/>
        <family val="1"/>
        <charset val="186"/>
      </rPr>
      <t xml:space="preserve"> * 0.2444 (iznomātās platības koeficients) = 897,44 </t>
    </r>
    <r>
      <rPr>
        <i/>
        <sz val="12"/>
        <color theme="1"/>
        <rFont val="Times New Roman"/>
        <family val="1"/>
        <charset val="186"/>
      </rPr>
      <t>euro</t>
    </r>
    <r>
      <rPr>
        <sz val="12"/>
        <color theme="1"/>
        <rFont val="Times New Roman"/>
        <family val="1"/>
        <charset val="186"/>
      </rPr>
      <t>.</t>
    </r>
  </si>
  <si>
    <r>
      <t xml:space="preserve">Izdevumi par apkuri 48 868,00 </t>
    </r>
    <r>
      <rPr>
        <i/>
        <sz val="12"/>
        <color theme="1"/>
        <rFont val="Times New Roman"/>
        <family val="1"/>
        <charset val="186"/>
      </rPr>
      <t>euro</t>
    </r>
    <r>
      <rPr>
        <sz val="12"/>
        <color theme="1"/>
        <rFont val="Times New Roman"/>
        <family val="1"/>
        <charset val="186"/>
      </rPr>
      <t xml:space="preserve"> gadā * 0.2444 (iznomātās platības koeficients) = 11 943,34 </t>
    </r>
    <r>
      <rPr>
        <i/>
        <sz val="12"/>
        <color theme="1"/>
        <rFont val="Times New Roman"/>
        <family val="1"/>
        <charset val="186"/>
      </rPr>
      <t>euro.</t>
    </r>
  </si>
  <si>
    <r>
      <t xml:space="preserve">Galv. nekust. īpaš. pārvaldnieks (1,59 </t>
    </r>
    <r>
      <rPr>
        <i/>
        <sz val="12"/>
        <color theme="1"/>
        <rFont val="Times New Roman"/>
        <family val="1"/>
        <charset val="186"/>
      </rPr>
      <t>euro</t>
    </r>
    <r>
      <rPr>
        <sz val="12"/>
        <color theme="1"/>
        <rFont val="Times New Roman"/>
        <family val="1"/>
        <charset val="186"/>
      </rPr>
      <t xml:space="preserve"> * 10%) = 0,16 </t>
    </r>
    <r>
      <rPr>
        <i/>
        <sz val="12"/>
        <color theme="1"/>
        <rFont val="Times New Roman"/>
        <family val="1"/>
        <charset val="186"/>
      </rPr>
      <t>euro</t>
    </r>
    <r>
      <rPr>
        <sz val="12"/>
        <color theme="1"/>
        <rFont val="Times New Roman"/>
        <family val="1"/>
        <charset val="186"/>
      </rPr>
      <t xml:space="preserve">, Dienesta viesnīcas vadīotājs (36,20 </t>
    </r>
    <r>
      <rPr>
        <i/>
        <sz val="12"/>
        <color theme="1"/>
        <rFont val="Times New Roman"/>
        <family val="1"/>
        <charset val="186"/>
      </rPr>
      <t>euro</t>
    </r>
    <r>
      <rPr>
        <sz val="12"/>
        <color theme="1"/>
        <rFont val="Times New Roman"/>
        <family val="1"/>
        <charset val="186"/>
      </rPr>
      <t xml:space="preserve"> * 10%) = 3,62 </t>
    </r>
    <r>
      <rPr>
        <i/>
        <sz val="12"/>
        <color theme="1"/>
        <rFont val="Times New Roman"/>
        <family val="1"/>
        <charset val="186"/>
      </rPr>
      <t>euro</t>
    </r>
    <r>
      <rPr>
        <sz val="12"/>
        <color theme="1"/>
        <rFont val="Times New Roman"/>
        <family val="1"/>
        <charset val="186"/>
      </rPr>
      <t xml:space="preserve">. Saimniecības pārzinis (1,75 </t>
    </r>
    <r>
      <rPr>
        <i/>
        <sz val="12"/>
        <color theme="1"/>
        <rFont val="Times New Roman"/>
        <family val="1"/>
        <charset val="186"/>
      </rPr>
      <t>euro</t>
    </r>
    <r>
      <rPr>
        <sz val="12"/>
        <color theme="1"/>
        <rFont val="Times New Roman"/>
        <family val="1"/>
        <charset val="186"/>
      </rPr>
      <t xml:space="preserve"> * 10%) = 0,18 </t>
    </r>
    <r>
      <rPr>
        <i/>
        <sz val="12"/>
        <color theme="1"/>
        <rFont val="Times New Roman"/>
        <family val="1"/>
        <charset val="186"/>
      </rPr>
      <t>euro.</t>
    </r>
    <r>
      <rPr>
        <sz val="12"/>
        <color theme="1"/>
        <rFont val="Times New Roman"/>
        <family val="1"/>
        <charset val="186"/>
      </rPr>
      <t xml:space="preserve"> Kopā (0,16 </t>
    </r>
    <r>
      <rPr>
        <i/>
        <sz val="12"/>
        <color theme="1"/>
        <rFont val="Times New Roman"/>
        <family val="1"/>
        <charset val="186"/>
      </rPr>
      <t>euro</t>
    </r>
    <r>
      <rPr>
        <sz val="12"/>
        <color theme="1"/>
        <rFont val="Times New Roman"/>
        <family val="1"/>
        <charset val="186"/>
      </rPr>
      <t xml:space="preserve"> + 3,62 </t>
    </r>
    <r>
      <rPr>
        <i/>
        <sz val="12"/>
        <color theme="1"/>
        <rFont val="Times New Roman"/>
        <family val="1"/>
        <charset val="186"/>
      </rPr>
      <t>euro</t>
    </r>
    <r>
      <rPr>
        <sz val="12"/>
        <color theme="1"/>
        <rFont val="Times New Roman"/>
        <family val="1"/>
        <charset val="186"/>
      </rPr>
      <t xml:space="preserve"> + 0,18 </t>
    </r>
    <r>
      <rPr>
        <i/>
        <sz val="12"/>
        <color theme="1"/>
        <rFont val="Times New Roman"/>
        <family val="1"/>
        <charset val="186"/>
      </rPr>
      <t>euro</t>
    </r>
    <r>
      <rPr>
        <sz val="12"/>
        <color theme="1"/>
        <rFont val="Times New Roman"/>
        <family val="1"/>
        <charset val="186"/>
      </rPr>
      <t xml:space="preserve">) = 3,96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</si>
  <si>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43,50 </t>
    </r>
    <r>
      <rPr>
        <i/>
        <sz val="12"/>
        <color theme="1"/>
        <rFont val="Times New Roman"/>
        <family val="1"/>
        <charset val="186"/>
      </rPr>
      <t>euro</t>
    </r>
    <r>
      <rPr>
        <sz val="12"/>
        <color theme="1"/>
        <rFont val="Times New Roman"/>
        <family val="1"/>
        <charset val="186"/>
      </rPr>
      <t xml:space="preserve"> * 23,59 % = 10,26 </t>
    </r>
    <r>
      <rPr>
        <i/>
        <sz val="12"/>
        <color theme="1"/>
        <rFont val="Times New Roman"/>
        <family val="1"/>
        <charset val="186"/>
      </rPr>
      <t xml:space="preserve">euro. </t>
    </r>
  </si>
  <si>
    <r>
      <t xml:space="preserve">Nekustamā īpašuma nodoklis 10 541,01 </t>
    </r>
    <r>
      <rPr>
        <i/>
        <sz val="12"/>
        <color theme="1"/>
        <rFont val="Times New Roman"/>
        <family val="1"/>
        <charset val="186"/>
      </rPr>
      <t>euro</t>
    </r>
    <r>
      <rPr>
        <sz val="12"/>
        <color theme="1"/>
        <rFont val="Times New Roman"/>
        <family val="1"/>
        <charset val="186"/>
      </rPr>
      <t xml:space="preserve"> gadā * 0.0026 (iznomātās platības koeficients) = 27,41 </t>
    </r>
    <r>
      <rPr>
        <i/>
        <sz val="12"/>
        <color theme="1"/>
        <rFont val="Times New Roman"/>
        <family val="1"/>
        <charset val="186"/>
      </rPr>
      <t>euro</t>
    </r>
    <r>
      <rPr>
        <sz val="12"/>
        <color theme="1"/>
        <rFont val="Times New Roman"/>
        <family val="1"/>
        <charset val="186"/>
      </rPr>
      <t>.</t>
    </r>
  </si>
  <si>
    <r>
      <t xml:space="preserve">Grāmatvedis (17. saime, IV līmenis, 9. algu grupa, 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Vid. mēn. noslogojums 33.59 stundas, (9,11 </t>
    </r>
    <r>
      <rPr>
        <i/>
        <sz val="12"/>
        <color theme="1"/>
        <rFont val="Times New Roman"/>
        <family val="1"/>
        <charset val="186"/>
      </rPr>
      <t>euro</t>
    </r>
    <r>
      <rPr>
        <sz val="12"/>
        <color theme="1"/>
        <rFont val="Times New Roman"/>
        <family val="1"/>
        <charset val="186"/>
      </rPr>
      <t xml:space="preserve"> * 33.59 h) = 306,00 </t>
    </r>
    <r>
      <rPr>
        <i/>
        <sz val="12"/>
        <color theme="1"/>
        <rFont val="Times New Roman"/>
        <family val="1"/>
        <charset val="186"/>
      </rPr>
      <t>euro</t>
    </r>
    <r>
      <rPr>
        <sz val="12"/>
        <color theme="1"/>
        <rFont val="Times New Roman"/>
        <family val="1"/>
        <charset val="186"/>
      </rPr>
      <t xml:space="preserve">/mēn. * 12. mēn. = 3 672,00 </t>
    </r>
    <r>
      <rPr>
        <i/>
        <sz val="12"/>
        <color theme="1"/>
        <rFont val="Times New Roman"/>
        <family val="1"/>
        <charset val="186"/>
      </rPr>
      <t>euro</t>
    </r>
    <r>
      <rPr>
        <sz val="12"/>
        <color theme="1"/>
        <rFont val="Times New Roman"/>
        <family val="1"/>
        <charset val="186"/>
      </rPr>
      <t xml:space="preserve"> * 0.0117 (iznomātās platības koeficients) = 42,96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</si>
  <si>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4 039,90 </t>
    </r>
    <r>
      <rPr>
        <i/>
        <sz val="12"/>
        <color theme="1"/>
        <rFont val="Times New Roman"/>
        <family val="1"/>
        <charset val="186"/>
      </rPr>
      <t>euro</t>
    </r>
    <r>
      <rPr>
        <sz val="12"/>
        <color theme="1"/>
        <rFont val="Times New Roman"/>
        <family val="1"/>
        <charset val="186"/>
      </rPr>
      <t xml:space="preserve"> * 23,59 % = 953,01 </t>
    </r>
    <r>
      <rPr>
        <i/>
        <sz val="12"/>
        <color theme="1"/>
        <rFont val="Times New Roman"/>
        <family val="1"/>
        <charset val="186"/>
      </rPr>
      <t xml:space="preserve">euro. </t>
    </r>
  </si>
  <si>
    <r>
      <t xml:space="preserve">Galv. nekust. īpaš. pārvaldnieks (147,68 </t>
    </r>
    <r>
      <rPr>
        <i/>
        <sz val="12"/>
        <color theme="1"/>
        <rFont val="Times New Roman"/>
        <family val="1"/>
        <charset val="186"/>
      </rPr>
      <t>euro</t>
    </r>
    <r>
      <rPr>
        <sz val="12"/>
        <color theme="1"/>
        <rFont val="Times New Roman"/>
        <family val="1"/>
        <charset val="186"/>
      </rPr>
      <t xml:space="preserve"> * 5%) = 7,38 </t>
    </r>
    <r>
      <rPr>
        <i/>
        <sz val="12"/>
        <color theme="1"/>
        <rFont val="Times New Roman"/>
        <family val="1"/>
        <charset val="186"/>
      </rPr>
      <t>euro</t>
    </r>
    <r>
      <rPr>
        <sz val="12"/>
        <color theme="1"/>
        <rFont val="Times New Roman"/>
        <family val="1"/>
        <charset val="186"/>
      </rPr>
      <t xml:space="preserve">, Dienesta viesnīcas vadīotājs (3 362,49 </t>
    </r>
    <r>
      <rPr>
        <i/>
        <sz val="12"/>
        <color theme="1"/>
        <rFont val="Times New Roman"/>
        <family val="1"/>
        <charset val="186"/>
      </rPr>
      <t>euro</t>
    </r>
    <r>
      <rPr>
        <sz val="12"/>
        <color theme="1"/>
        <rFont val="Times New Roman"/>
        <family val="1"/>
        <charset val="186"/>
      </rPr>
      <t xml:space="preserve"> * 5%) = 168,12 </t>
    </r>
    <r>
      <rPr>
        <i/>
        <sz val="12"/>
        <color theme="1"/>
        <rFont val="Times New Roman"/>
        <family val="1"/>
        <charset val="186"/>
      </rPr>
      <t>euro</t>
    </r>
    <r>
      <rPr>
        <sz val="12"/>
        <color theme="1"/>
        <rFont val="Times New Roman"/>
        <family val="1"/>
        <charset val="186"/>
      </rPr>
      <t xml:space="preserve">. Saimniecības pārzinis (162,46 </t>
    </r>
    <r>
      <rPr>
        <i/>
        <sz val="12"/>
        <color theme="1"/>
        <rFont val="Times New Roman"/>
        <family val="1"/>
        <charset val="186"/>
      </rPr>
      <t>euro</t>
    </r>
    <r>
      <rPr>
        <sz val="12"/>
        <color theme="1"/>
        <rFont val="Times New Roman"/>
        <family val="1"/>
        <charset val="186"/>
      </rPr>
      <t xml:space="preserve"> * 5%) = 8,12 </t>
    </r>
    <r>
      <rPr>
        <i/>
        <sz val="12"/>
        <color theme="1"/>
        <rFont val="Times New Roman"/>
        <family val="1"/>
        <charset val="186"/>
      </rPr>
      <t>euro.</t>
    </r>
    <r>
      <rPr>
        <sz val="12"/>
        <color theme="1"/>
        <rFont val="Times New Roman"/>
        <family val="1"/>
        <charset val="186"/>
      </rPr>
      <t xml:space="preserve"> Kopā (7,38 </t>
    </r>
    <r>
      <rPr>
        <i/>
        <sz val="12"/>
        <color theme="1"/>
        <rFont val="Times New Roman"/>
        <family val="1"/>
        <charset val="186"/>
      </rPr>
      <t>euro</t>
    </r>
    <r>
      <rPr>
        <sz val="12"/>
        <color theme="1"/>
        <rFont val="Times New Roman"/>
        <family val="1"/>
        <charset val="186"/>
      </rPr>
      <t xml:space="preserve"> + 168,12 </t>
    </r>
    <r>
      <rPr>
        <i/>
        <sz val="12"/>
        <color theme="1"/>
        <rFont val="Times New Roman"/>
        <family val="1"/>
        <charset val="186"/>
      </rPr>
      <t>euro</t>
    </r>
    <r>
      <rPr>
        <sz val="12"/>
        <color theme="1"/>
        <rFont val="Times New Roman"/>
        <family val="1"/>
        <charset val="186"/>
      </rPr>
      <t xml:space="preserve"> + 8,12 </t>
    </r>
    <r>
      <rPr>
        <i/>
        <sz val="12"/>
        <color theme="1"/>
        <rFont val="Times New Roman"/>
        <family val="1"/>
        <charset val="186"/>
      </rPr>
      <t>euro</t>
    </r>
    <r>
      <rPr>
        <sz val="12"/>
        <color theme="1"/>
        <rFont val="Times New Roman"/>
        <family val="1"/>
        <charset val="186"/>
      </rPr>
      <t xml:space="preserve">) = 183,62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</si>
  <si>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953,01 </t>
    </r>
    <r>
      <rPr>
        <i/>
        <sz val="12"/>
        <color theme="1"/>
        <rFont val="Times New Roman"/>
        <family val="1"/>
        <charset val="186"/>
      </rPr>
      <t>euro</t>
    </r>
    <r>
      <rPr>
        <sz val="12"/>
        <color theme="1"/>
        <rFont val="Times New Roman"/>
        <family val="1"/>
        <charset val="186"/>
      </rPr>
      <t xml:space="preserve">. Veselības apdrošināšana 183,62 </t>
    </r>
    <r>
      <rPr>
        <i/>
        <sz val="12"/>
        <color theme="1"/>
        <rFont val="Times New Roman"/>
        <family val="1"/>
        <charset val="186"/>
      </rPr>
      <t>euro</t>
    </r>
    <r>
      <rPr>
        <sz val="12"/>
        <color theme="1"/>
        <rFont val="Times New Roman"/>
        <family val="1"/>
        <charset val="186"/>
      </rPr>
      <t xml:space="preserve">. Kopā 1 136,63 </t>
    </r>
    <r>
      <rPr>
        <i/>
        <sz val="12"/>
        <color theme="1"/>
        <rFont val="Times New Roman"/>
        <family val="1"/>
        <charset val="186"/>
      </rPr>
      <t>euro</t>
    </r>
    <r>
      <rPr>
        <sz val="12"/>
        <color theme="1"/>
        <rFont val="Times New Roman"/>
        <family val="1"/>
        <charset val="186"/>
      </rPr>
      <t>.</t>
    </r>
  </si>
  <si>
    <r>
      <t xml:space="preserve">Biotualetes noma gadā 121,00 </t>
    </r>
    <r>
      <rPr>
        <i/>
        <sz val="12"/>
        <color theme="1"/>
        <rFont val="Times New Roman"/>
        <family val="1"/>
        <charset val="186"/>
      </rPr>
      <t>euro</t>
    </r>
    <r>
      <rPr>
        <sz val="12"/>
        <color theme="1"/>
        <rFont val="Times New Roman"/>
        <family val="1"/>
        <charset val="186"/>
      </rPr>
      <t xml:space="preserve"> * 0.2415 (iznomātās platības koeficients) = 29,22 </t>
    </r>
    <r>
      <rPr>
        <i/>
        <sz val="12"/>
        <color theme="1"/>
        <rFont val="Times New Roman"/>
        <family val="1"/>
        <charset val="186"/>
      </rPr>
      <t>euro</t>
    </r>
    <r>
      <rPr>
        <sz val="12"/>
        <color theme="1"/>
        <rFont val="Times New Roman"/>
        <family val="1"/>
        <charset val="186"/>
      </rPr>
      <t>.</t>
    </r>
  </si>
  <si>
    <r>
      <t xml:space="preserve">Galv. nekust. īpaš. pārvaldnieks (927,67 </t>
    </r>
    <r>
      <rPr>
        <i/>
        <sz val="12"/>
        <color theme="1"/>
        <rFont val="Times New Roman"/>
        <family val="1"/>
        <charset val="186"/>
      </rPr>
      <t>euro</t>
    </r>
    <r>
      <rPr>
        <sz val="12"/>
        <color theme="1"/>
        <rFont val="Times New Roman"/>
        <family val="1"/>
        <charset val="186"/>
      </rPr>
      <t xml:space="preserve"> * 5%) = 46,38 </t>
    </r>
    <r>
      <rPr>
        <i/>
        <sz val="12"/>
        <color theme="1"/>
        <rFont val="Times New Roman"/>
        <family val="1"/>
        <charset val="186"/>
      </rPr>
      <t>euro</t>
    </r>
    <r>
      <rPr>
        <sz val="12"/>
        <color theme="1"/>
        <rFont val="Times New Roman"/>
        <family val="1"/>
        <charset val="186"/>
      </rPr>
      <t xml:space="preserve">, Saimniecības pārzinis (1 170,41 </t>
    </r>
    <r>
      <rPr>
        <i/>
        <sz val="12"/>
        <color theme="1"/>
        <rFont val="Times New Roman"/>
        <family val="1"/>
        <charset val="186"/>
      </rPr>
      <t>euro</t>
    </r>
    <r>
      <rPr>
        <sz val="12"/>
        <color theme="1"/>
        <rFont val="Times New Roman"/>
        <family val="1"/>
        <charset val="186"/>
      </rPr>
      <t xml:space="preserve"> * 5%) = 58,52 </t>
    </r>
    <r>
      <rPr>
        <i/>
        <sz val="12"/>
        <color theme="1"/>
        <rFont val="Times New Roman"/>
        <family val="1"/>
        <charset val="186"/>
      </rPr>
      <t>euro</t>
    </r>
    <r>
      <rPr>
        <sz val="12"/>
        <color theme="1"/>
        <rFont val="Times New Roman"/>
        <family val="1"/>
        <charset val="186"/>
      </rPr>
      <t xml:space="preserve">,  Istabene (1 096,11 </t>
    </r>
    <r>
      <rPr>
        <i/>
        <sz val="12"/>
        <color theme="1"/>
        <rFont val="Times New Roman"/>
        <family val="1"/>
        <charset val="186"/>
      </rPr>
      <t>euro</t>
    </r>
    <r>
      <rPr>
        <sz val="12"/>
        <color theme="1"/>
        <rFont val="Times New Roman"/>
        <family val="1"/>
        <charset val="186"/>
      </rPr>
      <t xml:space="preserve"> * 5%) = 54,81 </t>
    </r>
    <r>
      <rPr>
        <i/>
        <sz val="12"/>
        <color theme="1"/>
        <rFont val="Times New Roman"/>
        <family val="1"/>
        <charset val="186"/>
      </rPr>
      <t>euro</t>
    </r>
    <r>
      <rPr>
        <sz val="12"/>
        <color theme="1"/>
        <rFont val="Times New Roman"/>
        <family val="1"/>
        <charset val="186"/>
      </rPr>
      <t xml:space="preserve">, Apkopēja (986,15 </t>
    </r>
    <r>
      <rPr>
        <i/>
        <sz val="12"/>
        <color theme="1"/>
        <rFont val="Times New Roman"/>
        <family val="1"/>
        <charset val="186"/>
      </rPr>
      <t>euro</t>
    </r>
    <r>
      <rPr>
        <sz val="12"/>
        <color theme="1"/>
        <rFont val="Times New Roman"/>
        <family val="1"/>
        <charset val="186"/>
      </rPr>
      <t xml:space="preserve"> * 5%) = 49,31 </t>
    </r>
    <r>
      <rPr>
        <i/>
        <sz val="12"/>
        <color theme="1"/>
        <rFont val="Times New Roman"/>
        <family val="1"/>
        <charset val="186"/>
      </rPr>
      <t>euro</t>
    </r>
    <r>
      <rPr>
        <sz val="12"/>
        <color theme="1"/>
        <rFont val="Times New Roman"/>
        <family val="1"/>
        <charset val="186"/>
      </rPr>
      <t xml:space="preserve">, Sētnieks (527,94 </t>
    </r>
    <r>
      <rPr>
        <i/>
        <sz val="12"/>
        <color theme="1"/>
        <rFont val="Times New Roman"/>
        <family val="1"/>
        <charset val="186"/>
      </rPr>
      <t>euro</t>
    </r>
    <r>
      <rPr>
        <sz val="12"/>
        <color theme="1"/>
        <rFont val="Times New Roman"/>
        <family val="1"/>
        <charset val="186"/>
      </rPr>
      <t xml:space="preserve"> * 5%) = 26,40 </t>
    </r>
    <r>
      <rPr>
        <i/>
        <sz val="12"/>
        <color theme="1"/>
        <rFont val="Times New Roman"/>
        <family val="1"/>
        <charset val="186"/>
      </rPr>
      <t>euro</t>
    </r>
    <r>
      <rPr>
        <sz val="12"/>
        <color theme="1"/>
        <rFont val="Times New Roman"/>
        <family val="1"/>
        <charset val="186"/>
      </rPr>
      <t xml:space="preserve">. Kopā (46,38 euro +  58,52 </t>
    </r>
    <r>
      <rPr>
        <i/>
        <sz val="12"/>
        <color theme="1"/>
        <rFont val="Times New Roman"/>
        <family val="1"/>
        <charset val="186"/>
      </rPr>
      <t>euro</t>
    </r>
    <r>
      <rPr>
        <sz val="12"/>
        <color theme="1"/>
        <rFont val="Times New Roman"/>
        <family val="1"/>
        <charset val="186"/>
      </rPr>
      <t xml:space="preserve"> + 54,81 </t>
    </r>
    <r>
      <rPr>
        <i/>
        <sz val="12"/>
        <color theme="1"/>
        <rFont val="Times New Roman"/>
        <family val="1"/>
        <charset val="186"/>
      </rPr>
      <t>euro</t>
    </r>
    <r>
      <rPr>
        <sz val="12"/>
        <color theme="1"/>
        <rFont val="Times New Roman"/>
        <family val="1"/>
        <charset val="186"/>
      </rPr>
      <t xml:space="preserve"> + 49,31 </t>
    </r>
    <r>
      <rPr>
        <i/>
        <sz val="12"/>
        <color theme="1"/>
        <rFont val="Times New Roman"/>
        <family val="1"/>
        <charset val="186"/>
      </rPr>
      <t>euro</t>
    </r>
    <r>
      <rPr>
        <sz val="12"/>
        <color theme="1"/>
        <rFont val="Times New Roman"/>
        <family val="1"/>
        <charset val="186"/>
      </rPr>
      <t xml:space="preserve"> + 26,40 </t>
    </r>
    <r>
      <rPr>
        <i/>
        <sz val="12"/>
        <color theme="1"/>
        <rFont val="Times New Roman"/>
        <family val="1"/>
        <charset val="186"/>
      </rPr>
      <t>euro</t>
    </r>
    <r>
      <rPr>
        <sz val="12"/>
        <color theme="1"/>
        <rFont val="Times New Roman"/>
        <family val="1"/>
        <charset val="186"/>
      </rPr>
      <t xml:space="preserve">) = 235,42 </t>
    </r>
    <r>
      <rPr>
        <i/>
        <sz val="12"/>
        <color theme="1"/>
        <rFont val="Times New Roman"/>
        <family val="1"/>
        <charset val="186"/>
      </rPr>
      <t>euro</t>
    </r>
    <r>
      <rPr>
        <sz val="12"/>
        <color theme="1"/>
        <rFont val="Times New Roman"/>
        <family val="1"/>
        <charset val="186"/>
      </rPr>
      <t>.</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</si>
  <si>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0.159 (iznomātās platības koeficients) = 668,40 </t>
    </r>
    <r>
      <rPr>
        <i/>
        <sz val="12"/>
        <color theme="1"/>
        <rFont val="Times New Roman"/>
        <family val="1"/>
        <charset val="186"/>
      </rPr>
      <t>euro.</t>
    </r>
  </si>
  <si>
    <r>
      <t xml:space="preserve">Izdevumi par elektroenerģiju 7 807,39 </t>
    </r>
    <r>
      <rPr>
        <i/>
        <sz val="12"/>
        <color theme="1"/>
        <rFont val="Times New Roman"/>
        <family val="1"/>
        <charset val="186"/>
      </rPr>
      <t>euro</t>
    </r>
    <r>
      <rPr>
        <sz val="12"/>
        <color theme="1"/>
        <rFont val="Times New Roman"/>
        <family val="1"/>
        <charset val="186"/>
      </rPr>
      <t xml:space="preserve"> gadā * 0.159 (iznomātās platības koeficients) = 1 241,38 </t>
    </r>
    <r>
      <rPr>
        <i/>
        <sz val="12"/>
        <color theme="1"/>
        <rFont val="Times New Roman"/>
        <family val="1"/>
        <charset val="186"/>
      </rPr>
      <t>euro</t>
    </r>
    <r>
      <rPr>
        <sz val="12"/>
        <color theme="1"/>
        <rFont val="Times New Roman"/>
        <family val="1"/>
        <charset val="186"/>
      </rPr>
      <t>.</t>
    </r>
  </si>
  <si>
    <r>
      <t xml:space="preserve">Izdevumi par apkuri 82 944,32 </t>
    </r>
    <r>
      <rPr>
        <i/>
        <sz val="12"/>
        <color theme="1"/>
        <rFont val="Times New Roman"/>
        <family val="1"/>
        <charset val="186"/>
      </rPr>
      <t>euro</t>
    </r>
    <r>
      <rPr>
        <sz val="12"/>
        <color theme="1"/>
        <rFont val="Times New Roman"/>
        <family val="1"/>
        <charset val="186"/>
      </rPr>
      <t xml:space="preserve"> gadā * 0.159 (iznomātās platības koeficients) = 13 188,15 </t>
    </r>
    <r>
      <rPr>
        <i/>
        <sz val="12"/>
        <color theme="1"/>
        <rFont val="Times New Roman"/>
        <family val="1"/>
        <charset val="186"/>
      </rPr>
      <t>euro.</t>
    </r>
  </si>
  <si>
    <r>
      <t xml:space="preserve">Izdevumi par atkritumu izvešanu 275,91 </t>
    </r>
    <r>
      <rPr>
        <i/>
        <sz val="12"/>
        <color theme="1"/>
        <rFont val="Times New Roman"/>
        <family val="1"/>
        <charset val="186"/>
      </rPr>
      <t>euro</t>
    </r>
    <r>
      <rPr>
        <sz val="12"/>
        <color theme="1"/>
        <rFont val="Times New Roman"/>
        <family val="1"/>
        <charset val="186"/>
      </rPr>
      <t xml:space="preserve"> gadā * 0.159  (iznomātās platības koeficients) = 43,87 </t>
    </r>
    <r>
      <rPr>
        <i/>
        <sz val="12"/>
        <color theme="1"/>
        <rFont val="Times New Roman"/>
        <family val="1"/>
        <charset val="186"/>
      </rPr>
      <t>euro.</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</si>
  <si>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0.159  (iznomātās platības koeficients) = 23,71 </t>
    </r>
    <r>
      <rPr>
        <i/>
        <sz val="12"/>
        <color theme="1"/>
        <rFont val="Times New Roman"/>
        <family val="1"/>
        <charset val="186"/>
      </rPr>
      <t>euro</t>
    </r>
    <r>
      <rPr>
        <sz val="12"/>
        <color theme="1"/>
        <rFont val="Times New Roman"/>
        <family val="1"/>
        <charset val="186"/>
      </rPr>
      <t>.</t>
    </r>
  </si>
  <si>
    <r>
      <t xml:space="preserve">Izdevumi par atļauju izmantot autoru darbus 57,00 </t>
    </r>
    <r>
      <rPr>
        <i/>
        <sz val="12"/>
        <color theme="1"/>
        <rFont val="Times New Roman"/>
        <family val="1"/>
        <charset val="186"/>
      </rPr>
      <t>euro</t>
    </r>
    <r>
      <rPr>
        <sz val="12"/>
        <color theme="1"/>
        <rFont val="Times New Roman"/>
        <family val="1"/>
        <charset val="186"/>
      </rPr>
      <t xml:space="preserve"> gadā * 0.159  (iznomātās platības koeficients)  = 9,06 </t>
    </r>
    <r>
      <rPr>
        <i/>
        <sz val="12"/>
        <color theme="1"/>
        <rFont val="Times New Roman"/>
        <family val="1"/>
        <charset val="186"/>
      </rPr>
      <t>euro</t>
    </r>
    <r>
      <rPr>
        <sz val="12"/>
        <color theme="1"/>
        <rFont val="Times New Roman"/>
        <family val="1"/>
        <charset val="186"/>
      </rPr>
      <t>.</t>
    </r>
  </si>
  <si>
    <r>
      <t xml:space="preserve">Kārtējā remonta izdevumi 1 875,92 </t>
    </r>
    <r>
      <rPr>
        <i/>
        <sz val="12"/>
        <color theme="1"/>
        <rFont val="Times New Roman"/>
        <family val="1"/>
        <charset val="186"/>
      </rPr>
      <t>euro</t>
    </r>
    <r>
      <rPr>
        <sz val="12"/>
        <color theme="1"/>
        <rFont val="Times New Roman"/>
        <family val="1"/>
        <charset val="186"/>
      </rPr>
      <t xml:space="preserve"> gadā * 0.159  (iznomātās platības koeficients)  = 298,27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</si>
  <si>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956,50 </t>
    </r>
    <r>
      <rPr>
        <i/>
        <sz val="12"/>
        <color theme="1"/>
        <rFont val="Times New Roman"/>
        <family val="1"/>
        <charset val="186"/>
      </rPr>
      <t>euro</t>
    </r>
    <r>
      <rPr>
        <sz val="12"/>
        <color theme="1"/>
        <rFont val="Times New Roman"/>
        <family val="1"/>
        <charset val="186"/>
      </rPr>
      <t xml:space="preserve"> gadā * 0.159  (iznomātās platības koeficients) = 152,08 </t>
    </r>
    <r>
      <rPr>
        <i/>
        <sz val="12"/>
        <color theme="1"/>
        <rFont val="Times New Roman"/>
        <family val="1"/>
        <charset val="186"/>
      </rPr>
      <t>euro.</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</si>
  <si>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0.159  (iznomātās platības koeficients) = 537,19 </t>
    </r>
    <r>
      <rPr>
        <i/>
        <sz val="12"/>
        <color theme="1"/>
        <rFont val="Times New Roman"/>
        <family val="1"/>
        <charset val="186"/>
      </rPr>
      <t>euro.</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</si>
  <si>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0.159  (iznomātās platības koeficients) = 589,24 </t>
    </r>
    <r>
      <rPr>
        <i/>
        <sz val="12"/>
        <color theme="1"/>
        <rFont val="Times New Roman"/>
        <family val="1"/>
        <charset val="186"/>
      </rPr>
      <t>euro.</t>
    </r>
  </si>
  <si>
    <r>
      <t xml:space="preserve">Inventāra iegādes izdevumi 856,97 </t>
    </r>
    <r>
      <rPr>
        <i/>
        <sz val="12"/>
        <color theme="1"/>
        <rFont val="Times New Roman"/>
        <family val="1"/>
        <charset val="186"/>
      </rPr>
      <t>euro</t>
    </r>
    <r>
      <rPr>
        <sz val="12"/>
        <color theme="1"/>
        <rFont val="Times New Roman"/>
        <family val="1"/>
        <charset val="186"/>
      </rPr>
      <t xml:space="preserve"> gadā * 0.159 (iznomātās platības koeficients) = 136,26 </t>
    </r>
    <r>
      <rPr>
        <i/>
        <sz val="12"/>
        <color theme="1"/>
        <rFont val="Times New Roman"/>
        <family val="1"/>
        <charset val="186"/>
      </rPr>
      <t>euro.</t>
    </r>
  </si>
  <si>
    <r>
      <t xml:space="preserve">Saimniecības, remonta materiālu un transportlīdzekļu uzturēšanas materiālu iegādes izdevumi 1 711,80 </t>
    </r>
    <r>
      <rPr>
        <i/>
        <sz val="12"/>
        <color theme="1"/>
        <rFont val="Times New Roman"/>
        <family val="1"/>
        <charset val="186"/>
      </rPr>
      <t>euro</t>
    </r>
    <r>
      <rPr>
        <sz val="12"/>
        <color theme="1"/>
        <rFont val="Times New Roman"/>
        <family val="1"/>
        <charset val="186"/>
      </rPr>
      <t xml:space="preserve"> gadā * 0.159  (iznomātās platības koeficients) = 272,18 </t>
    </r>
    <r>
      <rPr>
        <i/>
        <sz val="12"/>
        <color theme="1"/>
        <rFont val="Times New Roman"/>
        <family val="1"/>
        <charset val="186"/>
      </rPr>
      <t>euro.</t>
    </r>
  </si>
  <si>
    <r>
      <t xml:space="preserve">Nekustamā īpašuma nodoklis 8 084,39 </t>
    </r>
    <r>
      <rPr>
        <i/>
        <sz val="12"/>
        <color theme="1"/>
        <rFont val="Times New Roman"/>
        <family val="1"/>
        <charset val="186"/>
      </rPr>
      <t>euro</t>
    </r>
    <r>
      <rPr>
        <sz val="12"/>
        <color theme="1"/>
        <rFont val="Times New Roman"/>
        <family val="1"/>
        <charset val="186"/>
      </rPr>
      <t xml:space="preserve"> gadā * 0.159 (iznomātās platības koeficients) = 1 285,42 </t>
    </r>
    <r>
      <rPr>
        <i/>
        <sz val="12"/>
        <color theme="1"/>
        <rFont val="Times New Roman"/>
        <family val="1"/>
        <charset val="186"/>
      </rPr>
      <t>euro.</t>
    </r>
  </si>
  <si>
    <r>
      <t xml:space="preserve">Dabas resursu nodoklis 1 920,89 </t>
    </r>
    <r>
      <rPr>
        <i/>
        <sz val="12"/>
        <color theme="1"/>
        <rFont val="Times New Roman"/>
        <family val="1"/>
        <charset val="186"/>
      </rPr>
      <t>euro</t>
    </r>
    <r>
      <rPr>
        <sz val="12"/>
        <color theme="1"/>
        <rFont val="Times New Roman"/>
        <family val="1"/>
        <charset val="186"/>
      </rPr>
      <t xml:space="preserve"> gadā * 0.159 (iznomātās platības koeficients) = 305,42 </t>
    </r>
    <r>
      <rPr>
        <i/>
        <sz val="12"/>
        <color theme="1"/>
        <rFont val="Times New Roman"/>
        <family val="1"/>
        <charset val="186"/>
      </rPr>
      <t>euro.</t>
    </r>
  </si>
  <si>
    <r>
      <t xml:space="preserve">Ēku amortizācija 622,32 </t>
    </r>
    <r>
      <rPr>
        <i/>
        <sz val="12"/>
        <color theme="1"/>
        <rFont val="Times New Roman"/>
        <family val="1"/>
        <charset val="186"/>
      </rPr>
      <t>euro</t>
    </r>
    <r>
      <rPr>
        <sz val="12"/>
        <color theme="1"/>
        <rFont val="Times New Roman"/>
        <family val="1"/>
        <charset val="186"/>
      </rPr>
      <t xml:space="preserve"> gadā * 0.159 (iznomātās platības koeficients) = 98,95 </t>
    </r>
    <r>
      <rPr>
        <i/>
        <sz val="12"/>
        <color theme="1"/>
        <rFont val="Times New Roman"/>
        <family val="1"/>
        <charset val="186"/>
      </rPr>
      <t>euro.</t>
    </r>
  </si>
  <si>
    <r>
      <t xml:space="preserve">Pamatlīdzekļu amortizācija 251,64 </t>
    </r>
    <r>
      <rPr>
        <i/>
        <sz val="12"/>
        <color theme="1"/>
        <rFont val="Times New Roman"/>
        <family val="1"/>
        <charset val="186"/>
      </rPr>
      <t>euro</t>
    </r>
    <r>
      <rPr>
        <sz val="12"/>
        <color theme="1"/>
        <rFont val="Times New Roman"/>
        <family val="1"/>
        <charset val="186"/>
      </rPr>
      <t xml:space="preserve"> gadā * 0.159 (iznomātās platības koeficients) = 40,01 </t>
    </r>
    <r>
      <rPr>
        <i/>
        <sz val="12"/>
        <color theme="1"/>
        <rFont val="Times New Roman"/>
        <family val="1"/>
        <charset val="186"/>
      </rPr>
      <t>euro.</t>
    </r>
  </si>
  <si>
    <r>
      <t xml:space="preserve">Pamatlīdzekļu amortizācija 1 134,21 </t>
    </r>
    <r>
      <rPr>
        <i/>
        <sz val="12"/>
        <color theme="1"/>
        <rFont val="Times New Roman"/>
        <family val="1"/>
        <charset val="186"/>
      </rPr>
      <t>euro</t>
    </r>
    <r>
      <rPr>
        <sz val="12"/>
        <color theme="1"/>
        <rFont val="Times New Roman"/>
        <family val="1"/>
        <charset val="186"/>
      </rPr>
      <t xml:space="preserve"> gadā * 0.159 (iznomātās platības koeficients) = 180,34 </t>
    </r>
    <r>
      <rPr>
        <i/>
        <sz val="12"/>
        <color theme="1"/>
        <rFont val="Times New Roman"/>
        <family val="1"/>
        <charset val="186"/>
      </rPr>
      <t>euro.</t>
    </r>
  </si>
  <si>
    <r>
      <t xml:space="preserve">Pamatlīdzekļu amortizācija 2 748,15 </t>
    </r>
    <r>
      <rPr>
        <i/>
        <sz val="12"/>
        <color theme="1"/>
        <rFont val="Times New Roman"/>
        <family val="1"/>
        <charset val="186"/>
      </rPr>
      <t>euro</t>
    </r>
    <r>
      <rPr>
        <sz val="12"/>
        <color theme="1"/>
        <rFont val="Times New Roman"/>
        <family val="1"/>
        <charset val="186"/>
      </rPr>
      <t xml:space="preserve"> gadā * 0.159 (iznomātās platības koeficients) = 436,96 </t>
    </r>
    <r>
      <rPr>
        <i/>
        <sz val="12"/>
        <color theme="1"/>
        <rFont val="Times New Roman"/>
        <family val="1"/>
        <charset val="186"/>
      </rPr>
      <t>euro.</t>
    </r>
  </si>
  <si>
    <r>
      <t xml:space="preserve">Galv. nekust. īpaš. pārvaldnieks (199,54 </t>
    </r>
    <r>
      <rPr>
        <i/>
        <sz val="12"/>
        <color theme="1"/>
        <rFont val="Times New Roman"/>
        <family val="1"/>
        <charset val="186"/>
      </rPr>
      <t>euro</t>
    </r>
    <r>
      <rPr>
        <sz val="12"/>
        <color theme="1"/>
        <rFont val="Times New Roman"/>
        <family val="1"/>
        <charset val="186"/>
      </rPr>
      <t xml:space="preserve"> * 10%) = 19,95 </t>
    </r>
    <r>
      <rPr>
        <i/>
        <sz val="12"/>
        <color theme="1"/>
        <rFont val="Times New Roman"/>
        <family val="1"/>
        <charset val="186"/>
      </rPr>
      <t>euro</t>
    </r>
    <r>
      <rPr>
        <sz val="12"/>
        <color theme="1"/>
        <rFont val="Times New Roman"/>
        <family val="1"/>
        <charset val="186"/>
      </rPr>
      <t xml:space="preserve">, Saimniecības pārzinis (251,75 </t>
    </r>
    <r>
      <rPr>
        <i/>
        <sz val="12"/>
        <color theme="1"/>
        <rFont val="Times New Roman"/>
        <family val="1"/>
        <charset val="186"/>
      </rPr>
      <t>euro</t>
    </r>
    <r>
      <rPr>
        <sz val="12"/>
        <color theme="1"/>
        <rFont val="Times New Roman"/>
        <family val="1"/>
        <charset val="186"/>
      </rPr>
      <t xml:space="preserve"> * 10%) = 25,18 </t>
    </r>
    <r>
      <rPr>
        <i/>
        <sz val="12"/>
        <color theme="1"/>
        <rFont val="Times New Roman"/>
        <family val="1"/>
        <charset val="186"/>
      </rPr>
      <t>euro</t>
    </r>
    <r>
      <rPr>
        <sz val="12"/>
        <color theme="1"/>
        <rFont val="Times New Roman"/>
        <family val="1"/>
        <charset val="186"/>
      </rPr>
      <t xml:space="preserve">, Istabene (235,77 </t>
    </r>
    <r>
      <rPr>
        <i/>
        <sz val="12"/>
        <color theme="1"/>
        <rFont val="Times New Roman"/>
        <family val="1"/>
        <charset val="186"/>
      </rPr>
      <t>euro</t>
    </r>
    <r>
      <rPr>
        <sz val="12"/>
        <color theme="1"/>
        <rFont val="Times New Roman"/>
        <family val="1"/>
        <charset val="186"/>
      </rPr>
      <t xml:space="preserve"> * 10%) = 23,58 </t>
    </r>
    <r>
      <rPr>
        <i/>
        <sz val="12"/>
        <color theme="1"/>
        <rFont val="Times New Roman"/>
        <family val="1"/>
        <charset val="186"/>
      </rPr>
      <t>euro</t>
    </r>
    <r>
      <rPr>
        <sz val="12"/>
        <color theme="1"/>
        <rFont val="Times New Roman"/>
        <family val="1"/>
        <charset val="186"/>
      </rPr>
      <t xml:space="preserve">, Apkopēja (212,12 </t>
    </r>
    <r>
      <rPr>
        <i/>
        <sz val="12"/>
        <color theme="1"/>
        <rFont val="Times New Roman"/>
        <family val="1"/>
        <charset val="186"/>
      </rPr>
      <t>euro</t>
    </r>
    <r>
      <rPr>
        <sz val="12"/>
        <color theme="1"/>
        <rFont val="Times New Roman"/>
        <family val="1"/>
        <charset val="186"/>
      </rPr>
      <t xml:space="preserve"> * 10%) = 21,21 </t>
    </r>
    <r>
      <rPr>
        <i/>
        <sz val="12"/>
        <color theme="1"/>
        <rFont val="Times New Roman"/>
        <family val="1"/>
        <charset val="186"/>
      </rPr>
      <t>euro</t>
    </r>
    <r>
      <rPr>
        <sz val="12"/>
        <color theme="1"/>
        <rFont val="Times New Roman"/>
        <family val="1"/>
        <charset val="186"/>
      </rPr>
      <t xml:space="preserve">, Sētnieks (113,56 </t>
    </r>
    <r>
      <rPr>
        <i/>
        <sz val="12"/>
        <color theme="1"/>
        <rFont val="Times New Roman"/>
        <family val="1"/>
        <charset val="186"/>
      </rPr>
      <t>euro</t>
    </r>
    <r>
      <rPr>
        <sz val="12"/>
        <color theme="1"/>
        <rFont val="Times New Roman"/>
        <family val="1"/>
        <charset val="186"/>
      </rPr>
      <t xml:space="preserve"> * 10%) = 11,36 </t>
    </r>
    <r>
      <rPr>
        <i/>
        <sz val="12"/>
        <color theme="1"/>
        <rFont val="Times New Roman"/>
        <family val="1"/>
        <charset val="186"/>
      </rPr>
      <t>euro</t>
    </r>
    <r>
      <rPr>
        <sz val="12"/>
        <color theme="1"/>
        <rFont val="Times New Roman"/>
        <family val="1"/>
        <charset val="186"/>
      </rPr>
      <t xml:space="preserve">. Kopā (19,95 euro + 25,18 </t>
    </r>
    <r>
      <rPr>
        <i/>
        <sz val="12"/>
        <color theme="1"/>
        <rFont val="Times New Roman"/>
        <family val="1"/>
        <charset val="186"/>
      </rPr>
      <t>euro</t>
    </r>
    <r>
      <rPr>
        <sz val="12"/>
        <color theme="1"/>
        <rFont val="Times New Roman"/>
        <family val="1"/>
        <charset val="186"/>
      </rPr>
      <t xml:space="preserve"> + 23,58 </t>
    </r>
    <r>
      <rPr>
        <i/>
        <sz val="12"/>
        <color theme="1"/>
        <rFont val="Times New Roman"/>
        <family val="1"/>
        <charset val="186"/>
      </rPr>
      <t>euro</t>
    </r>
    <r>
      <rPr>
        <sz val="12"/>
        <color theme="1"/>
        <rFont val="Times New Roman"/>
        <family val="1"/>
        <charset val="186"/>
      </rPr>
      <t xml:space="preserve"> + 21,21 </t>
    </r>
    <r>
      <rPr>
        <i/>
        <sz val="12"/>
        <color theme="1"/>
        <rFont val="Times New Roman"/>
        <family val="1"/>
        <charset val="186"/>
      </rPr>
      <t>euro</t>
    </r>
    <r>
      <rPr>
        <sz val="12"/>
        <color theme="1"/>
        <rFont val="Times New Roman"/>
        <family val="1"/>
        <charset val="186"/>
      </rPr>
      <t xml:space="preserve"> + 11,36 </t>
    </r>
    <r>
      <rPr>
        <i/>
        <sz val="12"/>
        <color theme="1"/>
        <rFont val="Times New Roman"/>
        <family val="1"/>
        <charset val="186"/>
      </rPr>
      <t>euro</t>
    </r>
    <r>
      <rPr>
        <sz val="12"/>
        <color theme="1"/>
        <rFont val="Times New Roman"/>
        <family val="1"/>
        <charset val="186"/>
      </rPr>
      <t xml:space="preserve">) = 101,28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</si>
  <si>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(1 114,02 </t>
    </r>
    <r>
      <rPr>
        <i/>
        <sz val="12"/>
        <color theme="1"/>
        <rFont val="Times New Roman"/>
        <family val="1"/>
        <charset val="186"/>
      </rPr>
      <t>euro</t>
    </r>
    <r>
      <rPr>
        <sz val="12"/>
        <color theme="1"/>
        <rFont val="Times New Roman"/>
        <family val="1"/>
        <charset val="186"/>
      </rPr>
      <t xml:space="preserve"> * 23,59 %) = 262,80 </t>
    </r>
    <r>
      <rPr>
        <i/>
        <sz val="12"/>
        <color theme="1"/>
        <rFont val="Times New Roman"/>
        <family val="1"/>
        <charset val="186"/>
      </rPr>
      <t xml:space="preserve">euro. </t>
    </r>
  </si>
  <si>
    <r>
      <t xml:space="preserve">Galv. nekust. īpaš. pārvaldnieks (199,54 </t>
    </r>
    <r>
      <rPr>
        <i/>
        <sz val="12"/>
        <color theme="1"/>
        <rFont val="Times New Roman"/>
        <family val="1"/>
        <charset val="186"/>
      </rPr>
      <t>euro</t>
    </r>
    <r>
      <rPr>
        <sz val="12"/>
        <color theme="1"/>
        <rFont val="Times New Roman"/>
        <family val="1"/>
        <charset val="186"/>
      </rPr>
      <t xml:space="preserve"> * 5%) = 9,98 </t>
    </r>
    <r>
      <rPr>
        <i/>
        <sz val="12"/>
        <color theme="1"/>
        <rFont val="Times New Roman"/>
        <family val="1"/>
        <charset val="186"/>
      </rPr>
      <t>euro</t>
    </r>
    <r>
      <rPr>
        <sz val="12"/>
        <color theme="1"/>
        <rFont val="Times New Roman"/>
        <family val="1"/>
        <charset val="186"/>
      </rPr>
      <t xml:space="preserve">, Saimniecības pārzinis (251,75 </t>
    </r>
    <r>
      <rPr>
        <i/>
        <sz val="12"/>
        <color theme="1"/>
        <rFont val="Times New Roman"/>
        <family val="1"/>
        <charset val="186"/>
      </rPr>
      <t>euro</t>
    </r>
    <r>
      <rPr>
        <sz val="12"/>
        <color theme="1"/>
        <rFont val="Times New Roman"/>
        <family val="1"/>
        <charset val="186"/>
      </rPr>
      <t xml:space="preserve"> * 5%) = 12,59 </t>
    </r>
    <r>
      <rPr>
        <i/>
        <sz val="12"/>
        <color theme="1"/>
        <rFont val="Times New Roman"/>
        <family val="1"/>
        <charset val="186"/>
      </rPr>
      <t>euro</t>
    </r>
    <r>
      <rPr>
        <sz val="12"/>
        <color theme="1"/>
        <rFont val="Times New Roman"/>
        <family val="1"/>
        <charset val="186"/>
      </rPr>
      <t xml:space="preserve">, Istabene (235,77 </t>
    </r>
    <r>
      <rPr>
        <i/>
        <sz val="12"/>
        <color theme="1"/>
        <rFont val="Times New Roman"/>
        <family val="1"/>
        <charset val="186"/>
      </rPr>
      <t>euro</t>
    </r>
    <r>
      <rPr>
        <sz val="12"/>
        <color theme="1"/>
        <rFont val="Times New Roman"/>
        <family val="1"/>
        <charset val="186"/>
      </rPr>
      <t xml:space="preserve"> * 5%) = 11,79 </t>
    </r>
    <r>
      <rPr>
        <i/>
        <sz val="12"/>
        <color theme="1"/>
        <rFont val="Times New Roman"/>
        <family val="1"/>
        <charset val="186"/>
      </rPr>
      <t>euro</t>
    </r>
    <r>
      <rPr>
        <sz val="12"/>
        <color theme="1"/>
        <rFont val="Times New Roman"/>
        <family val="1"/>
        <charset val="186"/>
      </rPr>
      <t xml:space="preserve">, Apkopēja (212,12 </t>
    </r>
    <r>
      <rPr>
        <i/>
        <sz val="12"/>
        <color theme="1"/>
        <rFont val="Times New Roman"/>
        <family val="1"/>
        <charset val="186"/>
      </rPr>
      <t>euro</t>
    </r>
    <r>
      <rPr>
        <sz val="12"/>
        <color theme="1"/>
        <rFont val="Times New Roman"/>
        <family val="1"/>
        <charset val="186"/>
      </rPr>
      <t xml:space="preserve"> * 5%) = 10,61 </t>
    </r>
    <r>
      <rPr>
        <i/>
        <sz val="12"/>
        <color theme="1"/>
        <rFont val="Times New Roman"/>
        <family val="1"/>
        <charset val="186"/>
      </rPr>
      <t>euro</t>
    </r>
    <r>
      <rPr>
        <sz val="12"/>
        <color theme="1"/>
        <rFont val="Times New Roman"/>
        <family val="1"/>
        <charset val="186"/>
      </rPr>
      <t xml:space="preserve">, Sētnieks (113,56 </t>
    </r>
    <r>
      <rPr>
        <i/>
        <sz val="12"/>
        <color theme="1"/>
        <rFont val="Times New Roman"/>
        <family val="1"/>
        <charset val="186"/>
      </rPr>
      <t>euro</t>
    </r>
    <r>
      <rPr>
        <sz val="12"/>
        <color theme="1"/>
        <rFont val="Times New Roman"/>
        <family val="1"/>
        <charset val="186"/>
      </rPr>
      <t xml:space="preserve"> * 5%) = 5,68 </t>
    </r>
    <r>
      <rPr>
        <i/>
        <sz val="12"/>
        <color theme="1"/>
        <rFont val="Times New Roman"/>
        <family val="1"/>
        <charset val="186"/>
      </rPr>
      <t>euro</t>
    </r>
    <r>
      <rPr>
        <sz val="12"/>
        <color theme="1"/>
        <rFont val="Times New Roman"/>
        <family val="1"/>
        <charset val="186"/>
      </rPr>
      <t xml:space="preserve">. Kopā (9,98 euro +  12,59 </t>
    </r>
    <r>
      <rPr>
        <i/>
        <sz val="12"/>
        <color theme="1"/>
        <rFont val="Times New Roman"/>
        <family val="1"/>
        <charset val="186"/>
      </rPr>
      <t>euro</t>
    </r>
    <r>
      <rPr>
        <sz val="12"/>
        <color theme="1"/>
        <rFont val="Times New Roman"/>
        <family val="1"/>
        <charset val="186"/>
      </rPr>
      <t xml:space="preserve"> + 11,79 </t>
    </r>
    <r>
      <rPr>
        <i/>
        <sz val="12"/>
        <color theme="1"/>
        <rFont val="Times New Roman"/>
        <family val="1"/>
        <charset val="186"/>
      </rPr>
      <t>euro</t>
    </r>
    <r>
      <rPr>
        <sz val="12"/>
        <color theme="1"/>
        <rFont val="Times New Roman"/>
        <family val="1"/>
        <charset val="186"/>
      </rPr>
      <t xml:space="preserve"> + 10,61 </t>
    </r>
    <r>
      <rPr>
        <i/>
        <sz val="12"/>
        <color theme="1"/>
        <rFont val="Times New Roman"/>
        <family val="1"/>
        <charset val="186"/>
      </rPr>
      <t>euro</t>
    </r>
    <r>
      <rPr>
        <sz val="12"/>
        <color theme="1"/>
        <rFont val="Times New Roman"/>
        <family val="1"/>
        <charset val="186"/>
      </rPr>
      <t xml:space="preserve"> + 5,68 </t>
    </r>
    <r>
      <rPr>
        <i/>
        <sz val="12"/>
        <color theme="1"/>
        <rFont val="Times New Roman"/>
        <family val="1"/>
        <charset val="186"/>
      </rPr>
      <t>euro</t>
    </r>
    <r>
      <rPr>
        <sz val="12"/>
        <color theme="1"/>
        <rFont val="Times New Roman"/>
        <family val="1"/>
        <charset val="186"/>
      </rPr>
      <t xml:space="preserve">) = 50,65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</si>
  <si>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1.23 stundas, (7,58 </t>
    </r>
    <r>
      <rPr>
        <i/>
        <sz val="12"/>
        <color theme="1"/>
        <rFont val="Times New Roman"/>
        <family val="1"/>
        <charset val="186"/>
      </rPr>
      <t>euro</t>
    </r>
    <r>
      <rPr>
        <sz val="12"/>
        <color theme="1"/>
        <rFont val="Times New Roman"/>
        <family val="1"/>
        <charset val="186"/>
      </rPr>
      <t xml:space="preserve"> * 1.23 h) = 9,32 </t>
    </r>
    <r>
      <rPr>
        <i/>
        <sz val="12"/>
        <color theme="1"/>
        <rFont val="Times New Roman"/>
        <family val="1"/>
        <charset val="186"/>
      </rPr>
      <t>euro</t>
    </r>
    <r>
      <rPr>
        <sz val="12"/>
        <color theme="1"/>
        <rFont val="Times New Roman"/>
        <family val="1"/>
        <charset val="186"/>
      </rPr>
      <t xml:space="preserve">/mēn. * 12. mēn. = 111,84 </t>
    </r>
    <r>
      <rPr>
        <i/>
        <sz val="12"/>
        <color theme="1"/>
        <rFont val="Times New Roman"/>
        <family val="1"/>
        <charset val="186"/>
      </rPr>
      <t>euro</t>
    </r>
    <r>
      <rPr>
        <sz val="12"/>
        <color theme="1"/>
        <rFont val="Times New Roman"/>
        <family val="1"/>
        <charset val="186"/>
      </rPr>
      <t xml:space="preserve"> * 0.0342 (iznomātās platības koeficients) = 3,82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</si>
  <si>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12.04 stundas, (8,22 </t>
    </r>
    <r>
      <rPr>
        <i/>
        <sz val="12"/>
        <color theme="1"/>
        <rFont val="Times New Roman"/>
        <family val="1"/>
        <charset val="186"/>
      </rPr>
      <t>euro</t>
    </r>
    <r>
      <rPr>
        <sz val="12"/>
        <color theme="1"/>
        <rFont val="Times New Roman"/>
        <family val="1"/>
        <charset val="186"/>
      </rPr>
      <t xml:space="preserve"> * 12.04 h) = 98,97 </t>
    </r>
    <r>
      <rPr>
        <i/>
        <sz val="12"/>
        <color theme="1"/>
        <rFont val="Times New Roman"/>
        <family val="1"/>
        <charset val="186"/>
      </rPr>
      <t>euro</t>
    </r>
    <r>
      <rPr>
        <sz val="12"/>
        <color theme="1"/>
        <rFont val="Times New Roman"/>
        <family val="1"/>
        <charset val="186"/>
      </rPr>
      <t xml:space="preserve">/mēn. * 12. mēn. = 1 187,64 </t>
    </r>
    <r>
      <rPr>
        <i/>
        <sz val="12"/>
        <color theme="1"/>
        <rFont val="Times New Roman"/>
        <family val="1"/>
        <charset val="186"/>
      </rPr>
      <t>euro</t>
    </r>
    <r>
      <rPr>
        <sz val="12"/>
        <color theme="1"/>
        <rFont val="Times New Roman"/>
        <family val="1"/>
        <charset val="186"/>
      </rPr>
      <t xml:space="preserve"> * 0.0342 (iznomātās platības koeficients) = 40,62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</si>
  <si>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65 min., (26,96 </t>
    </r>
    <r>
      <rPr>
        <i/>
        <sz val="12"/>
        <color theme="1"/>
        <rFont val="Times New Roman"/>
        <family val="1"/>
        <charset val="186"/>
      </rPr>
      <t>euro</t>
    </r>
    <r>
      <rPr>
        <sz val="12"/>
        <color theme="1"/>
        <rFont val="Times New Roman"/>
        <family val="1"/>
        <charset val="186"/>
      </rPr>
      <t xml:space="preserve"> * 1.08 h) = 29,12 </t>
    </r>
    <r>
      <rPr>
        <i/>
        <sz val="12"/>
        <color theme="1"/>
        <rFont val="Times New Roman"/>
        <family val="1"/>
        <charset val="186"/>
      </rPr>
      <t>euro</t>
    </r>
    <r>
      <rPr>
        <sz val="12"/>
        <color theme="1"/>
        <rFont val="Times New Roman"/>
        <family val="1"/>
        <charset val="186"/>
      </rPr>
      <t xml:space="preserve">/mēn. * 12. mēn. = 349,44 </t>
    </r>
    <r>
      <rPr>
        <i/>
        <sz val="12"/>
        <color theme="1"/>
        <rFont val="Times New Roman"/>
        <family val="1"/>
        <charset val="186"/>
      </rPr>
      <t>euro</t>
    </r>
    <r>
      <rPr>
        <sz val="12"/>
        <color theme="1"/>
        <rFont val="Times New Roman"/>
        <family val="1"/>
        <charset val="186"/>
      </rPr>
      <t xml:space="preserve"> * 0.0342 (iznomātās platības koeficients) = 11,95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</si>
  <si>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190,68 </t>
    </r>
    <r>
      <rPr>
        <i/>
        <sz val="12"/>
        <color theme="1"/>
        <rFont val="Times New Roman"/>
        <family val="1"/>
        <charset val="186"/>
      </rPr>
      <t>euro</t>
    </r>
    <r>
      <rPr>
        <sz val="12"/>
        <color theme="1"/>
        <rFont val="Times New Roman"/>
        <family val="1"/>
        <charset val="186"/>
      </rPr>
      <t xml:space="preserve"> * 23,59 % = 44,98 </t>
    </r>
    <r>
      <rPr>
        <i/>
        <sz val="12"/>
        <color theme="1"/>
        <rFont val="Times New Roman"/>
        <family val="1"/>
        <charset val="186"/>
      </rPr>
      <t>euro.</t>
    </r>
  </si>
  <si>
    <r>
      <t xml:space="preserve">Izdevumi par apkuri 82 944.32 </t>
    </r>
    <r>
      <rPr>
        <i/>
        <sz val="12"/>
        <color theme="1"/>
        <rFont val="Times New Roman"/>
        <family val="1"/>
        <charset val="186"/>
      </rPr>
      <t>euro</t>
    </r>
    <r>
      <rPr>
        <sz val="12"/>
        <color theme="1"/>
        <rFont val="Times New Roman"/>
        <family val="1"/>
        <charset val="186"/>
      </rPr>
      <t xml:space="preserve"> gadā * 0.0342 (iznomātās platības koeficients) = 2 836,70 </t>
    </r>
    <r>
      <rPr>
        <i/>
        <sz val="12"/>
        <color theme="1"/>
        <rFont val="Times New Roman"/>
        <family val="1"/>
        <charset val="186"/>
      </rPr>
      <t>euro.</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</si>
  <si>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0.0342 (iznomātās platības koeficients) = 143,77 </t>
    </r>
    <r>
      <rPr>
        <i/>
        <sz val="12"/>
        <color theme="1"/>
        <rFont val="Times New Roman"/>
        <family val="1"/>
        <charset val="186"/>
      </rPr>
      <t>euro.</t>
    </r>
  </si>
  <si>
    <r>
      <t xml:space="preserve">Izdevumi par elektroenerģiju 7 807,39 </t>
    </r>
    <r>
      <rPr>
        <i/>
        <sz val="12"/>
        <color theme="1"/>
        <rFont val="Times New Roman"/>
        <family val="1"/>
        <charset val="186"/>
      </rPr>
      <t>euro</t>
    </r>
    <r>
      <rPr>
        <sz val="12"/>
        <color theme="1"/>
        <rFont val="Times New Roman"/>
        <family val="1"/>
        <charset val="186"/>
      </rPr>
      <t xml:space="preserve"> gadā * 0.0342 (iznomātās platības koeficients) = 267,01 </t>
    </r>
    <r>
      <rPr>
        <i/>
        <sz val="12"/>
        <color theme="1"/>
        <rFont val="Times New Roman"/>
        <family val="1"/>
        <charset val="186"/>
      </rPr>
      <t>euro.</t>
    </r>
  </si>
  <si>
    <r>
      <t xml:space="preserve">Izdevumi par atkritumu izvešanu 275,91 </t>
    </r>
    <r>
      <rPr>
        <i/>
        <sz val="12"/>
        <color theme="1"/>
        <rFont val="Times New Roman"/>
        <family val="1"/>
        <charset val="186"/>
      </rPr>
      <t>euro</t>
    </r>
    <r>
      <rPr>
        <sz val="12"/>
        <color theme="1"/>
        <rFont val="Times New Roman"/>
        <family val="1"/>
        <charset val="186"/>
      </rPr>
      <t xml:space="preserve"> gadā * 0.0342 (iznomātās platības koeficients) = 9,44 </t>
    </r>
    <r>
      <rPr>
        <i/>
        <sz val="12"/>
        <color theme="1"/>
        <rFont val="Times New Roman"/>
        <family val="1"/>
        <charset val="186"/>
      </rPr>
      <t>euro</t>
    </r>
    <r>
      <rPr>
        <sz val="12"/>
        <color theme="1"/>
        <rFont val="Times New Roman"/>
        <family val="1"/>
        <charset val="186"/>
      </rPr>
      <t>.</t>
    </r>
  </si>
  <si>
    <r>
      <t xml:space="preserve">Izdevumi par iestādes pasūtīto pētījumu 149,11 </t>
    </r>
    <r>
      <rPr>
        <i/>
        <sz val="12"/>
        <color theme="1"/>
        <rFont val="Times New Roman"/>
        <family val="1"/>
        <charset val="186"/>
      </rPr>
      <t>euro</t>
    </r>
    <r>
      <rPr>
        <sz val="12"/>
        <color theme="1"/>
        <rFont val="Times New Roman"/>
        <family val="1"/>
        <charset val="186"/>
      </rPr>
      <t xml:space="preserve"> gadā * 0.0342 (iznomātās platības koeficients) = 5,10 </t>
    </r>
    <r>
      <rPr>
        <i/>
        <sz val="12"/>
        <color theme="1"/>
        <rFont val="Times New Roman"/>
        <family val="1"/>
        <charset val="186"/>
      </rPr>
      <t>euro</t>
    </r>
    <r>
      <rPr>
        <sz val="12"/>
        <color theme="1"/>
        <rFont val="Times New Roman"/>
        <family val="1"/>
        <charset val="186"/>
      </rPr>
      <t>.</t>
    </r>
  </si>
  <si>
    <r>
      <t xml:space="preserve">Izdevumi par atļauju izmantot autoru darbus 57,00 </t>
    </r>
    <r>
      <rPr>
        <i/>
        <sz val="12"/>
        <color theme="1"/>
        <rFont val="Times New Roman"/>
        <family val="1"/>
        <charset val="186"/>
      </rPr>
      <t>euro</t>
    </r>
    <r>
      <rPr>
        <sz val="12"/>
        <color theme="1"/>
        <rFont val="Times New Roman"/>
        <family val="1"/>
        <charset val="186"/>
      </rPr>
      <t xml:space="preserve"> gadā * 0.0342 (iznomātās platības koeficients) = 1,95 </t>
    </r>
    <r>
      <rPr>
        <i/>
        <sz val="12"/>
        <color theme="1"/>
        <rFont val="Times New Roman"/>
        <family val="1"/>
        <charset val="186"/>
      </rPr>
      <t>euro</t>
    </r>
    <r>
      <rPr>
        <sz val="12"/>
        <color theme="1"/>
        <rFont val="Times New Roman"/>
        <family val="1"/>
        <charset val="186"/>
      </rPr>
      <t>.</t>
    </r>
  </si>
  <si>
    <r>
      <t xml:space="preserve">Kārtējā remonta izdevumi 1 875,92 </t>
    </r>
    <r>
      <rPr>
        <i/>
        <sz val="12"/>
        <color theme="1"/>
        <rFont val="Times New Roman"/>
        <family val="1"/>
        <charset val="186"/>
      </rPr>
      <t>euro</t>
    </r>
    <r>
      <rPr>
        <sz val="12"/>
        <color theme="1"/>
        <rFont val="Times New Roman"/>
        <family val="1"/>
        <charset val="186"/>
      </rPr>
      <t xml:space="preserve"> gadā * 0.0342 (iznomātās platības koeficients) = 64,16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</si>
  <si>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956,50 </t>
    </r>
    <r>
      <rPr>
        <i/>
        <sz val="12"/>
        <color theme="1"/>
        <rFont val="Times New Roman"/>
        <family val="1"/>
        <charset val="186"/>
      </rPr>
      <t>euro</t>
    </r>
    <r>
      <rPr>
        <sz val="12"/>
        <color theme="1"/>
        <rFont val="Times New Roman"/>
        <family val="1"/>
        <charset val="186"/>
      </rPr>
      <t xml:space="preserve"> gadā * 0.0342 (iznomātās platības koeficients)= 32,71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</si>
  <si>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3 378,56 </t>
    </r>
    <r>
      <rPr>
        <i/>
        <sz val="12"/>
        <color theme="1"/>
        <rFont val="Times New Roman"/>
        <family val="1"/>
        <charset val="186"/>
      </rPr>
      <t>euro</t>
    </r>
    <r>
      <rPr>
        <sz val="12"/>
        <color theme="1"/>
        <rFont val="Times New Roman"/>
        <family val="1"/>
        <charset val="186"/>
      </rPr>
      <t xml:space="preserve"> gadā * 0.0342 (iznomātās platības koeficients) = 115,55 </t>
    </r>
    <r>
      <rPr>
        <i/>
        <sz val="12"/>
        <color theme="1"/>
        <rFont val="Times New Roman"/>
        <family val="1"/>
        <charset val="186"/>
      </rPr>
      <t>euro.</t>
    </r>
  </si>
  <si>
    <r>
      <t xml:space="preserve">Pārējie uzturēšanas izdevumi 3 705,93 </t>
    </r>
    <r>
      <rPr>
        <i/>
        <sz val="12"/>
        <color theme="1"/>
        <rFont val="Times New Roman"/>
        <family val="1"/>
        <charset val="186"/>
      </rPr>
      <t>euro</t>
    </r>
    <r>
      <rPr>
        <sz val="12"/>
        <color theme="1"/>
        <rFont val="Times New Roman"/>
        <family val="1"/>
        <charset val="186"/>
      </rPr>
      <t xml:space="preserve"> gadā * 0.0342 (iznomātās platības koeficients) = 126,74 </t>
    </r>
    <r>
      <rPr>
        <i/>
        <sz val="12"/>
        <color theme="1"/>
        <rFont val="Times New Roman"/>
        <family val="1"/>
        <charset val="186"/>
      </rPr>
      <t>euro.</t>
    </r>
  </si>
  <si>
    <r>
      <t xml:space="preserve">Inventāra iegādes izdevumi 856,97 </t>
    </r>
    <r>
      <rPr>
        <i/>
        <sz val="12"/>
        <color theme="1"/>
        <rFont val="Times New Roman"/>
        <family val="1"/>
        <charset val="186"/>
      </rPr>
      <t>euro</t>
    </r>
    <r>
      <rPr>
        <sz val="12"/>
        <color theme="1"/>
        <rFont val="Times New Roman"/>
        <family val="1"/>
        <charset val="186"/>
      </rPr>
      <t xml:space="preserve"> gadā * 0.0342 (iznomātās platības koeficients) = 29,31 </t>
    </r>
    <r>
      <rPr>
        <i/>
        <sz val="12"/>
        <color theme="1"/>
        <rFont val="Times New Roman"/>
        <family val="1"/>
        <charset val="186"/>
      </rPr>
      <t>euro.</t>
    </r>
  </si>
  <si>
    <r>
      <t xml:space="preserve">Saimniecības, remonta materiālu un transportlīdzekļu uzturēšanas materiālu iegādes izdevumi 1 711,80 </t>
    </r>
    <r>
      <rPr>
        <i/>
        <sz val="12"/>
        <color theme="1"/>
        <rFont val="Times New Roman"/>
        <family val="1"/>
        <charset val="186"/>
      </rPr>
      <t>euro</t>
    </r>
    <r>
      <rPr>
        <sz val="12"/>
        <color theme="1"/>
        <rFont val="Times New Roman"/>
        <family val="1"/>
        <charset val="186"/>
      </rPr>
      <t xml:space="preserve"> gadā * 0.0342 (iznomātās platības koeficients) = 58,54 </t>
    </r>
    <r>
      <rPr>
        <i/>
        <sz val="12"/>
        <color theme="1"/>
        <rFont val="Times New Roman"/>
        <family val="1"/>
        <charset val="186"/>
      </rPr>
      <t>euro.</t>
    </r>
  </si>
  <si>
    <r>
      <t xml:space="preserve">Nekustamā īpašuma nodoklis 8 084,39 </t>
    </r>
    <r>
      <rPr>
        <i/>
        <sz val="12"/>
        <color theme="1"/>
        <rFont val="Times New Roman"/>
        <family val="1"/>
        <charset val="186"/>
      </rPr>
      <t>euro</t>
    </r>
    <r>
      <rPr>
        <sz val="12"/>
        <color theme="1"/>
        <rFont val="Times New Roman"/>
        <family val="1"/>
        <charset val="186"/>
      </rPr>
      <t xml:space="preserve"> gadā * 0.0342 (iznomātās platības koeficients) = 276,49 </t>
    </r>
    <r>
      <rPr>
        <i/>
        <sz val="12"/>
        <color theme="1"/>
        <rFont val="Times New Roman"/>
        <family val="1"/>
        <charset val="186"/>
      </rPr>
      <t>euro</t>
    </r>
    <r>
      <rPr>
        <sz val="12"/>
        <color theme="1"/>
        <rFont val="Times New Roman"/>
        <family val="1"/>
        <charset val="186"/>
      </rPr>
      <t>.</t>
    </r>
  </si>
  <si>
    <r>
      <t xml:space="preserve">Dabas resursu nodoklis 1 920,89 </t>
    </r>
    <r>
      <rPr>
        <i/>
        <sz val="12"/>
        <color theme="1"/>
        <rFont val="Times New Roman"/>
        <family val="1"/>
        <charset val="186"/>
      </rPr>
      <t>euro</t>
    </r>
    <r>
      <rPr>
        <sz val="12"/>
        <color theme="1"/>
        <rFont val="Times New Roman"/>
        <family val="1"/>
        <charset val="186"/>
      </rPr>
      <t xml:space="preserve"> gadā * 0.0342 (iznomātās platības koeficients) = 65,69 </t>
    </r>
    <r>
      <rPr>
        <i/>
        <sz val="12"/>
        <color theme="1"/>
        <rFont val="Times New Roman"/>
        <family val="1"/>
        <charset val="186"/>
      </rPr>
      <t>euro</t>
    </r>
    <r>
      <rPr>
        <sz val="12"/>
        <color theme="1"/>
        <rFont val="Times New Roman"/>
        <family val="1"/>
        <charset val="186"/>
      </rPr>
      <t>.</t>
    </r>
  </si>
  <si>
    <r>
      <t xml:space="preserve">Ēku amortizācija 622,32 </t>
    </r>
    <r>
      <rPr>
        <i/>
        <sz val="12"/>
        <color theme="1"/>
        <rFont val="Times New Roman"/>
        <family val="1"/>
        <charset val="186"/>
      </rPr>
      <t>euro</t>
    </r>
    <r>
      <rPr>
        <sz val="12"/>
        <color theme="1"/>
        <rFont val="Times New Roman"/>
        <family val="1"/>
        <charset val="186"/>
      </rPr>
      <t xml:space="preserve"> gadā * 0.0342 (iznomātās platības koeficients) = 21,28 </t>
    </r>
    <r>
      <rPr>
        <i/>
        <sz val="12"/>
        <color theme="1"/>
        <rFont val="Times New Roman"/>
        <family val="1"/>
        <charset val="186"/>
      </rPr>
      <t>euro.</t>
    </r>
  </si>
  <si>
    <r>
      <t xml:space="preserve">Pamatlīdzekļu amortizācija 251,64 </t>
    </r>
    <r>
      <rPr>
        <i/>
        <sz val="12"/>
        <color theme="1"/>
        <rFont val="Times New Roman"/>
        <family val="1"/>
        <charset val="186"/>
      </rPr>
      <t>euro</t>
    </r>
    <r>
      <rPr>
        <sz val="12"/>
        <color theme="1"/>
        <rFont val="Times New Roman"/>
        <family val="1"/>
        <charset val="186"/>
      </rPr>
      <t xml:space="preserve"> gadā * 0.0342 (iznomātās platības koeficients) = 8,61 </t>
    </r>
    <r>
      <rPr>
        <i/>
        <sz val="12"/>
        <color theme="1"/>
        <rFont val="Times New Roman"/>
        <family val="1"/>
        <charset val="186"/>
      </rPr>
      <t>euro.</t>
    </r>
  </si>
  <si>
    <r>
      <t xml:space="preserve">Pamatlīdzekļu amortizācija 1 134,21 </t>
    </r>
    <r>
      <rPr>
        <i/>
        <sz val="12"/>
        <color theme="1"/>
        <rFont val="Times New Roman"/>
        <family val="1"/>
        <charset val="186"/>
      </rPr>
      <t>euro</t>
    </r>
    <r>
      <rPr>
        <sz val="12"/>
        <color theme="1"/>
        <rFont val="Times New Roman"/>
        <family val="1"/>
        <charset val="186"/>
      </rPr>
      <t xml:space="preserve"> gadā * 0.0342 (iznomātās platības koeficients) = 38,79 </t>
    </r>
    <r>
      <rPr>
        <i/>
        <sz val="12"/>
        <color theme="1"/>
        <rFont val="Times New Roman"/>
        <family val="1"/>
        <charset val="186"/>
      </rPr>
      <t>euro.</t>
    </r>
  </si>
  <si>
    <r>
      <t xml:space="preserve">Pamatlīdzekļu amortizācija 2 748,15 </t>
    </r>
    <r>
      <rPr>
        <i/>
        <sz val="12"/>
        <color theme="1"/>
        <rFont val="Times New Roman"/>
        <family val="1"/>
        <charset val="186"/>
      </rPr>
      <t>euro</t>
    </r>
    <r>
      <rPr>
        <sz val="12"/>
        <color theme="1"/>
        <rFont val="Times New Roman"/>
        <family val="1"/>
        <charset val="186"/>
      </rPr>
      <t xml:space="preserve"> gadā * 0.0342 (iznomātās platības koeficients) = 93,99 </t>
    </r>
    <r>
      <rPr>
        <i/>
        <sz val="12"/>
        <color theme="1"/>
        <rFont val="Times New Roman"/>
        <family val="1"/>
        <charset val="186"/>
      </rPr>
      <t>euro.</t>
    </r>
  </si>
  <si>
    <r>
      <t xml:space="preserve">Galv. nekust. īpaš. pārvaldnieks (7,00 </t>
    </r>
    <r>
      <rPr>
        <i/>
        <sz val="12"/>
        <color theme="1"/>
        <rFont val="Times New Roman"/>
        <family val="1"/>
        <charset val="186"/>
      </rPr>
      <t>euro</t>
    </r>
    <r>
      <rPr>
        <sz val="12"/>
        <color theme="1"/>
        <rFont val="Times New Roman"/>
        <family val="1"/>
        <charset val="186"/>
      </rPr>
      <t xml:space="preserve"> * 10%) = 0,70 </t>
    </r>
    <r>
      <rPr>
        <i/>
        <sz val="12"/>
        <color theme="1"/>
        <rFont val="Times New Roman"/>
        <family val="1"/>
        <charset val="186"/>
      </rPr>
      <t>euro</t>
    </r>
    <r>
      <rPr>
        <sz val="12"/>
        <color theme="1"/>
        <rFont val="Times New Roman"/>
        <family val="1"/>
        <charset val="186"/>
      </rPr>
      <t xml:space="preserve">, Saimniecības pārzinis (8,83 </t>
    </r>
    <r>
      <rPr>
        <i/>
        <sz val="12"/>
        <color theme="1"/>
        <rFont val="Times New Roman"/>
        <family val="1"/>
        <charset val="186"/>
      </rPr>
      <t>euro</t>
    </r>
    <r>
      <rPr>
        <sz val="12"/>
        <color theme="1"/>
        <rFont val="Times New Roman"/>
        <family val="1"/>
        <charset val="186"/>
      </rPr>
      <t xml:space="preserve"> * 10%) = 0,88 </t>
    </r>
    <r>
      <rPr>
        <i/>
        <sz val="12"/>
        <color theme="1"/>
        <rFont val="Times New Roman"/>
        <family val="1"/>
        <charset val="186"/>
      </rPr>
      <t>euro</t>
    </r>
    <r>
      <rPr>
        <sz val="12"/>
        <color theme="1"/>
        <rFont val="Times New Roman"/>
        <family val="1"/>
        <charset val="186"/>
      </rPr>
      <t xml:space="preserve">, Istabene (8,27 </t>
    </r>
    <r>
      <rPr>
        <i/>
        <sz val="12"/>
        <color theme="1"/>
        <rFont val="Times New Roman"/>
        <family val="1"/>
        <charset val="186"/>
      </rPr>
      <t>euro</t>
    </r>
    <r>
      <rPr>
        <sz val="12"/>
        <color theme="1"/>
        <rFont val="Times New Roman"/>
        <family val="1"/>
        <charset val="186"/>
      </rPr>
      <t xml:space="preserve"> * 10%) = 0,83 </t>
    </r>
    <r>
      <rPr>
        <i/>
        <sz val="12"/>
        <color theme="1"/>
        <rFont val="Times New Roman"/>
        <family val="1"/>
        <charset val="186"/>
      </rPr>
      <t>euro</t>
    </r>
    <r>
      <rPr>
        <sz val="12"/>
        <color theme="1"/>
        <rFont val="Times New Roman"/>
        <family val="1"/>
        <charset val="186"/>
      </rPr>
      <t xml:space="preserve">,  Apkopēja (7,44 </t>
    </r>
    <r>
      <rPr>
        <i/>
        <sz val="12"/>
        <color theme="1"/>
        <rFont val="Times New Roman"/>
        <family val="1"/>
        <charset val="186"/>
      </rPr>
      <t>euro</t>
    </r>
    <r>
      <rPr>
        <sz val="12"/>
        <color theme="1"/>
        <rFont val="Times New Roman"/>
        <family val="1"/>
        <charset val="186"/>
      </rPr>
      <t xml:space="preserve"> * 10%) = 0,74 </t>
    </r>
    <r>
      <rPr>
        <i/>
        <sz val="12"/>
        <color theme="1"/>
        <rFont val="Times New Roman"/>
        <family val="1"/>
        <charset val="186"/>
      </rPr>
      <t>euro</t>
    </r>
    <r>
      <rPr>
        <sz val="12"/>
        <color theme="1"/>
        <rFont val="Times New Roman"/>
        <family val="1"/>
        <charset val="186"/>
      </rPr>
      <t xml:space="preserve">, Sētnieks (3,98 </t>
    </r>
    <r>
      <rPr>
        <i/>
        <sz val="12"/>
        <color theme="1"/>
        <rFont val="Times New Roman"/>
        <family val="1"/>
        <charset val="186"/>
      </rPr>
      <t>euro</t>
    </r>
    <r>
      <rPr>
        <sz val="12"/>
        <color theme="1"/>
        <rFont val="Times New Roman"/>
        <family val="1"/>
        <charset val="186"/>
      </rPr>
      <t xml:space="preserve"> * 10%) = 0,40 </t>
    </r>
    <r>
      <rPr>
        <i/>
        <sz val="12"/>
        <color theme="1"/>
        <rFont val="Times New Roman"/>
        <family val="1"/>
        <charset val="186"/>
      </rPr>
      <t>euro</t>
    </r>
    <r>
      <rPr>
        <sz val="12"/>
        <color theme="1"/>
        <rFont val="Times New Roman"/>
        <family val="1"/>
        <charset val="186"/>
      </rPr>
      <t xml:space="preserve">. Kopā (0,70 euro +  0,88 </t>
    </r>
    <r>
      <rPr>
        <i/>
        <sz val="12"/>
        <color theme="1"/>
        <rFont val="Times New Roman"/>
        <family val="1"/>
        <charset val="186"/>
      </rPr>
      <t>euro</t>
    </r>
    <r>
      <rPr>
        <sz val="12"/>
        <color theme="1"/>
        <rFont val="Times New Roman"/>
        <family val="1"/>
        <charset val="186"/>
      </rPr>
      <t xml:space="preserve"> + 0,83 </t>
    </r>
    <r>
      <rPr>
        <i/>
        <sz val="12"/>
        <color theme="1"/>
        <rFont val="Times New Roman"/>
        <family val="1"/>
        <charset val="186"/>
      </rPr>
      <t>euro</t>
    </r>
    <r>
      <rPr>
        <sz val="12"/>
        <color theme="1"/>
        <rFont val="Times New Roman"/>
        <family val="1"/>
        <charset val="186"/>
      </rPr>
      <t xml:space="preserve"> + 0,74 </t>
    </r>
    <r>
      <rPr>
        <i/>
        <sz val="12"/>
        <color theme="1"/>
        <rFont val="Times New Roman"/>
        <family val="1"/>
        <charset val="186"/>
      </rPr>
      <t>euro</t>
    </r>
    <r>
      <rPr>
        <sz val="12"/>
        <color theme="1"/>
        <rFont val="Times New Roman"/>
        <family val="1"/>
        <charset val="186"/>
      </rPr>
      <t xml:space="preserve"> + 0,40 </t>
    </r>
    <r>
      <rPr>
        <i/>
        <sz val="12"/>
        <color theme="1"/>
        <rFont val="Times New Roman"/>
        <family val="1"/>
        <charset val="186"/>
      </rPr>
      <t>euro</t>
    </r>
    <r>
      <rPr>
        <sz val="12"/>
        <color theme="1"/>
        <rFont val="Times New Roman"/>
        <family val="1"/>
        <charset val="186"/>
      </rPr>
      <t xml:space="preserve">) = 3,55 </t>
    </r>
    <r>
      <rPr>
        <i/>
        <sz val="12"/>
        <color theme="1"/>
        <rFont val="Times New Roman"/>
        <family val="1"/>
        <charset val="186"/>
      </rPr>
      <t>euro</t>
    </r>
    <r>
      <rPr>
        <sz val="12"/>
        <color theme="1"/>
        <rFont val="Times New Roman"/>
        <family val="1"/>
        <charset val="186"/>
      </rPr>
      <t>.</t>
    </r>
  </si>
  <si>
    <r>
      <t xml:space="preserve">Galv. nekust. īpaš. pārvaldnieks (7,00 </t>
    </r>
    <r>
      <rPr>
        <i/>
        <sz val="12"/>
        <color theme="1"/>
        <rFont val="Times New Roman"/>
        <family val="1"/>
        <charset val="186"/>
      </rPr>
      <t>euro</t>
    </r>
    <r>
      <rPr>
        <sz val="12"/>
        <color theme="1"/>
        <rFont val="Times New Roman"/>
        <family val="1"/>
        <charset val="186"/>
      </rPr>
      <t xml:space="preserve"> * 5%) = 0,35 </t>
    </r>
    <r>
      <rPr>
        <i/>
        <sz val="12"/>
        <color theme="1"/>
        <rFont val="Times New Roman"/>
        <family val="1"/>
        <charset val="186"/>
      </rPr>
      <t>euro</t>
    </r>
    <r>
      <rPr>
        <sz val="12"/>
        <color theme="1"/>
        <rFont val="Times New Roman"/>
        <family val="1"/>
        <charset val="186"/>
      </rPr>
      <t xml:space="preserve">, Saimniecības pārzinis (8,83 </t>
    </r>
    <r>
      <rPr>
        <i/>
        <sz val="12"/>
        <color theme="1"/>
        <rFont val="Times New Roman"/>
        <family val="1"/>
        <charset val="186"/>
      </rPr>
      <t>euro</t>
    </r>
    <r>
      <rPr>
        <sz val="12"/>
        <color theme="1"/>
        <rFont val="Times New Roman"/>
        <family val="1"/>
        <charset val="186"/>
      </rPr>
      <t xml:space="preserve"> * 5%) = 0,44 </t>
    </r>
    <r>
      <rPr>
        <i/>
        <sz val="12"/>
        <color theme="1"/>
        <rFont val="Times New Roman"/>
        <family val="1"/>
        <charset val="186"/>
      </rPr>
      <t>euro</t>
    </r>
    <r>
      <rPr>
        <sz val="12"/>
        <color theme="1"/>
        <rFont val="Times New Roman"/>
        <family val="1"/>
        <charset val="186"/>
      </rPr>
      <t xml:space="preserve">,  Istabene (8,27 </t>
    </r>
    <r>
      <rPr>
        <i/>
        <sz val="12"/>
        <color theme="1"/>
        <rFont val="Times New Roman"/>
        <family val="1"/>
        <charset val="186"/>
      </rPr>
      <t>euro</t>
    </r>
    <r>
      <rPr>
        <sz val="12"/>
        <color theme="1"/>
        <rFont val="Times New Roman"/>
        <family val="1"/>
        <charset val="186"/>
      </rPr>
      <t xml:space="preserve"> * 5%) = 0,41 </t>
    </r>
    <r>
      <rPr>
        <i/>
        <sz val="12"/>
        <color theme="1"/>
        <rFont val="Times New Roman"/>
        <family val="1"/>
        <charset val="186"/>
      </rPr>
      <t>euro</t>
    </r>
    <r>
      <rPr>
        <sz val="12"/>
        <color theme="1"/>
        <rFont val="Times New Roman"/>
        <family val="1"/>
        <charset val="186"/>
      </rPr>
      <t xml:space="preserve">,  Apkopēja (7,44 </t>
    </r>
    <r>
      <rPr>
        <i/>
        <sz val="12"/>
        <color theme="1"/>
        <rFont val="Times New Roman"/>
        <family val="1"/>
        <charset val="186"/>
      </rPr>
      <t>euro</t>
    </r>
    <r>
      <rPr>
        <sz val="12"/>
        <color theme="1"/>
        <rFont val="Times New Roman"/>
        <family val="1"/>
        <charset val="186"/>
      </rPr>
      <t xml:space="preserve"> * 5%) = 0,37 </t>
    </r>
    <r>
      <rPr>
        <i/>
        <sz val="12"/>
        <color theme="1"/>
        <rFont val="Times New Roman"/>
        <family val="1"/>
        <charset val="186"/>
      </rPr>
      <t>euro</t>
    </r>
    <r>
      <rPr>
        <sz val="12"/>
        <color theme="1"/>
        <rFont val="Times New Roman"/>
        <family val="1"/>
        <charset val="186"/>
      </rPr>
      <t xml:space="preserve">, Sētnieks (3,98 </t>
    </r>
    <r>
      <rPr>
        <i/>
        <sz val="12"/>
        <color theme="1"/>
        <rFont val="Times New Roman"/>
        <family val="1"/>
        <charset val="186"/>
      </rPr>
      <t>euro</t>
    </r>
    <r>
      <rPr>
        <sz val="12"/>
        <color theme="1"/>
        <rFont val="Times New Roman"/>
        <family val="1"/>
        <charset val="186"/>
      </rPr>
      <t xml:space="preserve"> * 5%) = 0,20 </t>
    </r>
    <r>
      <rPr>
        <i/>
        <sz val="12"/>
        <color theme="1"/>
        <rFont val="Times New Roman"/>
        <family val="1"/>
        <charset val="186"/>
      </rPr>
      <t>euro</t>
    </r>
    <r>
      <rPr>
        <sz val="12"/>
        <color theme="1"/>
        <rFont val="Times New Roman"/>
        <family val="1"/>
        <charset val="186"/>
      </rPr>
      <t xml:space="preserve">. Kopā (0,35 euro +  0,44 </t>
    </r>
    <r>
      <rPr>
        <i/>
        <sz val="12"/>
        <color theme="1"/>
        <rFont val="Times New Roman"/>
        <family val="1"/>
        <charset val="186"/>
      </rPr>
      <t>euro</t>
    </r>
    <r>
      <rPr>
        <sz val="12"/>
        <color theme="1"/>
        <rFont val="Times New Roman"/>
        <family val="1"/>
        <charset val="186"/>
      </rPr>
      <t xml:space="preserve"> + 0,41 </t>
    </r>
    <r>
      <rPr>
        <i/>
        <sz val="12"/>
        <color theme="1"/>
        <rFont val="Times New Roman"/>
        <family val="1"/>
        <charset val="186"/>
      </rPr>
      <t>euro</t>
    </r>
    <r>
      <rPr>
        <sz val="12"/>
        <color theme="1"/>
        <rFont val="Times New Roman"/>
        <family val="1"/>
        <charset val="186"/>
      </rPr>
      <t xml:space="preserve"> + 0,37 </t>
    </r>
    <r>
      <rPr>
        <i/>
        <sz val="12"/>
        <color theme="1"/>
        <rFont val="Times New Roman"/>
        <family val="1"/>
        <charset val="186"/>
      </rPr>
      <t>euro</t>
    </r>
    <r>
      <rPr>
        <sz val="12"/>
        <color theme="1"/>
        <rFont val="Times New Roman"/>
        <family val="1"/>
        <charset val="186"/>
      </rPr>
      <t xml:space="preserve"> + 0,20 </t>
    </r>
    <r>
      <rPr>
        <i/>
        <sz val="12"/>
        <color theme="1"/>
        <rFont val="Times New Roman"/>
        <family val="1"/>
        <charset val="186"/>
      </rPr>
      <t>euro</t>
    </r>
    <r>
      <rPr>
        <sz val="12"/>
        <color theme="1"/>
        <rFont val="Times New Roman"/>
        <family val="1"/>
        <charset val="186"/>
      </rPr>
      <t xml:space="preserve">) = 1,77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</si>
  <si>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9,22 </t>
    </r>
    <r>
      <rPr>
        <i/>
        <sz val="12"/>
        <color theme="1"/>
        <rFont val="Times New Roman"/>
        <family val="1"/>
        <charset val="186"/>
      </rPr>
      <t>euro</t>
    </r>
    <r>
      <rPr>
        <sz val="12"/>
        <color theme="1"/>
        <rFont val="Times New Roman"/>
        <family val="1"/>
        <charset val="186"/>
      </rPr>
      <t xml:space="preserve">. Veselības apdrošināšana 1,77 </t>
    </r>
    <r>
      <rPr>
        <i/>
        <sz val="12"/>
        <color theme="1"/>
        <rFont val="Times New Roman"/>
        <family val="1"/>
        <charset val="186"/>
      </rPr>
      <t>euro</t>
    </r>
    <r>
      <rPr>
        <sz val="12"/>
        <color theme="1"/>
        <rFont val="Times New Roman"/>
        <family val="1"/>
        <charset val="186"/>
      </rPr>
      <t xml:space="preserve">. Kopā 10,99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</si>
  <si>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1 711,80 </t>
    </r>
    <r>
      <rPr>
        <i/>
        <sz val="12"/>
        <color theme="1"/>
        <rFont val="Times New Roman"/>
        <family val="1"/>
        <charset val="186"/>
      </rPr>
      <t>euro</t>
    </r>
    <r>
      <rPr>
        <sz val="12"/>
        <color theme="1"/>
        <rFont val="Times New Roman"/>
        <family val="1"/>
        <charset val="186"/>
      </rPr>
      <t xml:space="preserve"> gadā * 0.0012 (iznomātās platības koeficients) = 2,05 </t>
    </r>
    <r>
      <rPr>
        <i/>
        <sz val="12"/>
        <color theme="1"/>
        <rFont val="Times New Roman"/>
        <family val="1"/>
        <charset val="186"/>
      </rPr>
      <t>euro</t>
    </r>
    <r>
      <rPr>
        <sz val="12"/>
        <color theme="1"/>
        <rFont val="Times New Roman"/>
        <family val="1"/>
        <charset val="186"/>
      </rPr>
      <t>.</t>
    </r>
  </si>
  <si>
    <r>
      <t xml:space="preserve">Galv. nekust. īpaš. pārvaldnieks (67,10 </t>
    </r>
    <r>
      <rPr>
        <i/>
        <sz val="12"/>
        <color theme="1"/>
        <rFont val="Times New Roman"/>
        <family val="1"/>
        <charset val="186"/>
      </rPr>
      <t>euro</t>
    </r>
    <r>
      <rPr>
        <sz val="12"/>
        <color theme="1"/>
        <rFont val="Times New Roman"/>
        <family val="1"/>
        <charset val="186"/>
      </rPr>
      <t xml:space="preserve"> * 10%) = 6,71 </t>
    </r>
    <r>
      <rPr>
        <i/>
        <sz val="12"/>
        <color theme="1"/>
        <rFont val="Times New Roman"/>
        <family val="1"/>
        <charset val="186"/>
      </rPr>
      <t>euro</t>
    </r>
    <r>
      <rPr>
        <sz val="12"/>
        <color theme="1"/>
        <rFont val="Times New Roman"/>
        <family val="1"/>
        <charset val="186"/>
      </rPr>
      <t xml:space="preserve">, Saimniecības pārzinis (84,65 </t>
    </r>
    <r>
      <rPr>
        <i/>
        <sz val="12"/>
        <color theme="1"/>
        <rFont val="Times New Roman"/>
        <family val="1"/>
        <charset val="186"/>
      </rPr>
      <t>euro</t>
    </r>
    <r>
      <rPr>
        <sz val="12"/>
        <color theme="1"/>
        <rFont val="Times New Roman"/>
        <family val="1"/>
        <charset val="186"/>
      </rPr>
      <t xml:space="preserve"> * 10%) = 8,47 </t>
    </r>
    <r>
      <rPr>
        <i/>
        <sz val="12"/>
        <color theme="1"/>
        <rFont val="Times New Roman"/>
        <family val="1"/>
        <charset val="186"/>
      </rPr>
      <t>euro</t>
    </r>
    <r>
      <rPr>
        <sz val="12"/>
        <color theme="1"/>
        <rFont val="Times New Roman"/>
        <family val="1"/>
        <charset val="186"/>
      </rPr>
      <t xml:space="preserve">, Istabene (79,28 </t>
    </r>
    <r>
      <rPr>
        <i/>
        <sz val="12"/>
        <color theme="1"/>
        <rFont val="Times New Roman"/>
        <family val="1"/>
        <charset val="186"/>
      </rPr>
      <t>euro</t>
    </r>
    <r>
      <rPr>
        <sz val="12"/>
        <color theme="1"/>
        <rFont val="Times New Roman"/>
        <family val="1"/>
        <charset val="186"/>
      </rPr>
      <t xml:space="preserve"> * 10%) = 7,93 </t>
    </r>
    <r>
      <rPr>
        <i/>
        <sz val="12"/>
        <color theme="1"/>
        <rFont val="Times New Roman"/>
        <family val="1"/>
        <charset val="186"/>
      </rPr>
      <t>euro</t>
    </r>
    <r>
      <rPr>
        <sz val="12"/>
        <color theme="1"/>
        <rFont val="Times New Roman"/>
        <family val="1"/>
        <charset val="186"/>
      </rPr>
      <t xml:space="preserve">, Apkopēja (71,33 </t>
    </r>
    <r>
      <rPr>
        <i/>
        <sz val="12"/>
        <color theme="1"/>
        <rFont val="Times New Roman"/>
        <family val="1"/>
        <charset val="186"/>
      </rPr>
      <t>euro</t>
    </r>
    <r>
      <rPr>
        <sz val="12"/>
        <color theme="1"/>
        <rFont val="Times New Roman"/>
        <family val="1"/>
        <charset val="186"/>
      </rPr>
      <t xml:space="preserve"> * 10%) = 7,13 </t>
    </r>
    <r>
      <rPr>
        <i/>
        <sz val="12"/>
        <color theme="1"/>
        <rFont val="Times New Roman"/>
        <family val="1"/>
        <charset val="186"/>
      </rPr>
      <t>euro</t>
    </r>
    <r>
      <rPr>
        <sz val="12"/>
        <color theme="1"/>
        <rFont val="Times New Roman"/>
        <family val="1"/>
        <charset val="186"/>
      </rPr>
      <t xml:space="preserve">, Sētnieks (38,18 </t>
    </r>
    <r>
      <rPr>
        <i/>
        <sz val="12"/>
        <color theme="1"/>
        <rFont val="Times New Roman"/>
        <family val="1"/>
        <charset val="186"/>
      </rPr>
      <t>euro</t>
    </r>
    <r>
      <rPr>
        <sz val="12"/>
        <color theme="1"/>
        <rFont val="Times New Roman"/>
        <family val="1"/>
        <charset val="186"/>
      </rPr>
      <t xml:space="preserve"> * 10%) = 3,82 </t>
    </r>
    <r>
      <rPr>
        <i/>
        <sz val="12"/>
        <color theme="1"/>
        <rFont val="Times New Roman"/>
        <family val="1"/>
        <charset val="186"/>
      </rPr>
      <t>euro</t>
    </r>
    <r>
      <rPr>
        <sz val="12"/>
        <color theme="1"/>
        <rFont val="Times New Roman"/>
        <family val="1"/>
        <charset val="186"/>
      </rPr>
      <t xml:space="preserve">. Kopā (6,71 </t>
    </r>
    <r>
      <rPr>
        <i/>
        <sz val="12"/>
        <color theme="1"/>
        <rFont val="Times New Roman"/>
        <family val="1"/>
        <charset val="186"/>
      </rPr>
      <t>euro</t>
    </r>
    <r>
      <rPr>
        <sz val="12"/>
        <color theme="1"/>
        <rFont val="Times New Roman"/>
        <family val="1"/>
        <charset val="186"/>
      </rPr>
      <t xml:space="preserve"> + 8,47 </t>
    </r>
    <r>
      <rPr>
        <i/>
        <sz val="12"/>
        <color theme="1"/>
        <rFont val="Times New Roman"/>
        <family val="1"/>
        <charset val="186"/>
      </rPr>
      <t>euro</t>
    </r>
    <r>
      <rPr>
        <sz val="12"/>
        <color theme="1"/>
        <rFont val="Times New Roman"/>
        <family val="1"/>
        <charset val="186"/>
      </rPr>
      <t xml:space="preserve"> + 7,93 </t>
    </r>
    <r>
      <rPr>
        <i/>
        <sz val="12"/>
        <color theme="1"/>
        <rFont val="Times New Roman"/>
        <family val="1"/>
        <charset val="186"/>
      </rPr>
      <t>euro</t>
    </r>
    <r>
      <rPr>
        <sz val="12"/>
        <color theme="1"/>
        <rFont val="Times New Roman"/>
        <family val="1"/>
        <charset val="186"/>
      </rPr>
      <t xml:space="preserve"> + 7,13 </t>
    </r>
    <r>
      <rPr>
        <i/>
        <sz val="12"/>
        <color theme="1"/>
        <rFont val="Times New Roman"/>
        <family val="1"/>
        <charset val="186"/>
      </rPr>
      <t>euro</t>
    </r>
    <r>
      <rPr>
        <sz val="12"/>
        <color theme="1"/>
        <rFont val="Times New Roman"/>
        <family val="1"/>
        <charset val="186"/>
      </rPr>
      <t xml:space="preserve"> + 3,82 </t>
    </r>
    <r>
      <rPr>
        <i/>
        <sz val="12"/>
        <color theme="1"/>
        <rFont val="Times New Roman"/>
        <family val="1"/>
        <charset val="186"/>
      </rPr>
      <t>euro</t>
    </r>
    <r>
      <rPr>
        <sz val="12"/>
        <color theme="1"/>
        <rFont val="Times New Roman"/>
        <family val="1"/>
        <charset val="186"/>
      </rPr>
      <t xml:space="preserve">) = 34,06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</si>
  <si>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(374,60 </t>
    </r>
    <r>
      <rPr>
        <i/>
        <sz val="12"/>
        <color theme="1"/>
        <rFont val="Times New Roman"/>
        <family val="1"/>
        <charset val="186"/>
      </rPr>
      <t>euro</t>
    </r>
    <r>
      <rPr>
        <sz val="12"/>
        <color theme="1"/>
        <rFont val="Times New Roman"/>
        <family val="1"/>
        <charset val="186"/>
      </rPr>
      <t xml:space="preserve"> * 23,59 %) = 88,37 </t>
    </r>
    <r>
      <rPr>
        <i/>
        <sz val="12"/>
        <color theme="1"/>
        <rFont val="Times New Roman"/>
        <family val="1"/>
        <charset val="186"/>
      </rPr>
      <t xml:space="preserve">euro. </t>
    </r>
  </si>
  <si>
    <r>
      <t xml:space="preserve">Galv. nekust. īpaš. pārvaldnieks (67,10 </t>
    </r>
    <r>
      <rPr>
        <i/>
        <sz val="12"/>
        <color theme="1"/>
        <rFont val="Times New Roman"/>
        <family val="1"/>
        <charset val="186"/>
      </rPr>
      <t>euro</t>
    </r>
    <r>
      <rPr>
        <sz val="12"/>
        <color theme="1"/>
        <rFont val="Times New Roman"/>
        <family val="1"/>
        <charset val="186"/>
      </rPr>
      <t xml:space="preserve"> * 5%) = 3,36 </t>
    </r>
    <r>
      <rPr>
        <i/>
        <sz val="12"/>
        <color theme="1"/>
        <rFont val="Times New Roman"/>
        <family val="1"/>
        <charset val="186"/>
      </rPr>
      <t>euro</t>
    </r>
    <r>
      <rPr>
        <sz val="12"/>
        <color theme="1"/>
        <rFont val="Times New Roman"/>
        <family val="1"/>
        <charset val="186"/>
      </rPr>
      <t xml:space="preserve">, Saimniecības pārzinis (84,65 </t>
    </r>
    <r>
      <rPr>
        <i/>
        <sz val="12"/>
        <color theme="1"/>
        <rFont val="Times New Roman"/>
        <family val="1"/>
        <charset val="186"/>
      </rPr>
      <t>euro</t>
    </r>
    <r>
      <rPr>
        <sz val="12"/>
        <color theme="1"/>
        <rFont val="Times New Roman"/>
        <family val="1"/>
        <charset val="186"/>
      </rPr>
      <t xml:space="preserve"> * 5%) = 4,23 </t>
    </r>
    <r>
      <rPr>
        <i/>
        <sz val="12"/>
        <color theme="1"/>
        <rFont val="Times New Roman"/>
        <family val="1"/>
        <charset val="186"/>
      </rPr>
      <t>euro</t>
    </r>
    <r>
      <rPr>
        <sz val="12"/>
        <color theme="1"/>
        <rFont val="Times New Roman"/>
        <family val="1"/>
        <charset val="186"/>
      </rPr>
      <t xml:space="preserve">, Istabene (79,28 </t>
    </r>
    <r>
      <rPr>
        <i/>
        <sz val="12"/>
        <color theme="1"/>
        <rFont val="Times New Roman"/>
        <family val="1"/>
        <charset val="186"/>
      </rPr>
      <t>euro</t>
    </r>
    <r>
      <rPr>
        <sz val="12"/>
        <color theme="1"/>
        <rFont val="Times New Roman"/>
        <family val="1"/>
        <charset val="186"/>
      </rPr>
      <t xml:space="preserve"> * 5%) = 3,96 </t>
    </r>
    <r>
      <rPr>
        <i/>
        <sz val="12"/>
        <color theme="1"/>
        <rFont val="Times New Roman"/>
        <family val="1"/>
        <charset val="186"/>
      </rPr>
      <t>euro</t>
    </r>
    <r>
      <rPr>
        <sz val="12"/>
        <color theme="1"/>
        <rFont val="Times New Roman"/>
        <family val="1"/>
        <charset val="186"/>
      </rPr>
      <t xml:space="preserve">, Apkopēja (71,33 </t>
    </r>
    <r>
      <rPr>
        <i/>
        <sz val="12"/>
        <color theme="1"/>
        <rFont val="Times New Roman"/>
        <family val="1"/>
        <charset val="186"/>
      </rPr>
      <t>euro</t>
    </r>
    <r>
      <rPr>
        <sz val="12"/>
        <color theme="1"/>
        <rFont val="Times New Roman"/>
        <family val="1"/>
        <charset val="186"/>
      </rPr>
      <t xml:space="preserve"> * 5%) = 3,57 </t>
    </r>
    <r>
      <rPr>
        <i/>
        <sz val="12"/>
        <color theme="1"/>
        <rFont val="Times New Roman"/>
        <family val="1"/>
        <charset val="186"/>
      </rPr>
      <t>euro</t>
    </r>
    <r>
      <rPr>
        <sz val="12"/>
        <color theme="1"/>
        <rFont val="Times New Roman"/>
        <family val="1"/>
        <charset val="186"/>
      </rPr>
      <t xml:space="preserve">, Sētnieks (38,18 </t>
    </r>
    <r>
      <rPr>
        <i/>
        <sz val="12"/>
        <color theme="1"/>
        <rFont val="Times New Roman"/>
        <family val="1"/>
        <charset val="186"/>
      </rPr>
      <t>euro</t>
    </r>
    <r>
      <rPr>
        <sz val="12"/>
        <color theme="1"/>
        <rFont val="Times New Roman"/>
        <family val="1"/>
        <charset val="186"/>
      </rPr>
      <t xml:space="preserve"> * 5%) = 1,91 </t>
    </r>
    <r>
      <rPr>
        <i/>
        <sz val="12"/>
        <color theme="1"/>
        <rFont val="Times New Roman"/>
        <family val="1"/>
        <charset val="186"/>
      </rPr>
      <t>euro</t>
    </r>
    <r>
      <rPr>
        <sz val="12"/>
        <color theme="1"/>
        <rFont val="Times New Roman"/>
        <family val="1"/>
        <charset val="186"/>
      </rPr>
      <t xml:space="preserve">. Kopā (3,36 </t>
    </r>
    <r>
      <rPr>
        <i/>
        <sz val="12"/>
        <color theme="1"/>
        <rFont val="Times New Roman"/>
        <family val="1"/>
        <charset val="186"/>
      </rPr>
      <t>euro</t>
    </r>
    <r>
      <rPr>
        <sz val="12"/>
        <color theme="1"/>
        <rFont val="Times New Roman"/>
        <family val="1"/>
        <charset val="186"/>
      </rPr>
      <t xml:space="preserve"> + 4,23 </t>
    </r>
    <r>
      <rPr>
        <i/>
        <sz val="12"/>
        <color theme="1"/>
        <rFont val="Times New Roman"/>
        <family val="1"/>
        <charset val="186"/>
      </rPr>
      <t>euro</t>
    </r>
    <r>
      <rPr>
        <sz val="12"/>
        <color theme="1"/>
        <rFont val="Times New Roman"/>
        <family val="1"/>
        <charset val="186"/>
      </rPr>
      <t xml:space="preserve"> + 3,96 </t>
    </r>
    <r>
      <rPr>
        <i/>
        <sz val="12"/>
        <color theme="1"/>
        <rFont val="Times New Roman"/>
        <family val="1"/>
        <charset val="186"/>
      </rPr>
      <t>euro</t>
    </r>
    <r>
      <rPr>
        <sz val="12"/>
        <color theme="1"/>
        <rFont val="Times New Roman"/>
        <family val="1"/>
        <charset val="186"/>
      </rPr>
      <t xml:space="preserve"> + 3,57 </t>
    </r>
    <r>
      <rPr>
        <i/>
        <sz val="12"/>
        <color theme="1"/>
        <rFont val="Times New Roman"/>
        <family val="1"/>
        <charset val="186"/>
      </rPr>
      <t>euro</t>
    </r>
    <r>
      <rPr>
        <sz val="12"/>
        <color theme="1"/>
        <rFont val="Times New Roman"/>
        <family val="1"/>
        <charset val="186"/>
      </rPr>
      <t xml:space="preserve"> + 1,91 </t>
    </r>
    <r>
      <rPr>
        <i/>
        <sz val="12"/>
        <color theme="1"/>
        <rFont val="Times New Roman"/>
        <family val="1"/>
        <charset val="186"/>
      </rPr>
      <t>euro</t>
    </r>
    <r>
      <rPr>
        <sz val="12"/>
        <color theme="1"/>
        <rFont val="Times New Roman"/>
        <family val="1"/>
        <charset val="186"/>
      </rPr>
      <t xml:space="preserve">) = 17,03 </t>
    </r>
    <r>
      <rPr>
        <i/>
        <sz val="12"/>
        <color theme="1"/>
        <rFont val="Times New Roman"/>
        <family val="1"/>
        <charset val="186"/>
      </rPr>
      <t>euro</t>
    </r>
    <r>
      <rPr>
        <sz val="12"/>
        <color theme="1"/>
        <rFont val="Times New Roman"/>
        <family val="1"/>
        <charset val="186"/>
      </rPr>
      <t>.</t>
    </r>
  </si>
  <si>
    <r>
      <t xml:space="preserve">Galv. nekust. īpaš. pārvaldnieks (126,61 </t>
    </r>
    <r>
      <rPr>
        <i/>
        <sz val="12"/>
        <color theme="1"/>
        <rFont val="Times New Roman"/>
        <family val="1"/>
        <charset val="186"/>
      </rPr>
      <t>euro</t>
    </r>
    <r>
      <rPr>
        <sz val="12"/>
        <color theme="1"/>
        <rFont val="Times New Roman"/>
        <family val="1"/>
        <charset val="186"/>
      </rPr>
      <t xml:space="preserve"> * 10%) = 12,66 </t>
    </r>
    <r>
      <rPr>
        <i/>
        <sz val="12"/>
        <color theme="1"/>
        <rFont val="Times New Roman"/>
        <family val="1"/>
        <charset val="186"/>
      </rPr>
      <t>euro</t>
    </r>
    <r>
      <rPr>
        <sz val="12"/>
        <color theme="1"/>
        <rFont val="Times New Roman"/>
        <family val="1"/>
        <charset val="186"/>
      </rPr>
      <t xml:space="preserve">, Saimniecības pārzinis (159,73 </t>
    </r>
    <r>
      <rPr>
        <i/>
        <sz val="12"/>
        <color theme="1"/>
        <rFont val="Times New Roman"/>
        <family val="1"/>
        <charset val="186"/>
      </rPr>
      <t>euro</t>
    </r>
    <r>
      <rPr>
        <sz val="12"/>
        <color theme="1"/>
        <rFont val="Times New Roman"/>
        <family val="1"/>
        <charset val="186"/>
      </rPr>
      <t xml:space="preserve"> * 10%) = 15,97 </t>
    </r>
    <r>
      <rPr>
        <i/>
        <sz val="12"/>
        <color theme="1"/>
        <rFont val="Times New Roman"/>
        <family val="1"/>
        <charset val="186"/>
      </rPr>
      <t>euro</t>
    </r>
    <r>
      <rPr>
        <sz val="12"/>
        <color theme="1"/>
        <rFont val="Times New Roman"/>
        <family val="1"/>
        <charset val="186"/>
      </rPr>
      <t xml:space="preserve">, Istabene (149,59 </t>
    </r>
    <r>
      <rPr>
        <i/>
        <sz val="12"/>
        <color theme="1"/>
        <rFont val="Times New Roman"/>
        <family val="1"/>
        <charset val="186"/>
      </rPr>
      <t>euro</t>
    </r>
    <r>
      <rPr>
        <sz val="12"/>
        <color theme="1"/>
        <rFont val="Times New Roman"/>
        <family val="1"/>
        <charset val="186"/>
      </rPr>
      <t xml:space="preserve"> * 10%) = 14,96 </t>
    </r>
    <r>
      <rPr>
        <i/>
        <sz val="12"/>
        <color theme="1"/>
        <rFont val="Times New Roman"/>
        <family val="1"/>
        <charset val="186"/>
      </rPr>
      <t>euro</t>
    </r>
    <r>
      <rPr>
        <sz val="12"/>
        <color theme="1"/>
        <rFont val="Times New Roman"/>
        <family val="1"/>
        <charset val="186"/>
      </rPr>
      <t xml:space="preserve">, Apkopēja (134,59 </t>
    </r>
    <r>
      <rPr>
        <i/>
        <sz val="12"/>
        <color theme="1"/>
        <rFont val="Times New Roman"/>
        <family val="1"/>
        <charset val="186"/>
      </rPr>
      <t>euro</t>
    </r>
    <r>
      <rPr>
        <sz val="12"/>
        <color theme="1"/>
        <rFont val="Times New Roman"/>
        <family val="1"/>
        <charset val="186"/>
      </rPr>
      <t xml:space="preserve"> * 10%) = 13,46 </t>
    </r>
    <r>
      <rPr>
        <i/>
        <sz val="12"/>
        <color theme="1"/>
        <rFont val="Times New Roman"/>
        <family val="1"/>
        <charset val="186"/>
      </rPr>
      <t>euro</t>
    </r>
    <r>
      <rPr>
        <sz val="12"/>
        <color theme="1"/>
        <rFont val="Times New Roman"/>
        <family val="1"/>
        <charset val="186"/>
      </rPr>
      <t xml:space="preserve">, Sētnieks (72,05 </t>
    </r>
    <r>
      <rPr>
        <i/>
        <sz val="12"/>
        <color theme="1"/>
        <rFont val="Times New Roman"/>
        <family val="1"/>
        <charset val="186"/>
      </rPr>
      <t>euro</t>
    </r>
    <r>
      <rPr>
        <sz val="12"/>
        <color theme="1"/>
        <rFont val="Times New Roman"/>
        <family val="1"/>
        <charset val="186"/>
      </rPr>
      <t xml:space="preserve"> * 10%) = 7,21 </t>
    </r>
    <r>
      <rPr>
        <i/>
        <sz val="12"/>
        <color theme="1"/>
        <rFont val="Times New Roman"/>
        <family val="1"/>
        <charset val="186"/>
      </rPr>
      <t>euro</t>
    </r>
    <r>
      <rPr>
        <sz val="12"/>
        <color theme="1"/>
        <rFont val="Times New Roman"/>
        <family val="1"/>
        <charset val="186"/>
      </rPr>
      <t xml:space="preserve">. Kopā (12,66 </t>
    </r>
    <r>
      <rPr>
        <i/>
        <sz val="12"/>
        <color theme="1"/>
        <rFont val="Times New Roman"/>
        <family val="1"/>
        <charset val="186"/>
      </rPr>
      <t>euro</t>
    </r>
    <r>
      <rPr>
        <sz val="12"/>
        <color theme="1"/>
        <rFont val="Times New Roman"/>
        <family val="1"/>
        <charset val="186"/>
      </rPr>
      <t xml:space="preserve"> + 15,97 </t>
    </r>
    <r>
      <rPr>
        <i/>
        <sz val="12"/>
        <color theme="1"/>
        <rFont val="Times New Roman"/>
        <family val="1"/>
        <charset val="186"/>
      </rPr>
      <t>euro</t>
    </r>
    <r>
      <rPr>
        <sz val="12"/>
        <color theme="1"/>
        <rFont val="Times New Roman"/>
        <family val="1"/>
        <charset val="186"/>
      </rPr>
      <t xml:space="preserve"> + 14,96 </t>
    </r>
    <r>
      <rPr>
        <i/>
        <sz val="12"/>
        <color theme="1"/>
        <rFont val="Times New Roman"/>
        <family val="1"/>
        <charset val="186"/>
      </rPr>
      <t>euro</t>
    </r>
    <r>
      <rPr>
        <sz val="12"/>
        <color theme="1"/>
        <rFont val="Times New Roman"/>
        <family val="1"/>
        <charset val="186"/>
      </rPr>
      <t xml:space="preserve"> + 13,46 </t>
    </r>
    <r>
      <rPr>
        <i/>
        <sz val="12"/>
        <color theme="1"/>
        <rFont val="Times New Roman"/>
        <family val="1"/>
        <charset val="186"/>
      </rPr>
      <t>euro</t>
    </r>
    <r>
      <rPr>
        <sz val="12"/>
        <color theme="1"/>
        <rFont val="Times New Roman"/>
        <family val="1"/>
        <charset val="186"/>
      </rPr>
      <t xml:space="preserve"> + 7,21 </t>
    </r>
    <r>
      <rPr>
        <i/>
        <sz val="12"/>
        <color theme="1"/>
        <rFont val="Times New Roman"/>
        <family val="1"/>
        <charset val="186"/>
      </rPr>
      <t>euro</t>
    </r>
    <r>
      <rPr>
        <sz val="12"/>
        <color theme="1"/>
        <rFont val="Times New Roman"/>
        <family val="1"/>
        <charset val="186"/>
      </rPr>
      <t xml:space="preserve">) = 64,26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</si>
  <si>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4.72 stundas, (24,34 </t>
    </r>
    <r>
      <rPr>
        <i/>
        <sz val="12"/>
        <color theme="1"/>
        <rFont val="Times New Roman"/>
        <family val="1"/>
        <charset val="186"/>
      </rPr>
      <t>euro</t>
    </r>
    <r>
      <rPr>
        <sz val="12"/>
        <color theme="1"/>
        <rFont val="Times New Roman"/>
        <family val="1"/>
        <charset val="186"/>
      </rPr>
      <t xml:space="preserve"> * 4.72 h) = 114,88 </t>
    </r>
    <r>
      <rPr>
        <i/>
        <sz val="12"/>
        <color theme="1"/>
        <rFont val="Times New Roman"/>
        <family val="1"/>
        <charset val="186"/>
      </rPr>
      <t>euro</t>
    </r>
    <r>
      <rPr>
        <sz val="12"/>
        <color theme="1"/>
        <rFont val="Times New Roman"/>
        <family val="1"/>
        <charset val="186"/>
      </rPr>
      <t xml:space="preserve">/mēn. * 12. mēn. = 1 378,56 </t>
    </r>
    <r>
      <rPr>
        <i/>
        <sz val="12"/>
        <color theme="1"/>
        <rFont val="Times New Roman"/>
        <family val="1"/>
        <charset val="186"/>
      </rPr>
      <t>euro</t>
    </r>
    <r>
      <rPr>
        <sz val="12"/>
        <color theme="1"/>
        <rFont val="Times New Roman"/>
        <family val="1"/>
        <charset val="186"/>
      </rPr>
      <t xml:space="preserve"> * 0.0217 (iznomātās platības koeficients) = 29,91 </t>
    </r>
    <r>
      <rPr>
        <i/>
        <sz val="12"/>
        <color theme="1"/>
        <rFont val="Times New Roman"/>
        <family val="1"/>
        <charset val="186"/>
      </rPr>
      <t>euro.</t>
    </r>
  </si>
  <si>
    <r>
      <t xml:space="preserve">Galv. nekust. īpaš. pārvaldnieks (327,89 </t>
    </r>
    <r>
      <rPr>
        <i/>
        <sz val="12"/>
        <color theme="1"/>
        <rFont val="Times New Roman"/>
        <family val="1"/>
        <charset val="186"/>
      </rPr>
      <t>euro</t>
    </r>
    <r>
      <rPr>
        <sz val="12"/>
        <color theme="1"/>
        <rFont val="Times New Roman"/>
        <family val="1"/>
        <charset val="186"/>
      </rPr>
      <t xml:space="preserve"> * 10%) = 32,79 </t>
    </r>
    <r>
      <rPr>
        <i/>
        <sz val="12"/>
        <color theme="1"/>
        <rFont val="Times New Roman"/>
        <family val="1"/>
        <charset val="186"/>
      </rPr>
      <t>euro</t>
    </r>
    <r>
      <rPr>
        <sz val="12"/>
        <color theme="1"/>
        <rFont val="Times New Roman"/>
        <family val="1"/>
        <charset val="186"/>
      </rPr>
      <t xml:space="preserve">, Saimniecības pārzinis (413,69 </t>
    </r>
    <r>
      <rPr>
        <i/>
        <sz val="12"/>
        <color theme="1"/>
        <rFont val="Times New Roman"/>
        <family val="1"/>
        <charset val="186"/>
      </rPr>
      <t>euro</t>
    </r>
    <r>
      <rPr>
        <sz val="12"/>
        <color theme="1"/>
        <rFont val="Times New Roman"/>
        <family val="1"/>
        <charset val="186"/>
      </rPr>
      <t xml:space="preserve"> * 10%) = 41,37 </t>
    </r>
    <r>
      <rPr>
        <i/>
        <sz val="12"/>
        <color theme="1"/>
        <rFont val="Times New Roman"/>
        <family val="1"/>
        <charset val="186"/>
      </rPr>
      <t>euro</t>
    </r>
    <r>
      <rPr>
        <sz val="12"/>
        <color theme="1"/>
        <rFont val="Times New Roman"/>
        <family val="1"/>
        <charset val="186"/>
      </rPr>
      <t xml:space="preserve">, Istabene (387,43 </t>
    </r>
    <r>
      <rPr>
        <i/>
        <sz val="12"/>
        <color theme="1"/>
        <rFont val="Times New Roman"/>
        <family val="1"/>
        <charset val="186"/>
      </rPr>
      <t>euro</t>
    </r>
    <r>
      <rPr>
        <sz val="12"/>
        <color theme="1"/>
        <rFont val="Times New Roman"/>
        <family val="1"/>
        <charset val="186"/>
      </rPr>
      <t xml:space="preserve"> * 10%) = 38,74 </t>
    </r>
    <r>
      <rPr>
        <i/>
        <sz val="12"/>
        <color theme="1"/>
        <rFont val="Times New Roman"/>
        <family val="1"/>
        <charset val="186"/>
      </rPr>
      <t>euro</t>
    </r>
    <r>
      <rPr>
        <sz val="12"/>
        <color theme="1"/>
        <rFont val="Times New Roman"/>
        <family val="1"/>
        <charset val="186"/>
      </rPr>
      <t xml:space="preserve">, Apkopēja (348,56 </t>
    </r>
    <r>
      <rPr>
        <i/>
        <sz val="12"/>
        <color theme="1"/>
        <rFont val="Times New Roman"/>
        <family val="1"/>
        <charset val="186"/>
      </rPr>
      <t>euro</t>
    </r>
    <r>
      <rPr>
        <sz val="12"/>
        <color theme="1"/>
        <rFont val="Times New Roman"/>
        <family val="1"/>
        <charset val="186"/>
      </rPr>
      <t xml:space="preserve"> * 10%) = 34,86 </t>
    </r>
    <r>
      <rPr>
        <i/>
        <sz val="12"/>
        <color theme="1"/>
        <rFont val="Times New Roman"/>
        <family val="1"/>
        <charset val="186"/>
      </rPr>
      <t>euro</t>
    </r>
    <r>
      <rPr>
        <sz val="12"/>
        <color theme="1"/>
        <rFont val="Times New Roman"/>
        <family val="1"/>
        <charset val="186"/>
      </rPr>
      <t xml:space="preserve">, Sētnieks (186,61 </t>
    </r>
    <r>
      <rPr>
        <i/>
        <sz val="12"/>
        <color theme="1"/>
        <rFont val="Times New Roman"/>
        <family val="1"/>
        <charset val="186"/>
      </rPr>
      <t>euro</t>
    </r>
    <r>
      <rPr>
        <sz val="12"/>
        <color theme="1"/>
        <rFont val="Times New Roman"/>
        <family val="1"/>
        <charset val="186"/>
      </rPr>
      <t xml:space="preserve"> * 10%) = 18,66 </t>
    </r>
    <r>
      <rPr>
        <i/>
        <sz val="12"/>
        <color theme="1"/>
        <rFont val="Times New Roman"/>
        <family val="1"/>
        <charset val="186"/>
      </rPr>
      <t>euro</t>
    </r>
    <r>
      <rPr>
        <sz val="12"/>
        <color theme="1"/>
        <rFont val="Times New Roman"/>
        <family val="1"/>
        <charset val="186"/>
      </rPr>
      <t xml:space="preserve">. Kopā (32,79 </t>
    </r>
    <r>
      <rPr>
        <i/>
        <sz val="12"/>
        <color theme="1"/>
        <rFont val="Times New Roman"/>
        <family val="1"/>
        <charset val="186"/>
      </rPr>
      <t>euro</t>
    </r>
    <r>
      <rPr>
        <sz val="12"/>
        <color theme="1"/>
        <rFont val="Times New Roman"/>
        <family val="1"/>
        <charset val="186"/>
      </rPr>
      <t xml:space="preserve"> + 41,37 </t>
    </r>
    <r>
      <rPr>
        <i/>
        <sz val="12"/>
        <color theme="1"/>
        <rFont val="Times New Roman"/>
        <family val="1"/>
        <charset val="186"/>
      </rPr>
      <t>euro</t>
    </r>
    <r>
      <rPr>
        <sz val="12"/>
        <color theme="1"/>
        <rFont val="Times New Roman"/>
        <family val="1"/>
        <charset val="186"/>
      </rPr>
      <t xml:space="preserve"> + 38,74 </t>
    </r>
    <r>
      <rPr>
        <i/>
        <sz val="12"/>
        <color theme="1"/>
        <rFont val="Times New Roman"/>
        <family val="1"/>
        <charset val="186"/>
      </rPr>
      <t>euro</t>
    </r>
    <r>
      <rPr>
        <sz val="12"/>
        <color theme="1"/>
        <rFont val="Times New Roman"/>
        <family val="1"/>
        <charset val="186"/>
      </rPr>
      <t xml:space="preserve"> + 34,86 </t>
    </r>
    <r>
      <rPr>
        <i/>
        <sz val="12"/>
        <color theme="1"/>
        <rFont val="Times New Roman"/>
        <family val="1"/>
        <charset val="186"/>
      </rPr>
      <t>euro</t>
    </r>
    <r>
      <rPr>
        <sz val="12"/>
        <color theme="1"/>
        <rFont val="Times New Roman"/>
        <family val="1"/>
        <charset val="186"/>
      </rPr>
      <t xml:space="preserve"> + 18,66 </t>
    </r>
    <r>
      <rPr>
        <i/>
        <sz val="12"/>
        <color theme="1"/>
        <rFont val="Times New Roman"/>
        <family val="1"/>
        <charset val="186"/>
      </rPr>
      <t>euro</t>
    </r>
    <r>
      <rPr>
        <sz val="12"/>
        <color theme="1"/>
        <rFont val="Times New Roman"/>
        <family val="1"/>
        <charset val="186"/>
      </rPr>
      <t xml:space="preserve">) = 166,42 </t>
    </r>
    <r>
      <rPr>
        <i/>
        <sz val="12"/>
        <color theme="1"/>
        <rFont val="Times New Roman"/>
        <family val="1"/>
        <charset val="186"/>
      </rPr>
      <t>euro</t>
    </r>
    <r>
      <rPr>
        <sz val="12"/>
        <color theme="1"/>
        <rFont val="Times New Roman"/>
        <family val="1"/>
        <charset val="186"/>
      </rPr>
      <t>.</t>
    </r>
  </si>
  <si>
    <r>
      <t xml:space="preserve">Galv. nekust. īpaš. pārvaldnieks (192,54 </t>
    </r>
    <r>
      <rPr>
        <i/>
        <sz val="12"/>
        <color theme="1"/>
        <rFont val="Times New Roman"/>
        <family val="1"/>
        <charset val="186"/>
      </rPr>
      <t>euro</t>
    </r>
    <r>
      <rPr>
        <sz val="12"/>
        <color theme="1"/>
        <rFont val="Times New Roman"/>
        <family val="1"/>
        <charset val="186"/>
      </rPr>
      <t xml:space="preserve"> * 10%) = 19,25 </t>
    </r>
    <r>
      <rPr>
        <i/>
        <sz val="12"/>
        <color theme="1"/>
        <rFont val="Times New Roman"/>
        <family val="1"/>
        <charset val="186"/>
      </rPr>
      <t>euro</t>
    </r>
    <r>
      <rPr>
        <sz val="12"/>
        <color theme="1"/>
        <rFont val="Times New Roman"/>
        <family val="1"/>
        <charset val="186"/>
      </rPr>
      <t xml:space="preserve">, Saimniecības pārzinis (242,91 </t>
    </r>
    <r>
      <rPr>
        <i/>
        <sz val="12"/>
        <color theme="1"/>
        <rFont val="Times New Roman"/>
        <family val="1"/>
        <charset val="186"/>
      </rPr>
      <t>euro</t>
    </r>
    <r>
      <rPr>
        <sz val="12"/>
        <color theme="1"/>
        <rFont val="Times New Roman"/>
        <family val="1"/>
        <charset val="186"/>
      </rPr>
      <t xml:space="preserve"> * 10%) = 24,29 </t>
    </r>
    <r>
      <rPr>
        <i/>
        <sz val="12"/>
        <color theme="1"/>
        <rFont val="Times New Roman"/>
        <family val="1"/>
        <charset val="186"/>
      </rPr>
      <t>euro</t>
    </r>
    <r>
      <rPr>
        <sz val="12"/>
        <color theme="1"/>
        <rFont val="Times New Roman"/>
        <family val="1"/>
        <charset val="186"/>
      </rPr>
      <t xml:space="preserve">, Istabene (227,49 </t>
    </r>
    <r>
      <rPr>
        <i/>
        <sz val="12"/>
        <color theme="1"/>
        <rFont val="Times New Roman"/>
        <family val="1"/>
        <charset val="186"/>
      </rPr>
      <t>euro</t>
    </r>
    <r>
      <rPr>
        <sz val="12"/>
        <color theme="1"/>
        <rFont val="Times New Roman"/>
        <family val="1"/>
        <charset val="186"/>
      </rPr>
      <t xml:space="preserve"> * 10%) = 22,75 </t>
    </r>
    <r>
      <rPr>
        <i/>
        <sz val="12"/>
        <color theme="1"/>
        <rFont val="Times New Roman"/>
        <family val="1"/>
        <charset val="186"/>
      </rPr>
      <t>euro</t>
    </r>
    <r>
      <rPr>
        <sz val="12"/>
        <color theme="1"/>
        <rFont val="Times New Roman"/>
        <family val="1"/>
        <charset val="186"/>
      </rPr>
      <t xml:space="preserve">, Apkopēja (204,67 </t>
    </r>
    <r>
      <rPr>
        <i/>
        <sz val="12"/>
        <color theme="1"/>
        <rFont val="Times New Roman"/>
        <family val="1"/>
        <charset val="186"/>
      </rPr>
      <t>euro</t>
    </r>
    <r>
      <rPr>
        <sz val="12"/>
        <color theme="1"/>
        <rFont val="Times New Roman"/>
        <family val="1"/>
        <charset val="186"/>
      </rPr>
      <t xml:space="preserve"> * 10%) = 20,47 </t>
    </r>
    <r>
      <rPr>
        <i/>
        <sz val="12"/>
        <color theme="1"/>
        <rFont val="Times New Roman"/>
        <family val="1"/>
        <charset val="186"/>
      </rPr>
      <t>euro</t>
    </r>
    <r>
      <rPr>
        <sz val="12"/>
        <color theme="1"/>
        <rFont val="Times New Roman"/>
        <family val="1"/>
        <charset val="186"/>
      </rPr>
      <t xml:space="preserve">, Sētnieks (109,57 </t>
    </r>
    <r>
      <rPr>
        <i/>
        <sz val="12"/>
        <color theme="1"/>
        <rFont val="Times New Roman"/>
        <family val="1"/>
        <charset val="186"/>
      </rPr>
      <t>euro</t>
    </r>
    <r>
      <rPr>
        <sz val="12"/>
        <color theme="1"/>
        <rFont val="Times New Roman"/>
        <family val="1"/>
        <charset val="186"/>
      </rPr>
      <t xml:space="preserve"> * 10%) = 10,96 </t>
    </r>
    <r>
      <rPr>
        <i/>
        <sz val="12"/>
        <color theme="1"/>
        <rFont val="Times New Roman"/>
        <family val="1"/>
        <charset val="186"/>
      </rPr>
      <t>euro</t>
    </r>
    <r>
      <rPr>
        <sz val="12"/>
        <color theme="1"/>
        <rFont val="Times New Roman"/>
        <family val="1"/>
        <charset val="186"/>
      </rPr>
      <t xml:space="preserve">. Kopā (19,25 </t>
    </r>
    <r>
      <rPr>
        <i/>
        <sz val="12"/>
        <color theme="1"/>
        <rFont val="Times New Roman"/>
        <family val="1"/>
        <charset val="186"/>
      </rPr>
      <t>euro</t>
    </r>
    <r>
      <rPr>
        <sz val="12"/>
        <color theme="1"/>
        <rFont val="Times New Roman"/>
        <family val="1"/>
        <charset val="186"/>
      </rPr>
      <t xml:space="preserve"> + 24,29 </t>
    </r>
    <r>
      <rPr>
        <i/>
        <sz val="12"/>
        <color theme="1"/>
        <rFont val="Times New Roman"/>
        <family val="1"/>
        <charset val="186"/>
      </rPr>
      <t>euro</t>
    </r>
    <r>
      <rPr>
        <sz val="12"/>
        <color theme="1"/>
        <rFont val="Times New Roman"/>
        <family val="1"/>
        <charset val="186"/>
      </rPr>
      <t xml:space="preserve"> + 22,75 </t>
    </r>
    <r>
      <rPr>
        <i/>
        <sz val="12"/>
        <color theme="1"/>
        <rFont val="Times New Roman"/>
        <family val="1"/>
        <charset val="186"/>
      </rPr>
      <t>euro</t>
    </r>
    <r>
      <rPr>
        <sz val="12"/>
        <color theme="1"/>
        <rFont val="Times New Roman"/>
        <family val="1"/>
        <charset val="186"/>
      </rPr>
      <t xml:space="preserve"> + 20,47 </t>
    </r>
    <r>
      <rPr>
        <i/>
        <sz val="12"/>
        <color theme="1"/>
        <rFont val="Times New Roman"/>
        <family val="1"/>
        <charset val="186"/>
      </rPr>
      <t>euro</t>
    </r>
    <r>
      <rPr>
        <sz val="12"/>
        <color theme="1"/>
        <rFont val="Times New Roman"/>
        <family val="1"/>
        <charset val="186"/>
      </rPr>
      <t xml:space="preserve"> + 10,96 </t>
    </r>
    <r>
      <rPr>
        <i/>
        <sz val="12"/>
        <color theme="1"/>
        <rFont val="Times New Roman"/>
        <family val="1"/>
        <charset val="186"/>
      </rPr>
      <t>euro</t>
    </r>
    <r>
      <rPr>
        <sz val="12"/>
        <color theme="1"/>
        <rFont val="Times New Roman"/>
        <family val="1"/>
        <charset val="186"/>
      </rPr>
      <t xml:space="preserve">) = 97,72 </t>
    </r>
    <r>
      <rPr>
        <i/>
        <sz val="12"/>
        <color theme="1"/>
        <rFont val="Times New Roman"/>
        <family val="1"/>
        <charset val="186"/>
      </rPr>
      <t>euro</t>
    </r>
    <r>
      <rPr>
        <sz val="12"/>
        <color theme="1"/>
        <rFont val="Times New Roman"/>
        <family val="1"/>
        <charset val="186"/>
      </rPr>
      <t>.</t>
    </r>
  </si>
  <si>
    <r>
      <t xml:space="preserve">Galv. nekust. īpaš. pārvaldnieks (95,68 </t>
    </r>
    <r>
      <rPr>
        <i/>
        <sz val="12"/>
        <color theme="1"/>
        <rFont val="Times New Roman"/>
        <family val="1"/>
        <charset val="186"/>
      </rPr>
      <t>euro</t>
    </r>
    <r>
      <rPr>
        <sz val="12"/>
        <color theme="1"/>
        <rFont val="Times New Roman"/>
        <family val="1"/>
        <charset val="186"/>
      </rPr>
      <t xml:space="preserve"> * 10%) = 9,57 </t>
    </r>
    <r>
      <rPr>
        <i/>
        <sz val="12"/>
        <color theme="1"/>
        <rFont val="Times New Roman"/>
        <family val="1"/>
        <charset val="186"/>
      </rPr>
      <t>euro</t>
    </r>
    <r>
      <rPr>
        <sz val="12"/>
        <color theme="1"/>
        <rFont val="Times New Roman"/>
        <family val="1"/>
        <charset val="186"/>
      </rPr>
      <t xml:space="preserve">, Saimniecības pārzinis (120,72 </t>
    </r>
    <r>
      <rPr>
        <i/>
        <sz val="12"/>
        <color theme="1"/>
        <rFont val="Times New Roman"/>
        <family val="1"/>
        <charset val="186"/>
      </rPr>
      <t>euro</t>
    </r>
    <r>
      <rPr>
        <sz val="12"/>
        <color theme="1"/>
        <rFont val="Times New Roman"/>
        <family val="1"/>
        <charset val="186"/>
      </rPr>
      <t xml:space="preserve"> * 10%) = 12,07 </t>
    </r>
    <r>
      <rPr>
        <i/>
        <sz val="12"/>
        <color theme="1"/>
        <rFont val="Times New Roman"/>
        <family val="1"/>
        <charset val="186"/>
      </rPr>
      <t>euro</t>
    </r>
    <r>
      <rPr>
        <sz val="12"/>
        <color theme="1"/>
        <rFont val="Times New Roman"/>
        <family val="1"/>
        <charset val="186"/>
      </rPr>
      <t xml:space="preserve">, Istabene (113,06 </t>
    </r>
    <r>
      <rPr>
        <i/>
        <sz val="12"/>
        <color theme="1"/>
        <rFont val="Times New Roman"/>
        <family val="1"/>
        <charset val="186"/>
      </rPr>
      <t>euro</t>
    </r>
    <r>
      <rPr>
        <sz val="12"/>
        <color theme="1"/>
        <rFont val="Times New Roman"/>
        <family val="1"/>
        <charset val="186"/>
      </rPr>
      <t xml:space="preserve"> * 10%) = 11,31 </t>
    </r>
    <r>
      <rPr>
        <i/>
        <sz val="12"/>
        <color theme="1"/>
        <rFont val="Times New Roman"/>
        <family val="1"/>
        <charset val="186"/>
      </rPr>
      <t>euro</t>
    </r>
    <r>
      <rPr>
        <sz val="12"/>
        <color theme="1"/>
        <rFont val="Times New Roman"/>
        <family val="1"/>
        <charset val="186"/>
      </rPr>
      <t xml:space="preserve">, Apkopēja (101,72 </t>
    </r>
    <r>
      <rPr>
        <i/>
        <sz val="12"/>
        <color theme="1"/>
        <rFont val="Times New Roman"/>
        <family val="1"/>
        <charset val="186"/>
      </rPr>
      <t>euro</t>
    </r>
    <r>
      <rPr>
        <sz val="12"/>
        <color theme="1"/>
        <rFont val="Times New Roman"/>
        <family val="1"/>
        <charset val="186"/>
      </rPr>
      <t xml:space="preserve"> * 10%) = 10,17 </t>
    </r>
    <r>
      <rPr>
        <i/>
        <sz val="12"/>
        <color theme="1"/>
        <rFont val="Times New Roman"/>
        <family val="1"/>
        <charset val="186"/>
      </rPr>
      <t>euro</t>
    </r>
    <r>
      <rPr>
        <sz val="12"/>
        <color theme="1"/>
        <rFont val="Times New Roman"/>
        <family val="1"/>
        <charset val="186"/>
      </rPr>
      <t xml:space="preserve">, Sētnieks (54,45 </t>
    </r>
    <r>
      <rPr>
        <i/>
        <sz val="12"/>
        <color theme="1"/>
        <rFont val="Times New Roman"/>
        <family val="1"/>
        <charset val="186"/>
      </rPr>
      <t>euro</t>
    </r>
    <r>
      <rPr>
        <sz val="12"/>
        <color theme="1"/>
        <rFont val="Times New Roman"/>
        <family val="1"/>
        <charset val="186"/>
      </rPr>
      <t xml:space="preserve"> * 10%) = 5,45 </t>
    </r>
    <r>
      <rPr>
        <i/>
        <sz val="12"/>
        <color theme="1"/>
        <rFont val="Times New Roman"/>
        <family val="1"/>
        <charset val="186"/>
      </rPr>
      <t>euro</t>
    </r>
    <r>
      <rPr>
        <sz val="12"/>
        <color theme="1"/>
        <rFont val="Times New Roman"/>
        <family val="1"/>
        <charset val="186"/>
      </rPr>
      <t xml:space="preserve">. Kopā (9,57 </t>
    </r>
    <r>
      <rPr>
        <i/>
        <sz val="12"/>
        <color theme="1"/>
        <rFont val="Times New Roman"/>
        <family val="1"/>
        <charset val="186"/>
      </rPr>
      <t>euro</t>
    </r>
    <r>
      <rPr>
        <sz val="12"/>
        <color theme="1"/>
        <rFont val="Times New Roman"/>
        <family val="1"/>
        <charset val="186"/>
      </rPr>
      <t xml:space="preserve"> + 12,07 </t>
    </r>
    <r>
      <rPr>
        <i/>
        <sz val="12"/>
        <color theme="1"/>
        <rFont val="Times New Roman"/>
        <family val="1"/>
        <charset val="186"/>
      </rPr>
      <t>euro</t>
    </r>
    <r>
      <rPr>
        <sz val="12"/>
        <color theme="1"/>
        <rFont val="Times New Roman"/>
        <family val="1"/>
        <charset val="186"/>
      </rPr>
      <t xml:space="preserve"> + 11,31 </t>
    </r>
    <r>
      <rPr>
        <i/>
        <sz val="12"/>
        <color theme="1"/>
        <rFont val="Times New Roman"/>
        <family val="1"/>
        <charset val="186"/>
      </rPr>
      <t>euro</t>
    </r>
    <r>
      <rPr>
        <sz val="12"/>
        <color theme="1"/>
        <rFont val="Times New Roman"/>
        <family val="1"/>
        <charset val="186"/>
      </rPr>
      <t xml:space="preserve"> + 10,17 </t>
    </r>
    <r>
      <rPr>
        <i/>
        <sz val="12"/>
        <color theme="1"/>
        <rFont val="Times New Roman"/>
        <family val="1"/>
        <charset val="186"/>
      </rPr>
      <t>euro</t>
    </r>
    <r>
      <rPr>
        <sz val="12"/>
        <color theme="1"/>
        <rFont val="Times New Roman"/>
        <family val="1"/>
        <charset val="186"/>
      </rPr>
      <t xml:space="preserve"> + 5,45 </t>
    </r>
    <r>
      <rPr>
        <i/>
        <sz val="12"/>
        <color theme="1"/>
        <rFont val="Times New Roman"/>
        <family val="1"/>
        <charset val="186"/>
      </rPr>
      <t>euro</t>
    </r>
    <r>
      <rPr>
        <sz val="12"/>
        <color theme="1"/>
        <rFont val="Times New Roman"/>
        <family val="1"/>
        <charset val="186"/>
      </rPr>
      <t xml:space="preserve">) = 48,57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</si>
  <si>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(534,20 </t>
    </r>
    <r>
      <rPr>
        <i/>
        <sz val="12"/>
        <color theme="1"/>
        <rFont val="Times New Roman"/>
        <family val="1"/>
        <charset val="186"/>
      </rPr>
      <t>euro</t>
    </r>
    <r>
      <rPr>
        <sz val="12"/>
        <color theme="1"/>
        <rFont val="Times New Roman"/>
        <family val="1"/>
        <charset val="186"/>
      </rPr>
      <t xml:space="preserve"> * 23,59 %) = 126,02 </t>
    </r>
    <r>
      <rPr>
        <i/>
        <sz val="12"/>
        <color theme="1"/>
        <rFont val="Times New Roman"/>
        <family val="1"/>
        <charset val="186"/>
      </rPr>
      <t xml:space="preserve">euro. </t>
    </r>
  </si>
  <si>
    <r>
      <t xml:space="preserve">Galv. nekust. īpaš. pārvaldnieks (95,68 </t>
    </r>
    <r>
      <rPr>
        <i/>
        <sz val="12"/>
        <color theme="1"/>
        <rFont val="Times New Roman"/>
        <family val="1"/>
        <charset val="186"/>
      </rPr>
      <t>euro</t>
    </r>
    <r>
      <rPr>
        <sz val="12"/>
        <color theme="1"/>
        <rFont val="Times New Roman"/>
        <family val="1"/>
        <charset val="186"/>
      </rPr>
      <t xml:space="preserve"> * 5%) = 4,78 </t>
    </r>
    <r>
      <rPr>
        <i/>
        <sz val="12"/>
        <color theme="1"/>
        <rFont val="Times New Roman"/>
        <family val="1"/>
        <charset val="186"/>
      </rPr>
      <t>euro</t>
    </r>
    <r>
      <rPr>
        <sz val="12"/>
        <color theme="1"/>
        <rFont val="Times New Roman"/>
        <family val="1"/>
        <charset val="186"/>
      </rPr>
      <t xml:space="preserve">, Saimniecības pārzinis (120,72 </t>
    </r>
    <r>
      <rPr>
        <i/>
        <sz val="12"/>
        <color theme="1"/>
        <rFont val="Times New Roman"/>
        <family val="1"/>
        <charset val="186"/>
      </rPr>
      <t>euro</t>
    </r>
    <r>
      <rPr>
        <sz val="12"/>
        <color theme="1"/>
        <rFont val="Times New Roman"/>
        <family val="1"/>
        <charset val="186"/>
      </rPr>
      <t xml:space="preserve"> * 5%) = 6,04 </t>
    </r>
    <r>
      <rPr>
        <i/>
        <sz val="12"/>
        <color theme="1"/>
        <rFont val="Times New Roman"/>
        <family val="1"/>
        <charset val="186"/>
      </rPr>
      <t>euro</t>
    </r>
    <r>
      <rPr>
        <sz val="12"/>
        <color theme="1"/>
        <rFont val="Times New Roman"/>
        <family val="1"/>
        <charset val="186"/>
      </rPr>
      <t xml:space="preserve">, Istabene (113,06 </t>
    </r>
    <r>
      <rPr>
        <i/>
        <sz val="12"/>
        <color theme="1"/>
        <rFont val="Times New Roman"/>
        <family val="1"/>
        <charset val="186"/>
      </rPr>
      <t>euro</t>
    </r>
    <r>
      <rPr>
        <sz val="12"/>
        <color theme="1"/>
        <rFont val="Times New Roman"/>
        <family val="1"/>
        <charset val="186"/>
      </rPr>
      <t xml:space="preserve"> * 5%) = 5,65 </t>
    </r>
    <r>
      <rPr>
        <i/>
        <sz val="12"/>
        <color theme="1"/>
        <rFont val="Times New Roman"/>
        <family val="1"/>
        <charset val="186"/>
      </rPr>
      <t>euro</t>
    </r>
    <r>
      <rPr>
        <sz val="12"/>
        <color theme="1"/>
        <rFont val="Times New Roman"/>
        <family val="1"/>
        <charset val="186"/>
      </rPr>
      <t xml:space="preserve">, Apkopēja (101,72 </t>
    </r>
    <r>
      <rPr>
        <i/>
        <sz val="12"/>
        <color theme="1"/>
        <rFont val="Times New Roman"/>
        <family val="1"/>
        <charset val="186"/>
      </rPr>
      <t>euro</t>
    </r>
    <r>
      <rPr>
        <sz val="12"/>
        <color theme="1"/>
        <rFont val="Times New Roman"/>
        <family val="1"/>
        <charset val="186"/>
      </rPr>
      <t xml:space="preserve"> * 5%) = 5,09 </t>
    </r>
    <r>
      <rPr>
        <i/>
        <sz val="12"/>
        <color theme="1"/>
        <rFont val="Times New Roman"/>
        <family val="1"/>
        <charset val="186"/>
      </rPr>
      <t>euro</t>
    </r>
    <r>
      <rPr>
        <sz val="12"/>
        <color theme="1"/>
        <rFont val="Times New Roman"/>
        <family val="1"/>
        <charset val="186"/>
      </rPr>
      <t xml:space="preserve">, Sētnieks (54,45 </t>
    </r>
    <r>
      <rPr>
        <i/>
        <sz val="12"/>
        <color theme="1"/>
        <rFont val="Times New Roman"/>
        <family val="1"/>
        <charset val="186"/>
      </rPr>
      <t>euro</t>
    </r>
    <r>
      <rPr>
        <sz val="12"/>
        <color theme="1"/>
        <rFont val="Times New Roman"/>
        <family val="1"/>
        <charset val="186"/>
      </rPr>
      <t xml:space="preserve"> * 5%) = 2,72 </t>
    </r>
    <r>
      <rPr>
        <i/>
        <sz val="12"/>
        <color theme="1"/>
        <rFont val="Times New Roman"/>
        <family val="1"/>
        <charset val="186"/>
      </rPr>
      <t>euro</t>
    </r>
    <r>
      <rPr>
        <sz val="12"/>
        <color theme="1"/>
        <rFont val="Times New Roman"/>
        <family val="1"/>
        <charset val="186"/>
      </rPr>
      <t xml:space="preserve">. Kopā (4,78 </t>
    </r>
    <r>
      <rPr>
        <i/>
        <sz val="12"/>
        <color theme="1"/>
        <rFont val="Times New Roman"/>
        <family val="1"/>
        <charset val="186"/>
      </rPr>
      <t>euro</t>
    </r>
    <r>
      <rPr>
        <sz val="12"/>
        <color theme="1"/>
        <rFont val="Times New Roman"/>
        <family val="1"/>
        <charset val="186"/>
      </rPr>
      <t xml:space="preserve"> + 6,04 </t>
    </r>
    <r>
      <rPr>
        <i/>
        <sz val="12"/>
        <color theme="1"/>
        <rFont val="Times New Roman"/>
        <family val="1"/>
        <charset val="186"/>
      </rPr>
      <t>euro</t>
    </r>
    <r>
      <rPr>
        <sz val="12"/>
        <color theme="1"/>
        <rFont val="Times New Roman"/>
        <family val="1"/>
        <charset val="186"/>
      </rPr>
      <t xml:space="preserve"> + 5,65 </t>
    </r>
    <r>
      <rPr>
        <i/>
        <sz val="12"/>
        <color theme="1"/>
        <rFont val="Times New Roman"/>
        <family val="1"/>
        <charset val="186"/>
      </rPr>
      <t>euro</t>
    </r>
    <r>
      <rPr>
        <sz val="12"/>
        <color theme="1"/>
        <rFont val="Times New Roman"/>
        <family val="1"/>
        <charset val="186"/>
      </rPr>
      <t xml:space="preserve"> + 5,09 </t>
    </r>
    <r>
      <rPr>
        <i/>
        <sz val="12"/>
        <color theme="1"/>
        <rFont val="Times New Roman"/>
        <family val="1"/>
        <charset val="186"/>
      </rPr>
      <t>euro</t>
    </r>
    <r>
      <rPr>
        <sz val="12"/>
        <color theme="1"/>
        <rFont val="Times New Roman"/>
        <family val="1"/>
        <charset val="186"/>
      </rPr>
      <t xml:space="preserve"> + 2,72 </t>
    </r>
    <r>
      <rPr>
        <i/>
        <sz val="12"/>
        <color theme="1"/>
        <rFont val="Times New Roman"/>
        <family val="1"/>
        <charset val="186"/>
      </rPr>
      <t>euro</t>
    </r>
    <r>
      <rPr>
        <sz val="12"/>
        <color theme="1"/>
        <rFont val="Times New Roman"/>
        <family val="1"/>
        <charset val="186"/>
      </rPr>
      <t xml:space="preserve">) = 24,28 </t>
    </r>
    <r>
      <rPr>
        <i/>
        <sz val="12"/>
        <color theme="1"/>
        <rFont val="Times New Roman"/>
        <family val="1"/>
        <charset val="186"/>
      </rPr>
      <t>euro</t>
    </r>
    <r>
      <rPr>
        <sz val="12"/>
        <color theme="1"/>
        <rFont val="Times New Roman"/>
        <family val="1"/>
        <charset val="186"/>
      </rPr>
      <t>.</t>
    </r>
  </si>
  <si>
    <r>
      <t xml:space="preserve">Izdevumi par apkuri 82 944.32 </t>
    </r>
    <r>
      <rPr>
        <i/>
        <sz val="12"/>
        <color theme="1"/>
        <rFont val="Times New Roman"/>
        <family val="1"/>
        <charset val="186"/>
      </rPr>
      <t>euro</t>
    </r>
    <r>
      <rPr>
        <sz val="12"/>
        <color theme="1"/>
        <rFont val="Times New Roman"/>
        <family val="1"/>
        <charset val="186"/>
      </rPr>
      <t xml:space="preserve"> gadā * 0.0164 (iznomātās platības koeficients) = 1 360,29 </t>
    </r>
    <r>
      <rPr>
        <i/>
        <sz val="12"/>
        <color theme="1"/>
        <rFont val="Times New Roman"/>
        <family val="1"/>
        <charset val="186"/>
      </rPr>
      <t>euro</t>
    </r>
    <r>
      <rPr>
        <sz val="12"/>
        <color theme="1"/>
        <rFont val="Times New Roman"/>
        <family val="1"/>
        <charset val="186"/>
      </rPr>
      <t>.</t>
    </r>
  </si>
  <si>
    <r>
      <t xml:space="preserve">Izdevumi par ūdeni un kanalizāciju 4 203,76 </t>
    </r>
    <r>
      <rPr>
        <i/>
        <sz val="12"/>
        <color theme="1"/>
        <rFont val="Times New Roman"/>
        <family val="1"/>
        <charset val="186"/>
      </rPr>
      <t>euro</t>
    </r>
    <r>
      <rPr>
        <sz val="12"/>
        <color theme="1"/>
        <rFont val="Times New Roman"/>
        <family val="1"/>
        <charset val="186"/>
      </rPr>
      <t xml:space="preserve"> gadā * 0.0164 (iznomātās platības koeficients) = 68,94 </t>
    </r>
    <r>
      <rPr>
        <i/>
        <sz val="12"/>
        <color theme="1"/>
        <rFont val="Times New Roman"/>
        <family val="1"/>
        <charset val="186"/>
      </rPr>
      <t>euro</t>
    </r>
    <r>
      <rPr>
        <sz val="12"/>
        <color theme="1"/>
        <rFont val="Times New Roman"/>
        <family val="1"/>
        <charset val="186"/>
      </rPr>
      <t>.</t>
    </r>
  </si>
  <si>
    <r>
      <t xml:space="preserve">Izdevumi par elektroenerģiju 7 807,39 </t>
    </r>
    <r>
      <rPr>
        <i/>
        <sz val="12"/>
        <color theme="1"/>
        <rFont val="Times New Roman"/>
        <family val="1"/>
        <charset val="186"/>
      </rPr>
      <t>euro</t>
    </r>
    <r>
      <rPr>
        <sz val="12"/>
        <color theme="1"/>
        <rFont val="Times New Roman"/>
        <family val="1"/>
        <charset val="186"/>
      </rPr>
      <t xml:space="preserve"> gadā * 0.0164 (iznomātās platības koeficients) = 128,04 </t>
    </r>
    <r>
      <rPr>
        <i/>
        <sz val="12"/>
        <color theme="1"/>
        <rFont val="Times New Roman"/>
        <family val="1"/>
        <charset val="186"/>
      </rPr>
      <t>euro</t>
    </r>
    <r>
      <rPr>
        <sz val="12"/>
        <color theme="1"/>
        <rFont val="Times New Roman"/>
        <family val="1"/>
        <charset val="186"/>
      </rPr>
      <t>.</t>
    </r>
  </si>
  <si>
    <r>
      <t xml:space="preserve">Izdevumi par atkritumu izvešanu 275,91 </t>
    </r>
    <r>
      <rPr>
        <i/>
        <sz val="12"/>
        <color theme="1"/>
        <rFont val="Times New Roman"/>
        <family val="1"/>
        <charset val="186"/>
      </rPr>
      <t>euro</t>
    </r>
    <r>
      <rPr>
        <sz val="12"/>
        <color theme="1"/>
        <rFont val="Times New Roman"/>
        <family val="1"/>
        <charset val="186"/>
      </rPr>
      <t xml:space="preserve"> gadā * 0.0164 (iznomātās platības koeficients) =  4,52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</si>
  <si>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166.92 (vid. d. stundu sk. mēnesī). Vid. mēn. noslogojums 59.73 stundas, (8,14 </t>
    </r>
    <r>
      <rPr>
        <i/>
        <sz val="12"/>
        <color theme="1"/>
        <rFont val="Times New Roman"/>
        <family val="1"/>
        <charset val="186"/>
      </rPr>
      <t>euro</t>
    </r>
    <r>
      <rPr>
        <sz val="12"/>
        <color theme="1"/>
        <rFont val="Times New Roman"/>
        <family val="1"/>
        <charset val="186"/>
      </rPr>
      <t xml:space="preserve"> * 59.73 h) = 486,20 </t>
    </r>
    <r>
      <rPr>
        <i/>
        <sz val="12"/>
        <color theme="1"/>
        <rFont val="Times New Roman"/>
        <family val="1"/>
        <charset val="186"/>
      </rPr>
      <t>euro</t>
    </r>
    <r>
      <rPr>
        <sz val="12"/>
        <color theme="1"/>
        <rFont val="Times New Roman"/>
        <family val="1"/>
        <charset val="186"/>
      </rPr>
      <t xml:space="preserve">/mēn. * 12 mēn. = 5 834,40 </t>
    </r>
    <r>
      <rPr>
        <i/>
        <sz val="12"/>
        <color theme="1"/>
        <rFont val="Times New Roman"/>
        <family val="1"/>
        <charset val="186"/>
      </rPr>
      <t>euro</t>
    </r>
    <r>
      <rPr>
        <sz val="12"/>
        <color theme="1"/>
        <rFont val="Times New Roman"/>
        <family val="1"/>
        <charset val="186"/>
      </rPr>
      <t xml:space="preserve"> * 0.072 (iznomātās platības koeficients) = 420,08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</si>
  <si>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0.072 (iznomātās platības koeficients) = 446,56 </t>
    </r>
    <r>
      <rPr>
        <i/>
        <sz val="12"/>
        <color theme="1"/>
        <rFont val="Times New Roman"/>
        <family val="1"/>
        <charset val="186"/>
      </rPr>
      <t>euro</t>
    </r>
    <r>
      <rPr>
        <sz val="12"/>
        <color theme="1"/>
        <rFont val="Times New Roman"/>
        <family val="1"/>
        <charset val="186"/>
      </rPr>
      <t xml:space="preserve">. </t>
    </r>
  </si>
  <si>
    <r>
      <t xml:space="preserve">Galv. nekust. īpaš. pārvaldnieks (420,08 </t>
    </r>
    <r>
      <rPr>
        <i/>
        <sz val="12"/>
        <color theme="1"/>
        <rFont val="Times New Roman"/>
        <family val="1"/>
        <charset val="186"/>
      </rPr>
      <t>euro</t>
    </r>
    <r>
      <rPr>
        <sz val="12"/>
        <color theme="1"/>
        <rFont val="Times New Roman"/>
        <family val="1"/>
        <charset val="186"/>
      </rPr>
      <t xml:space="preserve"> * 10%) = 42,01 </t>
    </r>
    <r>
      <rPr>
        <i/>
        <sz val="12"/>
        <color theme="1"/>
        <rFont val="Times New Roman"/>
        <family val="1"/>
        <charset val="186"/>
      </rPr>
      <t>euro</t>
    </r>
    <r>
      <rPr>
        <sz val="12"/>
        <color theme="1"/>
        <rFont val="Times New Roman"/>
        <family val="1"/>
        <charset val="186"/>
      </rPr>
      <t xml:space="preserve">, Saimniecības pārzinis (529,99 </t>
    </r>
    <r>
      <rPr>
        <i/>
        <sz val="12"/>
        <color theme="1"/>
        <rFont val="Times New Roman"/>
        <family val="1"/>
        <charset val="186"/>
      </rPr>
      <t>euro</t>
    </r>
    <r>
      <rPr>
        <sz val="12"/>
        <color theme="1"/>
        <rFont val="Times New Roman"/>
        <family val="1"/>
        <charset val="186"/>
      </rPr>
      <t xml:space="preserve"> * 10%) = 53,00 </t>
    </r>
    <r>
      <rPr>
        <i/>
        <sz val="12"/>
        <color theme="1"/>
        <rFont val="Times New Roman"/>
        <family val="1"/>
        <charset val="186"/>
      </rPr>
      <t>euro</t>
    </r>
    <r>
      <rPr>
        <sz val="12"/>
        <color theme="1"/>
        <rFont val="Times New Roman"/>
        <family val="1"/>
        <charset val="186"/>
      </rPr>
      <t xml:space="preserve">, Istabene (496,35 </t>
    </r>
    <r>
      <rPr>
        <i/>
        <sz val="12"/>
        <color theme="1"/>
        <rFont val="Times New Roman"/>
        <family val="1"/>
        <charset val="186"/>
      </rPr>
      <t>euro</t>
    </r>
    <r>
      <rPr>
        <sz val="12"/>
        <color theme="1"/>
        <rFont val="Times New Roman"/>
        <family val="1"/>
        <charset val="186"/>
      </rPr>
      <t xml:space="preserve"> * 10%) = 49,64 </t>
    </r>
    <r>
      <rPr>
        <i/>
        <sz val="12"/>
        <color theme="1"/>
        <rFont val="Times New Roman"/>
        <family val="1"/>
        <charset val="186"/>
      </rPr>
      <t>euro</t>
    </r>
    <r>
      <rPr>
        <sz val="12"/>
        <color theme="1"/>
        <rFont val="Times New Roman"/>
        <family val="1"/>
        <charset val="186"/>
      </rPr>
      <t xml:space="preserve">, Apkopēja (446,56 </t>
    </r>
    <r>
      <rPr>
        <i/>
        <sz val="12"/>
        <color theme="1"/>
        <rFont val="Times New Roman"/>
        <family val="1"/>
        <charset val="186"/>
      </rPr>
      <t>euro</t>
    </r>
    <r>
      <rPr>
        <sz val="12"/>
        <color theme="1"/>
        <rFont val="Times New Roman"/>
        <family val="1"/>
        <charset val="186"/>
      </rPr>
      <t xml:space="preserve"> * 10%) = 44,66 </t>
    </r>
    <r>
      <rPr>
        <i/>
        <sz val="12"/>
        <color theme="1"/>
        <rFont val="Times New Roman"/>
        <family val="1"/>
        <charset val="186"/>
      </rPr>
      <t>euro</t>
    </r>
    <r>
      <rPr>
        <sz val="12"/>
        <color theme="1"/>
        <rFont val="Times New Roman"/>
        <family val="1"/>
        <charset val="186"/>
      </rPr>
      <t xml:space="preserve">, Sētnieks (239,07 </t>
    </r>
    <r>
      <rPr>
        <i/>
        <sz val="12"/>
        <color theme="1"/>
        <rFont val="Times New Roman"/>
        <family val="1"/>
        <charset val="186"/>
      </rPr>
      <t>euro</t>
    </r>
    <r>
      <rPr>
        <sz val="12"/>
        <color theme="1"/>
        <rFont val="Times New Roman"/>
        <family val="1"/>
        <charset val="186"/>
      </rPr>
      <t xml:space="preserve"> * 10%) = 23,91 </t>
    </r>
    <r>
      <rPr>
        <i/>
        <sz val="12"/>
        <color theme="1"/>
        <rFont val="Times New Roman"/>
        <family val="1"/>
        <charset val="186"/>
      </rPr>
      <t>euro</t>
    </r>
    <r>
      <rPr>
        <sz val="12"/>
        <color theme="1"/>
        <rFont val="Times New Roman"/>
        <family val="1"/>
        <charset val="186"/>
      </rPr>
      <t xml:space="preserve">. Kopā (42,01 </t>
    </r>
    <r>
      <rPr>
        <i/>
        <sz val="12"/>
        <color theme="1"/>
        <rFont val="Times New Roman"/>
        <family val="1"/>
        <charset val="186"/>
      </rPr>
      <t>euro</t>
    </r>
    <r>
      <rPr>
        <sz val="12"/>
        <color theme="1"/>
        <rFont val="Times New Roman"/>
        <family val="1"/>
        <charset val="186"/>
      </rPr>
      <t xml:space="preserve"> + 53,00 </t>
    </r>
    <r>
      <rPr>
        <i/>
        <sz val="12"/>
        <color theme="1"/>
        <rFont val="Times New Roman"/>
        <family val="1"/>
        <charset val="186"/>
      </rPr>
      <t>euro</t>
    </r>
    <r>
      <rPr>
        <sz val="12"/>
        <color theme="1"/>
        <rFont val="Times New Roman"/>
        <family val="1"/>
        <charset val="186"/>
      </rPr>
      <t xml:space="preserve"> + 49,64 </t>
    </r>
    <r>
      <rPr>
        <i/>
        <sz val="12"/>
        <color theme="1"/>
        <rFont val="Times New Roman"/>
        <family val="1"/>
        <charset val="186"/>
      </rPr>
      <t>euro</t>
    </r>
    <r>
      <rPr>
        <sz val="12"/>
        <color theme="1"/>
        <rFont val="Times New Roman"/>
        <family val="1"/>
        <charset val="186"/>
      </rPr>
      <t xml:space="preserve"> + 44,66 </t>
    </r>
    <r>
      <rPr>
        <i/>
        <sz val="12"/>
        <color theme="1"/>
        <rFont val="Times New Roman"/>
        <family val="1"/>
        <charset val="186"/>
      </rPr>
      <t>euro</t>
    </r>
    <r>
      <rPr>
        <sz val="12"/>
        <color theme="1"/>
        <rFont val="Times New Roman"/>
        <family val="1"/>
        <charset val="186"/>
      </rPr>
      <t xml:space="preserve"> + 23,91 </t>
    </r>
    <r>
      <rPr>
        <i/>
        <sz val="12"/>
        <color theme="1"/>
        <rFont val="Times New Roman"/>
        <family val="1"/>
        <charset val="186"/>
      </rPr>
      <t>euro</t>
    </r>
    <r>
      <rPr>
        <sz val="12"/>
        <color theme="1"/>
        <rFont val="Times New Roman"/>
        <family val="1"/>
        <charset val="186"/>
      </rPr>
      <t xml:space="preserve">) = 213,22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</si>
  <si>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(2 345,27 </t>
    </r>
    <r>
      <rPr>
        <i/>
        <sz val="12"/>
        <color theme="1"/>
        <rFont val="Times New Roman"/>
        <family val="1"/>
        <charset val="186"/>
      </rPr>
      <t>euro</t>
    </r>
    <r>
      <rPr>
        <sz val="12"/>
        <color theme="1"/>
        <rFont val="Times New Roman"/>
        <family val="1"/>
        <charset val="186"/>
      </rPr>
      <t xml:space="preserve"> * 23,59 %) = 553,25 </t>
    </r>
    <r>
      <rPr>
        <i/>
        <sz val="12"/>
        <color theme="1"/>
        <rFont val="Times New Roman"/>
        <family val="1"/>
        <charset val="186"/>
      </rPr>
      <t xml:space="preserve">euro. </t>
    </r>
  </si>
  <si>
    <r>
      <t xml:space="preserve">Darba devēja valsts sociālās apdrošināšanas obligātās iemaksas 553,25 </t>
    </r>
    <r>
      <rPr>
        <i/>
        <sz val="12"/>
        <color theme="1"/>
        <rFont val="Times New Roman"/>
        <family val="1"/>
        <charset val="186"/>
      </rPr>
      <t>euro</t>
    </r>
    <r>
      <rPr>
        <sz val="12"/>
        <color theme="1"/>
        <rFont val="Times New Roman"/>
        <family val="1"/>
        <charset val="186"/>
      </rPr>
      <t xml:space="preserve">. Veselības apdrošināšana 106,60 </t>
    </r>
    <r>
      <rPr>
        <i/>
        <sz val="12"/>
        <color theme="1"/>
        <rFont val="Times New Roman"/>
        <family val="1"/>
        <charset val="186"/>
      </rPr>
      <t>euro</t>
    </r>
    <r>
      <rPr>
        <sz val="12"/>
        <color theme="1"/>
        <rFont val="Times New Roman"/>
        <family val="1"/>
        <charset val="186"/>
      </rPr>
      <t xml:space="preserve">. Kopā 659,85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</si>
  <si>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401,44 </t>
    </r>
    <r>
      <rPr>
        <i/>
        <sz val="12"/>
        <color theme="1"/>
        <rFont val="Times New Roman"/>
        <family val="1"/>
        <charset val="186"/>
      </rPr>
      <t>euro</t>
    </r>
    <r>
      <rPr>
        <sz val="12"/>
        <color theme="1"/>
        <rFont val="Times New Roman"/>
        <family val="1"/>
        <charset val="186"/>
      </rPr>
      <t xml:space="preserve"> * 23,59 % = 94,70 </t>
    </r>
    <r>
      <rPr>
        <i/>
        <sz val="12"/>
        <color theme="1"/>
        <rFont val="Times New Roman"/>
        <family val="1"/>
        <charset val="186"/>
      </rPr>
      <t>euro</t>
    </r>
    <r>
      <rPr>
        <sz val="12"/>
        <color theme="1"/>
        <rFont val="Times New Roman"/>
        <family val="1"/>
        <charset val="186"/>
      </rPr>
      <t>.</t>
    </r>
  </si>
  <si>
    <r>
      <t xml:space="preserve">Galv. nekust. īpaš. pārvaldnieks (297,55 </t>
    </r>
    <r>
      <rPr>
        <i/>
        <sz val="12"/>
        <color theme="1"/>
        <rFont val="Times New Roman"/>
        <family val="1"/>
        <charset val="186"/>
      </rPr>
      <t>euro</t>
    </r>
    <r>
      <rPr>
        <sz val="12"/>
        <color theme="1"/>
        <rFont val="Times New Roman"/>
        <family val="1"/>
        <charset val="186"/>
      </rPr>
      <t xml:space="preserve"> * 10%) = 29,76 </t>
    </r>
    <r>
      <rPr>
        <i/>
        <sz val="12"/>
        <color theme="1"/>
        <rFont val="Times New Roman"/>
        <family val="1"/>
        <charset val="186"/>
      </rPr>
      <t>euro</t>
    </r>
    <r>
      <rPr>
        <sz val="12"/>
        <color theme="1"/>
        <rFont val="Times New Roman"/>
        <family val="1"/>
        <charset val="186"/>
      </rPr>
      <t xml:space="preserve">, Saimniecības pārzinis (375,41 </t>
    </r>
    <r>
      <rPr>
        <i/>
        <sz val="12"/>
        <color theme="1"/>
        <rFont val="Times New Roman"/>
        <family val="1"/>
        <charset val="186"/>
      </rPr>
      <t>euro</t>
    </r>
    <r>
      <rPr>
        <sz val="12"/>
        <color theme="1"/>
        <rFont val="Times New Roman"/>
        <family val="1"/>
        <charset val="186"/>
      </rPr>
      <t xml:space="preserve"> * 10%) = 37,54 </t>
    </r>
    <r>
      <rPr>
        <i/>
        <sz val="12"/>
        <color theme="1"/>
        <rFont val="Times New Roman"/>
        <family val="1"/>
        <charset val="186"/>
      </rPr>
      <t>euro</t>
    </r>
    <r>
      <rPr>
        <sz val="12"/>
        <color theme="1"/>
        <rFont val="Times New Roman"/>
        <family val="1"/>
        <charset val="186"/>
      </rPr>
      <t xml:space="preserve">, Istabene (351,58 </t>
    </r>
    <r>
      <rPr>
        <i/>
        <sz val="12"/>
        <color theme="1"/>
        <rFont val="Times New Roman"/>
        <family val="1"/>
        <charset val="186"/>
      </rPr>
      <t>euro</t>
    </r>
    <r>
      <rPr>
        <sz val="12"/>
        <color theme="1"/>
        <rFont val="Times New Roman"/>
        <family val="1"/>
        <charset val="186"/>
      </rPr>
      <t xml:space="preserve"> * 10%) = 35,16 </t>
    </r>
    <r>
      <rPr>
        <i/>
        <sz val="12"/>
        <color theme="1"/>
        <rFont val="Times New Roman"/>
        <family val="1"/>
        <charset val="186"/>
      </rPr>
      <t>euro</t>
    </r>
    <r>
      <rPr>
        <sz val="12"/>
        <color theme="1"/>
        <rFont val="Times New Roman"/>
        <family val="1"/>
        <charset val="186"/>
      </rPr>
      <t xml:space="preserve">, Apkopēja (316,31 </t>
    </r>
    <r>
      <rPr>
        <i/>
        <sz val="12"/>
        <color theme="1"/>
        <rFont val="Times New Roman"/>
        <family val="1"/>
        <charset val="186"/>
      </rPr>
      <t>euro</t>
    </r>
    <r>
      <rPr>
        <sz val="12"/>
        <color theme="1"/>
        <rFont val="Times New Roman"/>
        <family val="1"/>
        <charset val="186"/>
      </rPr>
      <t xml:space="preserve"> * 10%) = 31,63 </t>
    </r>
    <r>
      <rPr>
        <i/>
        <sz val="12"/>
        <color theme="1"/>
        <rFont val="Times New Roman"/>
        <family val="1"/>
        <charset val="186"/>
      </rPr>
      <t>euro</t>
    </r>
    <r>
      <rPr>
        <sz val="12"/>
        <color theme="1"/>
        <rFont val="Times New Roman"/>
        <family val="1"/>
        <charset val="186"/>
      </rPr>
      <t xml:space="preserve">, Sētnieks (169,34 </t>
    </r>
    <r>
      <rPr>
        <i/>
        <sz val="12"/>
        <color theme="1"/>
        <rFont val="Times New Roman"/>
        <family val="1"/>
        <charset val="186"/>
      </rPr>
      <t>euro</t>
    </r>
    <r>
      <rPr>
        <sz val="12"/>
        <color theme="1"/>
        <rFont val="Times New Roman"/>
        <family val="1"/>
        <charset val="186"/>
      </rPr>
      <t xml:space="preserve"> * 10%) = 16,93 </t>
    </r>
    <r>
      <rPr>
        <i/>
        <sz val="12"/>
        <color theme="1"/>
        <rFont val="Times New Roman"/>
        <family val="1"/>
        <charset val="186"/>
      </rPr>
      <t>euro</t>
    </r>
    <r>
      <rPr>
        <sz val="12"/>
        <color theme="1"/>
        <rFont val="Times New Roman"/>
        <family val="1"/>
        <charset val="186"/>
      </rPr>
      <t xml:space="preserve">. Kopā (29,76 </t>
    </r>
    <r>
      <rPr>
        <i/>
        <sz val="12"/>
        <color theme="1"/>
        <rFont val="Times New Roman"/>
        <family val="1"/>
        <charset val="186"/>
      </rPr>
      <t>euro</t>
    </r>
    <r>
      <rPr>
        <sz val="12"/>
        <color theme="1"/>
        <rFont val="Times New Roman"/>
        <family val="1"/>
        <charset val="186"/>
      </rPr>
      <t xml:space="preserve"> + 37,54 </t>
    </r>
    <r>
      <rPr>
        <i/>
        <sz val="12"/>
        <color theme="1"/>
        <rFont val="Times New Roman"/>
        <family val="1"/>
        <charset val="186"/>
      </rPr>
      <t>euro</t>
    </r>
    <r>
      <rPr>
        <sz val="12"/>
        <color theme="1"/>
        <rFont val="Times New Roman"/>
        <family val="1"/>
        <charset val="186"/>
      </rPr>
      <t xml:space="preserve"> + 35,16 </t>
    </r>
    <r>
      <rPr>
        <i/>
        <sz val="12"/>
        <color theme="1"/>
        <rFont val="Times New Roman"/>
        <family val="1"/>
        <charset val="186"/>
      </rPr>
      <t>euro</t>
    </r>
    <r>
      <rPr>
        <sz val="12"/>
        <color theme="1"/>
        <rFont val="Times New Roman"/>
        <family val="1"/>
        <charset val="186"/>
      </rPr>
      <t xml:space="preserve"> + 31,63 </t>
    </r>
    <r>
      <rPr>
        <i/>
        <sz val="12"/>
        <color theme="1"/>
        <rFont val="Times New Roman"/>
        <family val="1"/>
        <charset val="186"/>
      </rPr>
      <t>euro</t>
    </r>
    <r>
      <rPr>
        <sz val="12"/>
        <color theme="1"/>
        <rFont val="Times New Roman"/>
        <family val="1"/>
        <charset val="186"/>
      </rPr>
      <t xml:space="preserve"> + 16,93 </t>
    </r>
    <r>
      <rPr>
        <i/>
        <sz val="12"/>
        <color theme="1"/>
        <rFont val="Times New Roman"/>
        <family val="1"/>
        <charset val="186"/>
      </rPr>
      <t>euro</t>
    </r>
    <r>
      <rPr>
        <sz val="12"/>
        <color theme="1"/>
        <rFont val="Times New Roman"/>
        <family val="1"/>
        <charset val="186"/>
      </rPr>
      <t xml:space="preserve">) = 151,02 </t>
    </r>
    <r>
      <rPr>
        <i/>
        <sz val="12"/>
        <color theme="1"/>
        <rFont val="Times New Roman"/>
        <family val="1"/>
        <charset val="186"/>
      </rPr>
      <t>euro</t>
    </r>
    <r>
      <rPr>
        <sz val="12"/>
        <color theme="1"/>
        <rFont val="Times New Roman"/>
        <family val="1"/>
        <charset val="186"/>
      </rPr>
      <t>.</t>
    </r>
  </si>
  <si>
    <r>
      <t xml:space="preserve">Veselības apdrošināšana, Galv. nekust. īpaš. pārvaldnieks (297,55 </t>
    </r>
    <r>
      <rPr>
        <i/>
        <sz val="12"/>
        <color theme="1"/>
        <rFont val="Times New Roman"/>
        <family val="1"/>
        <charset val="186"/>
      </rPr>
      <t>euro</t>
    </r>
    <r>
      <rPr>
        <sz val="12"/>
        <color theme="1"/>
        <rFont val="Times New Roman"/>
        <family val="1"/>
        <charset val="186"/>
      </rPr>
      <t xml:space="preserve"> * 5%) = 14,88 </t>
    </r>
    <r>
      <rPr>
        <i/>
        <sz val="12"/>
        <color theme="1"/>
        <rFont val="Times New Roman"/>
        <family val="1"/>
        <charset val="186"/>
      </rPr>
      <t>euro</t>
    </r>
    <r>
      <rPr>
        <sz val="12"/>
        <color theme="1"/>
        <rFont val="Times New Roman"/>
        <family val="1"/>
        <charset val="186"/>
      </rPr>
      <t xml:space="preserve">, Saimniecības pārzinis (375,41 </t>
    </r>
    <r>
      <rPr>
        <i/>
        <sz val="12"/>
        <color theme="1"/>
        <rFont val="Times New Roman"/>
        <family val="1"/>
        <charset val="186"/>
      </rPr>
      <t>euro</t>
    </r>
    <r>
      <rPr>
        <sz val="12"/>
        <color theme="1"/>
        <rFont val="Times New Roman"/>
        <family val="1"/>
        <charset val="186"/>
      </rPr>
      <t xml:space="preserve"> * 5%) = 18,77 </t>
    </r>
    <r>
      <rPr>
        <i/>
        <sz val="12"/>
        <color theme="1"/>
        <rFont val="Times New Roman"/>
        <family val="1"/>
        <charset val="186"/>
      </rPr>
      <t>euro</t>
    </r>
    <r>
      <rPr>
        <sz val="12"/>
        <color theme="1"/>
        <rFont val="Times New Roman"/>
        <family val="1"/>
        <charset val="186"/>
      </rPr>
      <t xml:space="preserve">, Istabene (351,58 </t>
    </r>
    <r>
      <rPr>
        <i/>
        <sz val="12"/>
        <color theme="1"/>
        <rFont val="Times New Roman"/>
        <family val="1"/>
        <charset val="186"/>
      </rPr>
      <t>euro</t>
    </r>
    <r>
      <rPr>
        <sz val="12"/>
        <color theme="1"/>
        <rFont val="Times New Roman"/>
        <family val="1"/>
        <charset val="186"/>
      </rPr>
      <t xml:space="preserve"> * 5%) = 17,58 </t>
    </r>
    <r>
      <rPr>
        <i/>
        <sz val="12"/>
        <color theme="1"/>
        <rFont val="Times New Roman"/>
        <family val="1"/>
        <charset val="186"/>
      </rPr>
      <t>euro</t>
    </r>
    <r>
      <rPr>
        <sz val="12"/>
        <color theme="1"/>
        <rFont val="Times New Roman"/>
        <family val="1"/>
        <charset val="186"/>
      </rPr>
      <t xml:space="preserve">, Apkopēja (316,31 </t>
    </r>
    <r>
      <rPr>
        <i/>
        <sz val="12"/>
        <color theme="1"/>
        <rFont val="Times New Roman"/>
        <family val="1"/>
        <charset val="186"/>
      </rPr>
      <t>euro</t>
    </r>
    <r>
      <rPr>
        <sz val="12"/>
        <color theme="1"/>
        <rFont val="Times New Roman"/>
        <family val="1"/>
        <charset val="186"/>
      </rPr>
      <t xml:space="preserve"> * 5%) = 15,82 </t>
    </r>
    <r>
      <rPr>
        <i/>
        <sz val="12"/>
        <color theme="1"/>
        <rFont val="Times New Roman"/>
        <family val="1"/>
        <charset val="186"/>
      </rPr>
      <t>euro</t>
    </r>
    <r>
      <rPr>
        <sz val="12"/>
        <color theme="1"/>
        <rFont val="Times New Roman"/>
        <family val="1"/>
        <charset val="186"/>
      </rPr>
      <t xml:space="preserve">, Sētnieks (169,34 </t>
    </r>
    <r>
      <rPr>
        <i/>
        <sz val="12"/>
        <color theme="1"/>
        <rFont val="Times New Roman"/>
        <family val="1"/>
        <charset val="186"/>
      </rPr>
      <t>euro</t>
    </r>
    <r>
      <rPr>
        <sz val="12"/>
        <color theme="1"/>
        <rFont val="Times New Roman"/>
        <family val="1"/>
        <charset val="186"/>
      </rPr>
      <t xml:space="preserve"> * 5%) = 8,47 </t>
    </r>
    <r>
      <rPr>
        <i/>
        <sz val="12"/>
        <color theme="1"/>
        <rFont val="Times New Roman"/>
        <family val="1"/>
        <charset val="186"/>
      </rPr>
      <t>euro</t>
    </r>
    <r>
      <rPr>
        <sz val="12"/>
        <color theme="1"/>
        <rFont val="Times New Roman"/>
        <family val="1"/>
        <charset val="186"/>
      </rPr>
      <t xml:space="preserve">. Kopā (14,88 </t>
    </r>
    <r>
      <rPr>
        <i/>
        <sz val="12"/>
        <color theme="1"/>
        <rFont val="Times New Roman"/>
        <family val="1"/>
        <charset val="186"/>
      </rPr>
      <t>euro</t>
    </r>
    <r>
      <rPr>
        <sz val="12"/>
        <color theme="1"/>
        <rFont val="Times New Roman"/>
        <family val="1"/>
        <charset val="186"/>
      </rPr>
      <t xml:space="preserve"> + 18,77 </t>
    </r>
    <r>
      <rPr>
        <i/>
        <sz val="12"/>
        <color theme="1"/>
        <rFont val="Times New Roman"/>
        <family val="1"/>
        <charset val="186"/>
      </rPr>
      <t>euro</t>
    </r>
    <r>
      <rPr>
        <sz val="12"/>
        <color theme="1"/>
        <rFont val="Times New Roman"/>
        <family val="1"/>
        <charset val="186"/>
      </rPr>
      <t xml:space="preserve"> + 17,58 </t>
    </r>
    <r>
      <rPr>
        <i/>
        <sz val="12"/>
        <color theme="1"/>
        <rFont val="Times New Roman"/>
        <family val="1"/>
        <charset val="186"/>
      </rPr>
      <t>euro</t>
    </r>
    <r>
      <rPr>
        <sz val="12"/>
        <color theme="1"/>
        <rFont val="Times New Roman"/>
        <family val="1"/>
        <charset val="186"/>
      </rPr>
      <t xml:space="preserve"> + 15,82 </t>
    </r>
    <r>
      <rPr>
        <i/>
        <sz val="12"/>
        <color theme="1"/>
        <rFont val="Times New Roman"/>
        <family val="1"/>
        <charset val="186"/>
      </rPr>
      <t>euro</t>
    </r>
    <r>
      <rPr>
        <sz val="12"/>
        <color theme="1"/>
        <rFont val="Times New Roman"/>
        <family val="1"/>
        <charset val="186"/>
      </rPr>
      <t xml:space="preserve"> + 8,47 </t>
    </r>
    <r>
      <rPr>
        <i/>
        <sz val="12"/>
        <color theme="1"/>
        <rFont val="Times New Roman"/>
        <family val="1"/>
        <charset val="186"/>
      </rPr>
      <t>euro</t>
    </r>
    <r>
      <rPr>
        <sz val="12"/>
        <color theme="1"/>
        <rFont val="Times New Roman"/>
        <family val="1"/>
        <charset val="186"/>
      </rPr>
      <t xml:space="preserve">) = 75,52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</si>
  <si>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391,88 </t>
    </r>
    <r>
      <rPr>
        <i/>
        <sz val="12"/>
        <color theme="1"/>
        <rFont val="Times New Roman"/>
        <family val="1"/>
        <charset val="186"/>
      </rPr>
      <t>euro</t>
    </r>
    <r>
      <rPr>
        <sz val="12"/>
        <color theme="1"/>
        <rFont val="Times New Roman"/>
        <family val="1"/>
        <charset val="186"/>
      </rPr>
      <t xml:space="preserve">. Veselības apdrošināšana 75,52 </t>
    </r>
    <r>
      <rPr>
        <i/>
        <sz val="12"/>
        <color theme="1"/>
        <rFont val="Times New Roman"/>
        <family val="1"/>
        <charset val="186"/>
      </rPr>
      <t>euro</t>
    </r>
    <r>
      <rPr>
        <sz val="12"/>
        <color theme="1"/>
        <rFont val="Times New Roman"/>
        <family val="1"/>
        <charset val="186"/>
      </rPr>
      <t xml:space="preserve">. Kopā 467,40 </t>
    </r>
    <r>
      <rPr>
        <i/>
        <sz val="12"/>
        <color theme="1"/>
        <rFont val="Times New Roman"/>
        <family val="1"/>
        <charset val="186"/>
      </rPr>
      <t>euro</t>
    </r>
    <r>
      <rPr>
        <sz val="12"/>
        <color theme="1"/>
        <rFont val="Times New Roman"/>
        <family val="1"/>
        <charset val="186"/>
      </rPr>
      <t>.</t>
    </r>
  </si>
  <si>
    <r>
      <t xml:space="preserve">Galv. nekust. īpaš. pārvaldnieks (49,59 </t>
    </r>
    <r>
      <rPr>
        <i/>
        <sz val="12"/>
        <color theme="1"/>
        <rFont val="Times New Roman"/>
        <family val="1"/>
        <charset val="186"/>
      </rPr>
      <t>euro</t>
    </r>
    <r>
      <rPr>
        <sz val="12"/>
        <color theme="1"/>
        <rFont val="Times New Roman"/>
        <family val="1"/>
        <charset val="186"/>
      </rPr>
      <t xml:space="preserve"> * 10%) = 4,96 </t>
    </r>
    <r>
      <rPr>
        <i/>
        <sz val="12"/>
        <color theme="1"/>
        <rFont val="Times New Roman"/>
        <family val="1"/>
        <charset val="186"/>
      </rPr>
      <t>euro</t>
    </r>
    <r>
      <rPr>
        <sz val="12"/>
        <color theme="1"/>
        <rFont val="Times New Roman"/>
        <family val="1"/>
        <charset val="186"/>
      </rPr>
      <t xml:space="preserve">, Saimniecības pārzinis (62,57 </t>
    </r>
    <r>
      <rPr>
        <i/>
        <sz val="12"/>
        <color theme="1"/>
        <rFont val="Times New Roman"/>
        <family val="1"/>
        <charset val="186"/>
      </rPr>
      <t>euro</t>
    </r>
    <r>
      <rPr>
        <sz val="12"/>
        <color theme="1"/>
        <rFont val="Times New Roman"/>
        <family val="1"/>
        <charset val="186"/>
      </rPr>
      <t xml:space="preserve"> * 10%) = 6,26 </t>
    </r>
    <r>
      <rPr>
        <i/>
        <sz val="12"/>
        <color theme="1"/>
        <rFont val="Times New Roman"/>
        <family val="1"/>
        <charset val="186"/>
      </rPr>
      <t>euro</t>
    </r>
    <r>
      <rPr>
        <sz val="12"/>
        <color theme="1"/>
        <rFont val="Times New Roman"/>
        <family val="1"/>
        <charset val="186"/>
      </rPr>
      <t xml:space="preserve">, Istabene (58,60 </t>
    </r>
    <r>
      <rPr>
        <i/>
        <sz val="12"/>
        <color theme="1"/>
        <rFont val="Times New Roman"/>
        <family val="1"/>
        <charset val="186"/>
      </rPr>
      <t>euro</t>
    </r>
    <r>
      <rPr>
        <sz val="12"/>
        <color theme="1"/>
        <rFont val="Times New Roman"/>
        <family val="1"/>
        <charset val="186"/>
      </rPr>
      <t xml:space="preserve"> * 10%) = 5,86 </t>
    </r>
    <r>
      <rPr>
        <i/>
        <sz val="12"/>
        <color theme="1"/>
        <rFont val="Times New Roman"/>
        <family val="1"/>
        <charset val="186"/>
      </rPr>
      <t>euro</t>
    </r>
    <r>
      <rPr>
        <sz val="12"/>
        <color theme="1"/>
        <rFont val="Times New Roman"/>
        <family val="1"/>
        <charset val="186"/>
      </rPr>
      <t xml:space="preserve">, Apkopēja (52,72 </t>
    </r>
    <r>
      <rPr>
        <i/>
        <sz val="12"/>
        <color theme="1"/>
        <rFont val="Times New Roman"/>
        <family val="1"/>
        <charset val="186"/>
      </rPr>
      <t>euro</t>
    </r>
    <r>
      <rPr>
        <sz val="12"/>
        <color theme="1"/>
        <rFont val="Times New Roman"/>
        <family val="1"/>
        <charset val="186"/>
      </rPr>
      <t xml:space="preserve"> * 10%) = 5,27 </t>
    </r>
    <r>
      <rPr>
        <i/>
        <sz val="12"/>
        <color theme="1"/>
        <rFont val="Times New Roman"/>
        <family val="1"/>
        <charset val="186"/>
      </rPr>
      <t>euro</t>
    </r>
    <r>
      <rPr>
        <sz val="12"/>
        <color theme="1"/>
        <rFont val="Times New Roman"/>
        <family val="1"/>
        <charset val="186"/>
      </rPr>
      <t xml:space="preserve">, Sētnieks (28,22 </t>
    </r>
    <r>
      <rPr>
        <i/>
        <sz val="12"/>
        <color theme="1"/>
        <rFont val="Times New Roman"/>
        <family val="1"/>
        <charset val="186"/>
      </rPr>
      <t>euro</t>
    </r>
    <r>
      <rPr>
        <sz val="12"/>
        <color theme="1"/>
        <rFont val="Times New Roman"/>
        <family val="1"/>
        <charset val="186"/>
      </rPr>
      <t xml:space="preserve"> * 10%) = 2,82 </t>
    </r>
    <r>
      <rPr>
        <i/>
        <sz val="12"/>
        <color theme="1"/>
        <rFont val="Times New Roman"/>
        <family val="1"/>
        <charset val="186"/>
      </rPr>
      <t>euro</t>
    </r>
    <r>
      <rPr>
        <sz val="12"/>
        <color theme="1"/>
        <rFont val="Times New Roman"/>
        <family val="1"/>
        <charset val="186"/>
      </rPr>
      <t xml:space="preserve">. Kopā (4,96 </t>
    </r>
    <r>
      <rPr>
        <i/>
        <sz val="12"/>
        <color theme="1"/>
        <rFont val="Times New Roman"/>
        <family val="1"/>
        <charset val="186"/>
      </rPr>
      <t>euro</t>
    </r>
    <r>
      <rPr>
        <sz val="12"/>
        <color theme="1"/>
        <rFont val="Times New Roman"/>
        <family val="1"/>
        <charset val="186"/>
      </rPr>
      <t xml:space="preserve"> + 6,26 </t>
    </r>
    <r>
      <rPr>
        <i/>
        <sz val="12"/>
        <color theme="1"/>
        <rFont val="Times New Roman"/>
        <family val="1"/>
        <charset val="186"/>
      </rPr>
      <t>euro</t>
    </r>
    <r>
      <rPr>
        <sz val="12"/>
        <color theme="1"/>
        <rFont val="Times New Roman"/>
        <family val="1"/>
        <charset val="186"/>
      </rPr>
      <t xml:space="preserve"> + 5,86 </t>
    </r>
    <r>
      <rPr>
        <i/>
        <sz val="12"/>
        <color theme="1"/>
        <rFont val="Times New Roman"/>
        <family val="1"/>
        <charset val="186"/>
      </rPr>
      <t>euro</t>
    </r>
    <r>
      <rPr>
        <sz val="12"/>
        <color theme="1"/>
        <rFont val="Times New Roman"/>
        <family val="1"/>
        <charset val="186"/>
      </rPr>
      <t xml:space="preserve"> + 5,27 </t>
    </r>
    <r>
      <rPr>
        <i/>
        <sz val="12"/>
        <color theme="1"/>
        <rFont val="Times New Roman"/>
        <family val="1"/>
        <charset val="186"/>
      </rPr>
      <t>euro</t>
    </r>
    <r>
      <rPr>
        <sz val="12"/>
        <color theme="1"/>
        <rFont val="Times New Roman"/>
        <family val="1"/>
        <charset val="186"/>
      </rPr>
      <t xml:space="preserve"> + 2,82 </t>
    </r>
    <r>
      <rPr>
        <i/>
        <sz val="12"/>
        <color theme="1"/>
        <rFont val="Times New Roman"/>
        <family val="1"/>
        <charset val="186"/>
      </rPr>
      <t>euro</t>
    </r>
    <r>
      <rPr>
        <sz val="12"/>
        <color theme="1"/>
        <rFont val="Times New Roman"/>
        <family val="1"/>
        <charset val="186"/>
      </rPr>
      <t xml:space="preserve">) = 25,17 </t>
    </r>
    <r>
      <rPr>
        <i/>
        <sz val="12"/>
        <color theme="1"/>
        <rFont val="Times New Roman"/>
        <family val="1"/>
        <charset val="186"/>
      </rPr>
      <t>euro</t>
    </r>
    <r>
      <rPr>
        <sz val="12"/>
        <color theme="1"/>
        <rFont val="Times New Roman"/>
        <family val="1"/>
        <charset val="186"/>
      </rPr>
      <t>.</t>
    </r>
  </si>
  <si>
    <r>
      <t xml:space="preserve">Veselības apdrošināšana, Galv. nekust. īpaš. pārvaldnieks  (49,59 </t>
    </r>
    <r>
      <rPr>
        <i/>
        <sz val="12"/>
        <color theme="1"/>
        <rFont val="Times New Roman"/>
        <family val="1"/>
        <charset val="186"/>
      </rPr>
      <t>euro</t>
    </r>
    <r>
      <rPr>
        <sz val="12"/>
        <color theme="1"/>
        <rFont val="Times New Roman"/>
        <family val="1"/>
        <charset val="186"/>
      </rPr>
      <t xml:space="preserve"> * 5%) = 2,48 </t>
    </r>
    <r>
      <rPr>
        <i/>
        <sz val="12"/>
        <color theme="1"/>
        <rFont val="Times New Roman"/>
        <family val="1"/>
        <charset val="186"/>
      </rPr>
      <t>euro</t>
    </r>
    <r>
      <rPr>
        <sz val="12"/>
        <color theme="1"/>
        <rFont val="Times New Roman"/>
        <family val="1"/>
        <charset val="186"/>
      </rPr>
      <t xml:space="preserve">, Saimniecības pārzinis (62,57 </t>
    </r>
    <r>
      <rPr>
        <i/>
        <sz val="12"/>
        <color theme="1"/>
        <rFont val="Times New Roman"/>
        <family val="1"/>
        <charset val="186"/>
      </rPr>
      <t>euro</t>
    </r>
    <r>
      <rPr>
        <sz val="12"/>
        <color theme="1"/>
        <rFont val="Times New Roman"/>
        <family val="1"/>
        <charset val="186"/>
      </rPr>
      <t xml:space="preserve"> * 5%) = 3,13 </t>
    </r>
    <r>
      <rPr>
        <i/>
        <sz val="12"/>
        <color theme="1"/>
        <rFont val="Times New Roman"/>
        <family val="1"/>
        <charset val="186"/>
      </rPr>
      <t>euro</t>
    </r>
    <r>
      <rPr>
        <sz val="12"/>
        <color theme="1"/>
        <rFont val="Times New Roman"/>
        <family val="1"/>
        <charset val="186"/>
      </rPr>
      <t xml:space="preserve">, Istabene (58,60 </t>
    </r>
    <r>
      <rPr>
        <i/>
        <sz val="12"/>
        <color theme="1"/>
        <rFont val="Times New Roman"/>
        <family val="1"/>
        <charset val="186"/>
      </rPr>
      <t>euro</t>
    </r>
    <r>
      <rPr>
        <sz val="12"/>
        <color theme="1"/>
        <rFont val="Times New Roman"/>
        <family val="1"/>
        <charset val="186"/>
      </rPr>
      <t xml:space="preserve"> * 5%) = 2,93 </t>
    </r>
    <r>
      <rPr>
        <i/>
        <sz val="12"/>
        <color theme="1"/>
        <rFont val="Times New Roman"/>
        <family val="1"/>
        <charset val="186"/>
      </rPr>
      <t>euro</t>
    </r>
    <r>
      <rPr>
        <sz val="12"/>
        <color theme="1"/>
        <rFont val="Times New Roman"/>
        <family val="1"/>
        <charset val="186"/>
      </rPr>
      <t xml:space="preserve">, Apkopēja (52,72 </t>
    </r>
    <r>
      <rPr>
        <i/>
        <sz val="12"/>
        <color theme="1"/>
        <rFont val="Times New Roman"/>
        <family val="1"/>
        <charset val="186"/>
      </rPr>
      <t>euro</t>
    </r>
    <r>
      <rPr>
        <sz val="12"/>
        <color theme="1"/>
        <rFont val="Times New Roman"/>
        <family val="1"/>
        <charset val="186"/>
      </rPr>
      <t xml:space="preserve"> * 5%) = 2,64 </t>
    </r>
    <r>
      <rPr>
        <i/>
        <sz val="12"/>
        <color theme="1"/>
        <rFont val="Times New Roman"/>
        <family val="1"/>
        <charset val="186"/>
      </rPr>
      <t>euro</t>
    </r>
    <r>
      <rPr>
        <sz val="12"/>
        <color theme="1"/>
        <rFont val="Times New Roman"/>
        <family val="1"/>
        <charset val="186"/>
      </rPr>
      <t xml:space="preserve">, Sētnieks (28,22 </t>
    </r>
    <r>
      <rPr>
        <i/>
        <sz val="12"/>
        <color theme="1"/>
        <rFont val="Times New Roman"/>
        <family val="1"/>
        <charset val="186"/>
      </rPr>
      <t>euro</t>
    </r>
    <r>
      <rPr>
        <sz val="12"/>
        <color theme="1"/>
        <rFont val="Times New Roman"/>
        <family val="1"/>
        <charset val="186"/>
      </rPr>
      <t xml:space="preserve"> * 5%) = 1,41 </t>
    </r>
    <r>
      <rPr>
        <i/>
        <sz val="12"/>
        <color theme="1"/>
        <rFont val="Times New Roman"/>
        <family val="1"/>
        <charset val="186"/>
      </rPr>
      <t>euro</t>
    </r>
    <r>
      <rPr>
        <sz val="12"/>
        <color theme="1"/>
        <rFont val="Times New Roman"/>
        <family val="1"/>
        <charset val="186"/>
      </rPr>
      <t xml:space="preserve">. Kopā (2,48 </t>
    </r>
    <r>
      <rPr>
        <i/>
        <sz val="12"/>
        <color theme="1"/>
        <rFont val="Times New Roman"/>
        <family val="1"/>
        <charset val="186"/>
      </rPr>
      <t>euro</t>
    </r>
    <r>
      <rPr>
        <sz val="12"/>
        <color theme="1"/>
        <rFont val="Times New Roman"/>
        <family val="1"/>
        <charset val="186"/>
      </rPr>
      <t xml:space="preserve"> + 3,13 </t>
    </r>
    <r>
      <rPr>
        <i/>
        <sz val="12"/>
        <color theme="1"/>
        <rFont val="Times New Roman"/>
        <family val="1"/>
        <charset val="186"/>
      </rPr>
      <t>euro</t>
    </r>
    <r>
      <rPr>
        <sz val="12"/>
        <color theme="1"/>
        <rFont val="Times New Roman"/>
        <family val="1"/>
        <charset val="186"/>
      </rPr>
      <t xml:space="preserve"> + 2,93 </t>
    </r>
    <r>
      <rPr>
        <i/>
        <sz val="12"/>
        <color theme="1"/>
        <rFont val="Times New Roman"/>
        <family val="1"/>
        <charset val="186"/>
      </rPr>
      <t>euro</t>
    </r>
    <r>
      <rPr>
        <sz val="12"/>
        <color theme="1"/>
        <rFont val="Times New Roman"/>
        <family val="1"/>
        <charset val="186"/>
      </rPr>
      <t xml:space="preserve"> + 2,64 </t>
    </r>
    <r>
      <rPr>
        <i/>
        <sz val="12"/>
        <color theme="1"/>
        <rFont val="Times New Roman"/>
        <family val="1"/>
        <charset val="186"/>
      </rPr>
      <t>euro</t>
    </r>
    <r>
      <rPr>
        <sz val="12"/>
        <color theme="1"/>
        <rFont val="Times New Roman"/>
        <family val="1"/>
        <charset val="186"/>
      </rPr>
      <t xml:space="preserve"> + 1,41 </t>
    </r>
    <r>
      <rPr>
        <i/>
        <sz val="12"/>
        <color theme="1"/>
        <rFont val="Times New Roman"/>
        <family val="1"/>
        <charset val="186"/>
      </rPr>
      <t>euro</t>
    </r>
    <r>
      <rPr>
        <sz val="12"/>
        <color theme="1"/>
        <rFont val="Times New Roman"/>
        <family val="1"/>
        <charset val="186"/>
      </rPr>
      <t xml:space="preserve">) = 12,59 </t>
    </r>
    <r>
      <rPr>
        <i/>
        <sz val="12"/>
        <color theme="1"/>
        <rFont val="Times New Roman"/>
        <family val="1"/>
        <charset val="186"/>
      </rPr>
      <t>euro</t>
    </r>
    <r>
      <rPr>
        <sz val="12"/>
        <color theme="1"/>
        <rFont val="Times New Roman"/>
        <family val="1"/>
        <charset val="186"/>
      </rPr>
      <t>.</t>
    </r>
  </si>
  <si>
    <r>
      <t xml:space="preserve">Galv. nekust. īpaš. pārvaldnieks (153,44 </t>
    </r>
    <r>
      <rPr>
        <i/>
        <sz val="12"/>
        <color theme="1"/>
        <rFont val="Times New Roman"/>
        <family val="1"/>
        <charset val="186"/>
      </rPr>
      <t>euro</t>
    </r>
    <r>
      <rPr>
        <sz val="12"/>
        <color theme="1"/>
        <rFont val="Times New Roman"/>
        <family val="1"/>
        <charset val="186"/>
      </rPr>
      <t xml:space="preserve"> * 10%) = 15,34 </t>
    </r>
    <r>
      <rPr>
        <i/>
        <sz val="12"/>
        <color theme="1"/>
        <rFont val="Times New Roman"/>
        <family val="1"/>
        <charset val="186"/>
      </rPr>
      <t>euro</t>
    </r>
    <r>
      <rPr>
        <sz val="12"/>
        <color theme="1"/>
        <rFont val="Times New Roman"/>
        <family val="1"/>
        <charset val="186"/>
      </rPr>
      <t xml:space="preserve">, Saimniecības pārzinis (193,60 </t>
    </r>
    <r>
      <rPr>
        <i/>
        <sz val="12"/>
        <color theme="1"/>
        <rFont val="Times New Roman"/>
        <family val="1"/>
        <charset val="186"/>
      </rPr>
      <t>euro</t>
    </r>
    <r>
      <rPr>
        <sz val="12"/>
        <color theme="1"/>
        <rFont val="Times New Roman"/>
        <family val="1"/>
        <charset val="186"/>
      </rPr>
      <t xml:space="preserve"> * 10%) = 19,36 </t>
    </r>
    <r>
      <rPr>
        <i/>
        <sz val="12"/>
        <color theme="1"/>
        <rFont val="Times New Roman"/>
        <family val="1"/>
        <charset val="186"/>
      </rPr>
      <t>euro</t>
    </r>
    <r>
      <rPr>
        <sz val="12"/>
        <color theme="1"/>
        <rFont val="Times New Roman"/>
        <family val="1"/>
        <charset val="186"/>
      </rPr>
      <t xml:space="preserve">, Istabene (181,31 </t>
    </r>
    <r>
      <rPr>
        <i/>
        <sz val="12"/>
        <color theme="1"/>
        <rFont val="Times New Roman"/>
        <family val="1"/>
        <charset val="186"/>
      </rPr>
      <t>euro</t>
    </r>
    <r>
      <rPr>
        <sz val="12"/>
        <color theme="1"/>
        <rFont val="Times New Roman"/>
        <family val="1"/>
        <charset val="186"/>
      </rPr>
      <t xml:space="preserve"> * 10%) = 18,13 </t>
    </r>
    <r>
      <rPr>
        <i/>
        <sz val="12"/>
        <color theme="1"/>
        <rFont val="Times New Roman"/>
        <family val="1"/>
        <charset val="186"/>
      </rPr>
      <t>euro</t>
    </r>
    <r>
      <rPr>
        <sz val="12"/>
        <color theme="1"/>
        <rFont val="Times New Roman"/>
        <family val="1"/>
        <charset val="186"/>
      </rPr>
      <t xml:space="preserve">, Apkopēja (163,12 </t>
    </r>
    <r>
      <rPr>
        <i/>
        <sz val="12"/>
        <color theme="1"/>
        <rFont val="Times New Roman"/>
        <family val="1"/>
        <charset val="186"/>
      </rPr>
      <t>euro</t>
    </r>
    <r>
      <rPr>
        <sz val="12"/>
        <color theme="1"/>
        <rFont val="Times New Roman"/>
        <family val="1"/>
        <charset val="186"/>
      </rPr>
      <t xml:space="preserve"> * 10%) = 16,31 </t>
    </r>
    <r>
      <rPr>
        <i/>
        <sz val="12"/>
        <color theme="1"/>
        <rFont val="Times New Roman"/>
        <family val="1"/>
        <charset val="186"/>
      </rPr>
      <t>euro</t>
    </r>
    <r>
      <rPr>
        <sz val="12"/>
        <color theme="1"/>
        <rFont val="Times New Roman"/>
        <family val="1"/>
        <charset val="186"/>
      </rPr>
      <t xml:space="preserve">, Sētnieks (87,33 </t>
    </r>
    <r>
      <rPr>
        <i/>
        <sz val="12"/>
        <color theme="1"/>
        <rFont val="Times New Roman"/>
        <family val="1"/>
        <charset val="186"/>
      </rPr>
      <t>euro</t>
    </r>
    <r>
      <rPr>
        <sz val="12"/>
        <color theme="1"/>
        <rFont val="Times New Roman"/>
        <family val="1"/>
        <charset val="186"/>
      </rPr>
      <t xml:space="preserve"> * 10%) = 8,73 </t>
    </r>
    <r>
      <rPr>
        <i/>
        <sz val="12"/>
        <color theme="1"/>
        <rFont val="Times New Roman"/>
        <family val="1"/>
        <charset val="186"/>
      </rPr>
      <t>euro</t>
    </r>
    <r>
      <rPr>
        <sz val="12"/>
        <color theme="1"/>
        <rFont val="Times New Roman"/>
        <family val="1"/>
        <charset val="186"/>
      </rPr>
      <t xml:space="preserve">. Kopā (15,34 </t>
    </r>
    <r>
      <rPr>
        <i/>
        <sz val="12"/>
        <color theme="1"/>
        <rFont val="Times New Roman"/>
        <family val="1"/>
        <charset val="186"/>
      </rPr>
      <t>euro</t>
    </r>
    <r>
      <rPr>
        <sz val="12"/>
        <color theme="1"/>
        <rFont val="Times New Roman"/>
        <family val="1"/>
        <charset val="186"/>
      </rPr>
      <t xml:space="preserve"> + 19,36 </t>
    </r>
    <r>
      <rPr>
        <i/>
        <sz val="12"/>
        <color theme="1"/>
        <rFont val="Times New Roman"/>
        <family val="1"/>
        <charset val="186"/>
      </rPr>
      <t>euro</t>
    </r>
    <r>
      <rPr>
        <sz val="12"/>
        <color theme="1"/>
        <rFont val="Times New Roman"/>
        <family val="1"/>
        <charset val="186"/>
      </rPr>
      <t xml:space="preserve"> + 18,13 </t>
    </r>
    <r>
      <rPr>
        <i/>
        <sz val="12"/>
        <color theme="1"/>
        <rFont val="Times New Roman"/>
        <family val="1"/>
        <charset val="186"/>
      </rPr>
      <t>euro</t>
    </r>
    <r>
      <rPr>
        <sz val="12"/>
        <color theme="1"/>
        <rFont val="Times New Roman"/>
        <family val="1"/>
        <charset val="186"/>
      </rPr>
      <t xml:space="preserve"> + 16,31 </t>
    </r>
    <r>
      <rPr>
        <i/>
        <sz val="12"/>
        <color theme="1"/>
        <rFont val="Times New Roman"/>
        <family val="1"/>
        <charset val="186"/>
      </rPr>
      <t>euro</t>
    </r>
    <r>
      <rPr>
        <sz val="12"/>
        <color theme="1"/>
        <rFont val="Times New Roman"/>
        <family val="1"/>
        <charset val="186"/>
      </rPr>
      <t xml:space="preserve"> + 8,73 </t>
    </r>
    <r>
      <rPr>
        <i/>
        <sz val="12"/>
        <color theme="1"/>
        <rFont val="Times New Roman"/>
        <family val="1"/>
        <charset val="186"/>
      </rPr>
      <t>euro</t>
    </r>
    <r>
      <rPr>
        <sz val="12"/>
        <color theme="1"/>
        <rFont val="Times New Roman"/>
        <family val="1"/>
        <charset val="186"/>
      </rPr>
      <t xml:space="preserve">) = 77,87 </t>
    </r>
    <r>
      <rPr>
        <i/>
        <sz val="12"/>
        <color theme="1"/>
        <rFont val="Times New Roman"/>
        <family val="1"/>
        <charset val="186"/>
      </rPr>
      <t>euro</t>
    </r>
    <r>
      <rPr>
        <sz val="12"/>
        <color theme="1"/>
        <rFont val="Times New Roman"/>
        <family val="1"/>
        <charset val="186"/>
      </rPr>
      <t>.</t>
    </r>
  </si>
  <si>
    <r>
      <t xml:space="preserve">Galv. nekust. īpaš. pārvaldnieks (153,44 </t>
    </r>
    <r>
      <rPr>
        <i/>
        <sz val="12"/>
        <color theme="1"/>
        <rFont val="Times New Roman"/>
        <family val="1"/>
        <charset val="186"/>
      </rPr>
      <t>euro</t>
    </r>
    <r>
      <rPr>
        <sz val="12"/>
        <color theme="1"/>
        <rFont val="Times New Roman"/>
        <family val="1"/>
        <charset val="186"/>
      </rPr>
      <t xml:space="preserve"> * 5%) = 7,67 </t>
    </r>
    <r>
      <rPr>
        <i/>
        <sz val="12"/>
        <color theme="1"/>
        <rFont val="Times New Roman"/>
        <family val="1"/>
        <charset val="186"/>
      </rPr>
      <t>euro</t>
    </r>
    <r>
      <rPr>
        <sz val="12"/>
        <color theme="1"/>
        <rFont val="Times New Roman"/>
        <family val="1"/>
        <charset val="186"/>
      </rPr>
      <t xml:space="preserve">, Saimniecības pārzinis (193,60 </t>
    </r>
    <r>
      <rPr>
        <i/>
        <sz val="12"/>
        <color theme="1"/>
        <rFont val="Times New Roman"/>
        <family val="1"/>
        <charset val="186"/>
      </rPr>
      <t>euro</t>
    </r>
    <r>
      <rPr>
        <sz val="12"/>
        <color theme="1"/>
        <rFont val="Times New Roman"/>
        <family val="1"/>
        <charset val="186"/>
      </rPr>
      <t xml:space="preserve"> * 5%) = 9,68 </t>
    </r>
    <r>
      <rPr>
        <i/>
        <sz val="12"/>
        <color theme="1"/>
        <rFont val="Times New Roman"/>
        <family val="1"/>
        <charset val="186"/>
      </rPr>
      <t>euro</t>
    </r>
    <r>
      <rPr>
        <sz val="12"/>
        <color theme="1"/>
        <rFont val="Times New Roman"/>
        <family val="1"/>
        <charset val="186"/>
      </rPr>
      <t xml:space="preserve">,  Istabene (181,31 </t>
    </r>
    <r>
      <rPr>
        <i/>
        <sz val="12"/>
        <color theme="1"/>
        <rFont val="Times New Roman"/>
        <family val="1"/>
        <charset val="186"/>
      </rPr>
      <t>euro</t>
    </r>
    <r>
      <rPr>
        <sz val="12"/>
        <color theme="1"/>
        <rFont val="Times New Roman"/>
        <family val="1"/>
        <charset val="186"/>
      </rPr>
      <t xml:space="preserve"> * 5%) = 9,07 </t>
    </r>
    <r>
      <rPr>
        <i/>
        <sz val="12"/>
        <color theme="1"/>
        <rFont val="Times New Roman"/>
        <family val="1"/>
        <charset val="186"/>
      </rPr>
      <t>euro</t>
    </r>
    <r>
      <rPr>
        <sz val="12"/>
        <color theme="1"/>
        <rFont val="Times New Roman"/>
        <family val="1"/>
        <charset val="186"/>
      </rPr>
      <t xml:space="preserve">,  Apkopēja (163,12 </t>
    </r>
    <r>
      <rPr>
        <i/>
        <sz val="12"/>
        <color theme="1"/>
        <rFont val="Times New Roman"/>
        <family val="1"/>
        <charset val="186"/>
      </rPr>
      <t>euro</t>
    </r>
    <r>
      <rPr>
        <sz val="12"/>
        <color theme="1"/>
        <rFont val="Times New Roman"/>
        <family val="1"/>
        <charset val="186"/>
      </rPr>
      <t xml:space="preserve"> * 5%) = 8,16 </t>
    </r>
    <r>
      <rPr>
        <i/>
        <sz val="12"/>
        <color theme="1"/>
        <rFont val="Times New Roman"/>
        <family val="1"/>
        <charset val="186"/>
      </rPr>
      <t>euro</t>
    </r>
    <r>
      <rPr>
        <sz val="12"/>
        <color theme="1"/>
        <rFont val="Times New Roman"/>
        <family val="1"/>
        <charset val="186"/>
      </rPr>
      <t xml:space="preserve">, Sētnieks (87,33 </t>
    </r>
    <r>
      <rPr>
        <i/>
        <sz val="12"/>
        <color theme="1"/>
        <rFont val="Times New Roman"/>
        <family val="1"/>
        <charset val="186"/>
      </rPr>
      <t>euro</t>
    </r>
    <r>
      <rPr>
        <sz val="12"/>
        <color theme="1"/>
        <rFont val="Times New Roman"/>
        <family val="1"/>
        <charset val="186"/>
      </rPr>
      <t xml:space="preserve"> * 5%) = 4,37 </t>
    </r>
    <r>
      <rPr>
        <i/>
        <sz val="12"/>
        <color theme="1"/>
        <rFont val="Times New Roman"/>
        <family val="1"/>
        <charset val="186"/>
      </rPr>
      <t>euro</t>
    </r>
    <r>
      <rPr>
        <sz val="12"/>
        <color theme="1"/>
        <rFont val="Times New Roman"/>
        <family val="1"/>
        <charset val="186"/>
      </rPr>
      <t xml:space="preserve">. Kopā (7,67 </t>
    </r>
    <r>
      <rPr>
        <i/>
        <sz val="12"/>
        <color theme="1"/>
        <rFont val="Times New Roman"/>
        <family val="1"/>
        <charset val="186"/>
      </rPr>
      <t>euro</t>
    </r>
    <r>
      <rPr>
        <sz val="12"/>
        <color theme="1"/>
        <rFont val="Times New Roman"/>
        <family val="1"/>
        <charset val="186"/>
      </rPr>
      <t xml:space="preserve"> + 9,68 </t>
    </r>
    <r>
      <rPr>
        <i/>
        <sz val="12"/>
        <color theme="1"/>
        <rFont val="Times New Roman"/>
        <family val="1"/>
        <charset val="186"/>
      </rPr>
      <t>euro</t>
    </r>
    <r>
      <rPr>
        <sz val="12"/>
        <color theme="1"/>
        <rFont val="Times New Roman"/>
        <family val="1"/>
        <charset val="186"/>
      </rPr>
      <t xml:space="preserve"> + 9,07 </t>
    </r>
    <r>
      <rPr>
        <i/>
        <sz val="12"/>
        <color theme="1"/>
        <rFont val="Times New Roman"/>
        <family val="1"/>
        <charset val="186"/>
      </rPr>
      <t>euro</t>
    </r>
    <r>
      <rPr>
        <sz val="12"/>
        <color theme="1"/>
        <rFont val="Times New Roman"/>
        <family val="1"/>
        <charset val="186"/>
      </rPr>
      <t xml:space="preserve"> + 8,16 </t>
    </r>
    <r>
      <rPr>
        <i/>
        <sz val="12"/>
        <color theme="1"/>
        <rFont val="Times New Roman"/>
        <family val="1"/>
        <charset val="186"/>
      </rPr>
      <t>euro</t>
    </r>
    <r>
      <rPr>
        <sz val="12"/>
        <color theme="1"/>
        <rFont val="Times New Roman"/>
        <family val="1"/>
        <charset val="186"/>
      </rPr>
      <t xml:space="preserve"> + 4,37 </t>
    </r>
    <r>
      <rPr>
        <i/>
        <sz val="12"/>
        <color theme="1"/>
        <rFont val="Times New Roman"/>
        <family val="1"/>
        <charset val="186"/>
      </rPr>
      <t>euro</t>
    </r>
    <r>
      <rPr>
        <sz val="12"/>
        <color theme="1"/>
        <rFont val="Times New Roman"/>
        <family val="1"/>
        <charset val="186"/>
      </rPr>
      <t xml:space="preserve">) = 38,95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</si>
  <si>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202,09 </t>
    </r>
    <r>
      <rPr>
        <i/>
        <sz val="12"/>
        <color theme="1"/>
        <rFont val="Times New Roman"/>
        <family val="1"/>
        <charset val="186"/>
      </rPr>
      <t>euro</t>
    </r>
    <r>
      <rPr>
        <sz val="12"/>
        <color theme="1"/>
        <rFont val="Times New Roman"/>
        <family val="1"/>
        <charset val="186"/>
      </rPr>
      <t xml:space="preserve">. Veselības apdrošināšana 38,95 </t>
    </r>
    <r>
      <rPr>
        <i/>
        <sz val="12"/>
        <color theme="1"/>
        <rFont val="Times New Roman"/>
        <family val="1"/>
        <charset val="186"/>
      </rPr>
      <t>euro</t>
    </r>
    <r>
      <rPr>
        <sz val="12"/>
        <color theme="1"/>
        <rFont val="Times New Roman"/>
        <family val="1"/>
        <charset val="186"/>
      </rPr>
      <t xml:space="preserve">. Kopā 241,04 </t>
    </r>
    <r>
      <rPr>
        <i/>
        <sz val="12"/>
        <color theme="1"/>
        <rFont val="Times New Roman"/>
        <family val="1"/>
        <charset val="186"/>
      </rPr>
      <t>euro</t>
    </r>
    <r>
      <rPr>
        <sz val="12"/>
        <color theme="1"/>
        <rFont val="Times New Roman"/>
        <family val="1"/>
        <charset val="186"/>
      </rPr>
      <t>.</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</si>
  <si>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114.23 stundas, (5,37 </t>
    </r>
    <r>
      <rPr>
        <i/>
        <sz val="12"/>
        <color theme="1"/>
        <rFont val="Times New Roman"/>
        <family val="1"/>
        <charset val="186"/>
      </rPr>
      <t>euro</t>
    </r>
    <r>
      <rPr>
        <sz val="12"/>
        <color theme="1"/>
        <rFont val="Times New Roman"/>
        <family val="1"/>
        <charset val="186"/>
      </rPr>
      <t xml:space="preserve"> * 114.23 h) = 613,42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7 361,04 </t>
    </r>
    <r>
      <rPr>
        <i/>
        <sz val="12"/>
        <color theme="1"/>
        <rFont val="Times New Roman"/>
        <family val="1"/>
        <charset val="186"/>
      </rPr>
      <t>euro</t>
    </r>
    <r>
      <rPr>
        <sz val="12"/>
        <color theme="1"/>
        <rFont val="Times New Roman"/>
        <family val="1"/>
        <charset val="186"/>
      </rPr>
      <t xml:space="preserve"> * 0.3646 (iznomātās platības koeficients) = 2 683,84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</si>
  <si>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4,55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166.92 (vid. d. stundu sk. mēnesī). Vid. mēn. noslogojums 126.26 stundas, (4,55 </t>
    </r>
    <r>
      <rPr>
        <i/>
        <sz val="12"/>
        <color theme="1"/>
        <rFont val="Times New Roman"/>
        <family val="1"/>
        <charset val="186"/>
      </rPr>
      <t>euro</t>
    </r>
    <r>
      <rPr>
        <sz val="12"/>
        <color theme="1"/>
        <rFont val="Times New Roman"/>
        <family val="1"/>
        <charset val="186"/>
      </rPr>
      <t xml:space="preserve"> * 126.26 h) = 574,48 </t>
    </r>
    <r>
      <rPr>
        <i/>
        <sz val="12"/>
        <color theme="1"/>
        <rFont val="Times New Roman"/>
        <family val="1"/>
        <charset val="186"/>
      </rPr>
      <t>euro</t>
    </r>
    <r>
      <rPr>
        <sz val="12"/>
        <color theme="1"/>
        <rFont val="Times New Roman"/>
        <family val="1"/>
        <charset val="186"/>
      </rPr>
      <t xml:space="preserve">/mēn. * 12 mēn. = 6 893,76 </t>
    </r>
    <r>
      <rPr>
        <i/>
        <sz val="12"/>
        <color theme="1"/>
        <rFont val="Times New Roman"/>
        <family val="1"/>
        <charset val="186"/>
      </rPr>
      <t>euro</t>
    </r>
    <r>
      <rPr>
        <sz val="12"/>
        <color theme="1"/>
        <rFont val="Times New Roman"/>
        <family val="1"/>
        <charset val="186"/>
      </rPr>
      <t xml:space="preserve"> * 0.3646 (iznomātās platības koeficients) = 2 513,46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</si>
  <si>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116.67 stundas, (4,43 </t>
    </r>
    <r>
      <rPr>
        <i/>
        <sz val="12"/>
        <color theme="1"/>
        <rFont val="Times New Roman"/>
        <family val="1"/>
        <charset val="186"/>
      </rPr>
      <t>euro</t>
    </r>
    <r>
      <rPr>
        <sz val="12"/>
        <color theme="1"/>
        <rFont val="Times New Roman"/>
        <family val="1"/>
        <charset val="186"/>
      </rPr>
      <t xml:space="preserve"> * 116.67 h) = 516,85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0.3646 (iznomātās platības koeficients) = 2 261,32 </t>
    </r>
    <r>
      <rPr>
        <i/>
        <sz val="12"/>
        <color theme="1"/>
        <rFont val="Times New Roman"/>
        <family val="1"/>
        <charset val="186"/>
      </rPr>
      <t>euro</t>
    </r>
    <r>
      <rPr>
        <sz val="12"/>
        <color theme="1"/>
        <rFont val="Times New Roman"/>
        <family val="1"/>
        <charset val="186"/>
      </rPr>
      <t xml:space="preserve">. </t>
    </r>
  </si>
  <si>
    <r>
      <t xml:space="preserve">Galv. nekust. īpaš. pārvaldnieks (2 127,22 </t>
    </r>
    <r>
      <rPr>
        <i/>
        <sz val="12"/>
        <color theme="1"/>
        <rFont val="Times New Roman"/>
        <family val="1"/>
        <charset val="186"/>
      </rPr>
      <t>euro</t>
    </r>
    <r>
      <rPr>
        <sz val="12"/>
        <color theme="1"/>
        <rFont val="Times New Roman"/>
        <family val="1"/>
        <charset val="186"/>
      </rPr>
      <t xml:space="preserve"> * 10%) = 212,72 </t>
    </r>
    <r>
      <rPr>
        <i/>
        <sz val="12"/>
        <color theme="1"/>
        <rFont val="Times New Roman"/>
        <family val="1"/>
        <charset val="186"/>
      </rPr>
      <t>euro</t>
    </r>
    <r>
      <rPr>
        <sz val="12"/>
        <color theme="1"/>
        <rFont val="Times New Roman"/>
        <family val="1"/>
        <charset val="186"/>
      </rPr>
      <t xml:space="preserve">, Saimniecības pārzinis (2 683,84 </t>
    </r>
    <r>
      <rPr>
        <i/>
        <sz val="12"/>
        <color theme="1"/>
        <rFont val="Times New Roman"/>
        <family val="1"/>
        <charset val="186"/>
      </rPr>
      <t>euro</t>
    </r>
    <r>
      <rPr>
        <sz val="12"/>
        <color theme="1"/>
        <rFont val="Times New Roman"/>
        <family val="1"/>
        <charset val="186"/>
      </rPr>
      <t xml:space="preserve"> * 10%) = 268,38 </t>
    </r>
    <r>
      <rPr>
        <i/>
        <sz val="12"/>
        <color theme="1"/>
        <rFont val="Times New Roman"/>
        <family val="1"/>
        <charset val="186"/>
      </rPr>
      <t>euro</t>
    </r>
    <r>
      <rPr>
        <sz val="12"/>
        <color theme="1"/>
        <rFont val="Times New Roman"/>
        <family val="1"/>
        <charset val="186"/>
      </rPr>
      <t xml:space="preserve">, Istabene (2 513,46 </t>
    </r>
    <r>
      <rPr>
        <i/>
        <sz val="12"/>
        <color theme="1"/>
        <rFont val="Times New Roman"/>
        <family val="1"/>
        <charset val="186"/>
      </rPr>
      <t>euro</t>
    </r>
    <r>
      <rPr>
        <sz val="12"/>
        <color theme="1"/>
        <rFont val="Times New Roman"/>
        <family val="1"/>
        <charset val="186"/>
      </rPr>
      <t xml:space="preserve"> * 10%) = 251,35 </t>
    </r>
    <r>
      <rPr>
        <i/>
        <sz val="12"/>
        <color theme="1"/>
        <rFont val="Times New Roman"/>
        <family val="1"/>
        <charset val="186"/>
      </rPr>
      <t>euro</t>
    </r>
    <r>
      <rPr>
        <sz val="12"/>
        <color theme="1"/>
        <rFont val="Times New Roman"/>
        <family val="1"/>
        <charset val="186"/>
      </rPr>
      <t xml:space="preserve">, Apkopēja (2 261,32 </t>
    </r>
    <r>
      <rPr>
        <i/>
        <sz val="12"/>
        <color theme="1"/>
        <rFont val="Times New Roman"/>
        <family val="1"/>
        <charset val="186"/>
      </rPr>
      <t>euro</t>
    </r>
    <r>
      <rPr>
        <sz val="12"/>
        <color theme="1"/>
        <rFont val="Times New Roman"/>
        <family val="1"/>
        <charset val="186"/>
      </rPr>
      <t xml:space="preserve"> * 10%) = 226,13 </t>
    </r>
    <r>
      <rPr>
        <i/>
        <sz val="12"/>
        <color theme="1"/>
        <rFont val="Times New Roman"/>
        <family val="1"/>
        <charset val="186"/>
      </rPr>
      <t>euro</t>
    </r>
    <r>
      <rPr>
        <sz val="12"/>
        <color theme="1"/>
        <rFont val="Times New Roman"/>
        <family val="1"/>
        <charset val="186"/>
      </rPr>
      <t xml:space="preserve">, Sētnieks (1 210,62 </t>
    </r>
    <r>
      <rPr>
        <i/>
        <sz val="12"/>
        <color theme="1"/>
        <rFont val="Times New Roman"/>
        <family val="1"/>
        <charset val="186"/>
      </rPr>
      <t>euro</t>
    </r>
    <r>
      <rPr>
        <sz val="12"/>
        <color theme="1"/>
        <rFont val="Times New Roman"/>
        <family val="1"/>
        <charset val="186"/>
      </rPr>
      <t xml:space="preserve"> * 10%) = 121,06 </t>
    </r>
    <r>
      <rPr>
        <i/>
        <sz val="12"/>
        <color theme="1"/>
        <rFont val="Times New Roman"/>
        <family val="1"/>
        <charset val="186"/>
      </rPr>
      <t>euro</t>
    </r>
    <r>
      <rPr>
        <sz val="12"/>
        <color theme="1"/>
        <rFont val="Times New Roman"/>
        <family val="1"/>
        <charset val="186"/>
      </rPr>
      <t xml:space="preserve">. Kopā (212,72 </t>
    </r>
    <r>
      <rPr>
        <i/>
        <sz val="12"/>
        <color theme="1"/>
        <rFont val="Times New Roman"/>
        <family val="1"/>
        <charset val="186"/>
      </rPr>
      <t>euro</t>
    </r>
    <r>
      <rPr>
        <sz val="12"/>
        <color theme="1"/>
        <rFont val="Times New Roman"/>
        <family val="1"/>
        <charset val="186"/>
      </rPr>
      <t xml:space="preserve"> + 268,38 </t>
    </r>
    <r>
      <rPr>
        <i/>
        <sz val="12"/>
        <color theme="1"/>
        <rFont val="Times New Roman"/>
        <family val="1"/>
        <charset val="186"/>
      </rPr>
      <t>euro</t>
    </r>
    <r>
      <rPr>
        <sz val="12"/>
        <color theme="1"/>
        <rFont val="Times New Roman"/>
        <family val="1"/>
        <charset val="186"/>
      </rPr>
      <t xml:space="preserve"> + 251,35 </t>
    </r>
    <r>
      <rPr>
        <i/>
        <sz val="12"/>
        <color theme="1"/>
        <rFont val="Times New Roman"/>
        <family val="1"/>
        <charset val="186"/>
      </rPr>
      <t>euro</t>
    </r>
    <r>
      <rPr>
        <sz val="12"/>
        <color theme="1"/>
        <rFont val="Times New Roman"/>
        <family val="1"/>
        <charset val="186"/>
      </rPr>
      <t xml:space="preserve"> + 226,13 </t>
    </r>
    <r>
      <rPr>
        <i/>
        <sz val="12"/>
        <color theme="1"/>
        <rFont val="Times New Roman"/>
        <family val="1"/>
        <charset val="186"/>
      </rPr>
      <t>euro</t>
    </r>
    <r>
      <rPr>
        <sz val="12"/>
        <color theme="1"/>
        <rFont val="Times New Roman"/>
        <family val="1"/>
        <charset val="186"/>
      </rPr>
      <t xml:space="preserve"> + 121,06 </t>
    </r>
    <r>
      <rPr>
        <i/>
        <sz val="12"/>
        <color theme="1"/>
        <rFont val="Times New Roman"/>
        <family val="1"/>
        <charset val="186"/>
      </rPr>
      <t>euro</t>
    </r>
    <r>
      <rPr>
        <sz val="12"/>
        <color theme="1"/>
        <rFont val="Times New Roman"/>
        <family val="1"/>
        <charset val="186"/>
      </rPr>
      <t xml:space="preserve">) = 1 079,64 </t>
    </r>
    <r>
      <rPr>
        <i/>
        <sz val="12"/>
        <color theme="1"/>
        <rFont val="Times New Roman"/>
        <family val="1"/>
        <charset val="186"/>
      </rPr>
      <t>euro</t>
    </r>
    <r>
      <rPr>
        <sz val="12"/>
        <color theme="1"/>
        <rFont val="Times New Roman"/>
        <family val="1"/>
        <charset val="186"/>
      </rPr>
      <t>.</t>
    </r>
  </si>
  <si>
    <r>
      <t xml:space="preserve">Galv. nekust. īpaš. pārvaldnieks (2 127,22 </t>
    </r>
    <r>
      <rPr>
        <i/>
        <sz val="12"/>
        <color theme="1"/>
        <rFont val="Times New Roman"/>
        <family val="1"/>
        <charset val="186"/>
      </rPr>
      <t>euro</t>
    </r>
    <r>
      <rPr>
        <sz val="12"/>
        <color theme="1"/>
        <rFont val="Times New Roman"/>
        <family val="1"/>
        <charset val="186"/>
      </rPr>
      <t xml:space="preserve"> * 5%) = 106,36 </t>
    </r>
    <r>
      <rPr>
        <i/>
        <sz val="12"/>
        <color theme="1"/>
        <rFont val="Times New Roman"/>
        <family val="1"/>
        <charset val="186"/>
      </rPr>
      <t>euro</t>
    </r>
    <r>
      <rPr>
        <sz val="12"/>
        <color theme="1"/>
        <rFont val="Times New Roman"/>
        <family val="1"/>
        <charset val="186"/>
      </rPr>
      <t xml:space="preserve">, Saimniecības pārzinis (2 683,84 </t>
    </r>
    <r>
      <rPr>
        <i/>
        <sz val="12"/>
        <color theme="1"/>
        <rFont val="Times New Roman"/>
        <family val="1"/>
        <charset val="186"/>
      </rPr>
      <t>euro</t>
    </r>
    <r>
      <rPr>
        <sz val="12"/>
        <color theme="1"/>
        <rFont val="Times New Roman"/>
        <family val="1"/>
        <charset val="186"/>
      </rPr>
      <t xml:space="preserve"> * 5%) = 134,19 </t>
    </r>
    <r>
      <rPr>
        <i/>
        <sz val="12"/>
        <color theme="1"/>
        <rFont val="Times New Roman"/>
        <family val="1"/>
        <charset val="186"/>
      </rPr>
      <t>euro</t>
    </r>
    <r>
      <rPr>
        <sz val="12"/>
        <color theme="1"/>
        <rFont val="Times New Roman"/>
        <family val="1"/>
        <charset val="186"/>
      </rPr>
      <t xml:space="preserve">, Istabene (2 513,46 </t>
    </r>
    <r>
      <rPr>
        <i/>
        <sz val="12"/>
        <color theme="1"/>
        <rFont val="Times New Roman"/>
        <family val="1"/>
        <charset val="186"/>
      </rPr>
      <t>euro</t>
    </r>
    <r>
      <rPr>
        <sz val="12"/>
        <color theme="1"/>
        <rFont val="Times New Roman"/>
        <family val="1"/>
        <charset val="186"/>
      </rPr>
      <t xml:space="preserve"> * 5%) = 125,67 </t>
    </r>
    <r>
      <rPr>
        <i/>
        <sz val="12"/>
        <color theme="1"/>
        <rFont val="Times New Roman"/>
        <family val="1"/>
        <charset val="186"/>
      </rPr>
      <t>euro</t>
    </r>
    <r>
      <rPr>
        <sz val="12"/>
        <color theme="1"/>
        <rFont val="Times New Roman"/>
        <family val="1"/>
        <charset val="186"/>
      </rPr>
      <t xml:space="preserve">, Apkopēja (2 261,32 </t>
    </r>
    <r>
      <rPr>
        <i/>
        <sz val="12"/>
        <color theme="1"/>
        <rFont val="Times New Roman"/>
        <family val="1"/>
        <charset val="186"/>
      </rPr>
      <t>euro</t>
    </r>
    <r>
      <rPr>
        <sz val="12"/>
        <color theme="1"/>
        <rFont val="Times New Roman"/>
        <family val="1"/>
        <charset val="186"/>
      </rPr>
      <t xml:space="preserve"> * 5%) = 113,07 </t>
    </r>
    <r>
      <rPr>
        <i/>
        <sz val="12"/>
        <color theme="1"/>
        <rFont val="Times New Roman"/>
        <family val="1"/>
        <charset val="186"/>
      </rPr>
      <t>euro</t>
    </r>
    <r>
      <rPr>
        <sz val="12"/>
        <color theme="1"/>
        <rFont val="Times New Roman"/>
        <family val="1"/>
        <charset val="186"/>
      </rPr>
      <t xml:space="preserve">, Sētnieks (1 210,62 </t>
    </r>
    <r>
      <rPr>
        <i/>
        <sz val="12"/>
        <color theme="1"/>
        <rFont val="Times New Roman"/>
        <family val="1"/>
        <charset val="186"/>
      </rPr>
      <t>euro</t>
    </r>
    <r>
      <rPr>
        <sz val="12"/>
        <color theme="1"/>
        <rFont val="Times New Roman"/>
        <family val="1"/>
        <charset val="186"/>
      </rPr>
      <t xml:space="preserve"> * 5%) = 60,53 </t>
    </r>
    <r>
      <rPr>
        <i/>
        <sz val="12"/>
        <color theme="1"/>
        <rFont val="Times New Roman"/>
        <family val="1"/>
        <charset val="186"/>
      </rPr>
      <t>euro</t>
    </r>
    <r>
      <rPr>
        <sz val="12"/>
        <color theme="1"/>
        <rFont val="Times New Roman"/>
        <family val="1"/>
        <charset val="186"/>
      </rPr>
      <t xml:space="preserve">. Kopā (106,36 </t>
    </r>
    <r>
      <rPr>
        <i/>
        <sz val="12"/>
        <color theme="1"/>
        <rFont val="Times New Roman"/>
        <family val="1"/>
        <charset val="186"/>
      </rPr>
      <t>euro</t>
    </r>
    <r>
      <rPr>
        <sz val="12"/>
        <color theme="1"/>
        <rFont val="Times New Roman"/>
        <family val="1"/>
        <charset val="186"/>
      </rPr>
      <t xml:space="preserve"> + 134,19 </t>
    </r>
    <r>
      <rPr>
        <i/>
        <sz val="12"/>
        <color theme="1"/>
        <rFont val="Times New Roman"/>
        <family val="1"/>
        <charset val="186"/>
      </rPr>
      <t>euro</t>
    </r>
    <r>
      <rPr>
        <sz val="12"/>
        <color theme="1"/>
        <rFont val="Times New Roman"/>
        <family val="1"/>
        <charset val="186"/>
      </rPr>
      <t xml:space="preserve"> + 125,67 </t>
    </r>
    <r>
      <rPr>
        <i/>
        <sz val="12"/>
        <color theme="1"/>
        <rFont val="Times New Roman"/>
        <family val="1"/>
        <charset val="186"/>
      </rPr>
      <t>euro</t>
    </r>
    <r>
      <rPr>
        <sz val="12"/>
        <color theme="1"/>
        <rFont val="Times New Roman"/>
        <family val="1"/>
        <charset val="186"/>
      </rPr>
      <t xml:space="preserve"> + 113,07 </t>
    </r>
    <r>
      <rPr>
        <i/>
        <sz val="12"/>
        <color theme="1"/>
        <rFont val="Times New Roman"/>
        <family val="1"/>
        <charset val="186"/>
      </rPr>
      <t>euro</t>
    </r>
    <r>
      <rPr>
        <sz val="12"/>
        <color theme="1"/>
        <rFont val="Times New Roman"/>
        <family val="1"/>
        <charset val="186"/>
      </rPr>
      <t xml:space="preserve"> + 60,53 </t>
    </r>
    <r>
      <rPr>
        <i/>
        <sz val="12"/>
        <color theme="1"/>
        <rFont val="Times New Roman"/>
        <family val="1"/>
        <charset val="186"/>
      </rPr>
      <t>euro</t>
    </r>
    <r>
      <rPr>
        <sz val="12"/>
        <color theme="1"/>
        <rFont val="Times New Roman"/>
        <family val="1"/>
        <charset val="186"/>
      </rPr>
      <t xml:space="preserve">) = 539,82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</si>
  <si>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2 801,57 </t>
    </r>
    <r>
      <rPr>
        <i/>
        <sz val="12"/>
        <color theme="1"/>
        <rFont val="Times New Roman"/>
        <family val="1"/>
        <charset val="186"/>
      </rPr>
      <t>euro</t>
    </r>
    <r>
      <rPr>
        <sz val="12"/>
        <color theme="1"/>
        <rFont val="Times New Roman"/>
        <family val="1"/>
        <charset val="186"/>
      </rPr>
      <t xml:space="preserve">. Veselības apdrošināšana 539,82 </t>
    </r>
    <r>
      <rPr>
        <i/>
        <sz val="12"/>
        <color theme="1"/>
        <rFont val="Times New Roman"/>
        <family val="1"/>
        <charset val="186"/>
      </rPr>
      <t>euro</t>
    </r>
    <r>
      <rPr>
        <sz val="12"/>
        <color theme="1"/>
        <rFont val="Times New Roman"/>
        <family val="1"/>
        <charset val="186"/>
      </rPr>
      <t xml:space="preserve">. Kopā 3 341,39 </t>
    </r>
    <r>
      <rPr>
        <i/>
        <sz val="12"/>
        <color theme="1"/>
        <rFont val="Times New Roman"/>
        <family val="1"/>
        <charset val="186"/>
      </rPr>
      <t>euro</t>
    </r>
    <r>
      <rPr>
        <sz val="12"/>
        <color theme="1"/>
        <rFont val="Times New Roman"/>
        <family val="1"/>
        <charset val="186"/>
      </rPr>
      <t>.</t>
    </r>
  </si>
  <si>
    <r>
      <t xml:space="preserve">Galv. nekust. īpaš. pārvaldnieks (322,64 </t>
    </r>
    <r>
      <rPr>
        <i/>
        <sz val="12"/>
        <color theme="1"/>
        <rFont val="Times New Roman"/>
        <family val="1"/>
        <charset val="186"/>
      </rPr>
      <t>euro</t>
    </r>
    <r>
      <rPr>
        <sz val="12"/>
        <color theme="1"/>
        <rFont val="Times New Roman"/>
        <family val="1"/>
        <charset val="186"/>
      </rPr>
      <t xml:space="preserve"> * 10%) = 32,26 </t>
    </r>
    <r>
      <rPr>
        <i/>
        <sz val="12"/>
        <color theme="1"/>
        <rFont val="Times New Roman"/>
        <family val="1"/>
        <charset val="186"/>
      </rPr>
      <t>euro</t>
    </r>
    <r>
      <rPr>
        <sz val="12"/>
        <color theme="1"/>
        <rFont val="Times New Roman"/>
        <family val="1"/>
        <charset val="186"/>
      </rPr>
      <t xml:space="preserve">, Saimniecības pārzinis (407,07 </t>
    </r>
    <r>
      <rPr>
        <i/>
        <sz val="12"/>
        <color theme="1"/>
        <rFont val="Times New Roman"/>
        <family val="1"/>
        <charset val="186"/>
      </rPr>
      <t>euro</t>
    </r>
    <r>
      <rPr>
        <sz val="12"/>
        <color theme="1"/>
        <rFont val="Times New Roman"/>
        <family val="1"/>
        <charset val="186"/>
      </rPr>
      <t xml:space="preserve"> * 10%) = 40,71 </t>
    </r>
    <r>
      <rPr>
        <i/>
        <sz val="12"/>
        <color theme="1"/>
        <rFont val="Times New Roman"/>
        <family val="1"/>
        <charset val="186"/>
      </rPr>
      <t>euro</t>
    </r>
    <r>
      <rPr>
        <sz val="12"/>
        <color theme="1"/>
        <rFont val="Times New Roman"/>
        <family val="1"/>
        <charset val="186"/>
      </rPr>
      <t xml:space="preserve">, Istabene (381,22 </t>
    </r>
    <r>
      <rPr>
        <i/>
        <sz val="12"/>
        <color theme="1"/>
        <rFont val="Times New Roman"/>
        <family val="1"/>
        <charset val="186"/>
      </rPr>
      <t>euro</t>
    </r>
    <r>
      <rPr>
        <sz val="12"/>
        <color theme="1"/>
        <rFont val="Times New Roman"/>
        <family val="1"/>
        <charset val="186"/>
      </rPr>
      <t xml:space="preserve"> * 10%) = 38,12 </t>
    </r>
    <r>
      <rPr>
        <i/>
        <sz val="12"/>
        <color theme="1"/>
        <rFont val="Times New Roman"/>
        <family val="1"/>
        <charset val="186"/>
      </rPr>
      <t>euro</t>
    </r>
    <r>
      <rPr>
        <sz val="12"/>
        <color theme="1"/>
        <rFont val="Times New Roman"/>
        <family val="1"/>
        <charset val="186"/>
      </rPr>
      <t xml:space="preserve">, Apkopēja (342,98 </t>
    </r>
    <r>
      <rPr>
        <i/>
        <sz val="12"/>
        <color theme="1"/>
        <rFont val="Times New Roman"/>
        <family val="1"/>
        <charset val="186"/>
      </rPr>
      <t>euro</t>
    </r>
    <r>
      <rPr>
        <sz val="12"/>
        <color theme="1"/>
        <rFont val="Times New Roman"/>
        <family val="1"/>
        <charset val="186"/>
      </rPr>
      <t xml:space="preserve"> * 10%) = 34,30 </t>
    </r>
    <r>
      <rPr>
        <i/>
        <sz val="12"/>
        <color theme="1"/>
        <rFont val="Times New Roman"/>
        <family val="1"/>
        <charset val="186"/>
      </rPr>
      <t>euro</t>
    </r>
    <r>
      <rPr>
        <sz val="12"/>
        <color theme="1"/>
        <rFont val="Times New Roman"/>
        <family val="1"/>
        <charset val="186"/>
      </rPr>
      <t xml:space="preserve">, Sētnieks (183,62 </t>
    </r>
    <r>
      <rPr>
        <i/>
        <sz val="12"/>
        <color theme="1"/>
        <rFont val="Times New Roman"/>
        <family val="1"/>
        <charset val="186"/>
      </rPr>
      <t>euro</t>
    </r>
    <r>
      <rPr>
        <sz val="12"/>
        <color theme="1"/>
        <rFont val="Times New Roman"/>
        <family val="1"/>
        <charset val="186"/>
      </rPr>
      <t xml:space="preserve"> * 10%) = 18,36 </t>
    </r>
    <r>
      <rPr>
        <i/>
        <sz val="12"/>
        <color theme="1"/>
        <rFont val="Times New Roman"/>
        <family val="1"/>
        <charset val="186"/>
      </rPr>
      <t>euro</t>
    </r>
    <r>
      <rPr>
        <sz val="12"/>
        <color theme="1"/>
        <rFont val="Times New Roman"/>
        <family val="1"/>
        <charset val="186"/>
      </rPr>
      <t xml:space="preserve">. Kopā (32,26 </t>
    </r>
    <r>
      <rPr>
        <i/>
        <sz val="12"/>
        <color theme="1"/>
        <rFont val="Times New Roman"/>
        <family val="1"/>
        <charset val="186"/>
      </rPr>
      <t>euro</t>
    </r>
    <r>
      <rPr>
        <sz val="12"/>
        <color theme="1"/>
        <rFont val="Times New Roman"/>
        <family val="1"/>
        <charset val="186"/>
      </rPr>
      <t xml:space="preserve"> + 40,71 </t>
    </r>
    <r>
      <rPr>
        <i/>
        <sz val="12"/>
        <color theme="1"/>
        <rFont val="Times New Roman"/>
        <family val="1"/>
        <charset val="186"/>
      </rPr>
      <t>euro</t>
    </r>
    <r>
      <rPr>
        <sz val="12"/>
        <color theme="1"/>
        <rFont val="Times New Roman"/>
        <family val="1"/>
        <charset val="186"/>
      </rPr>
      <t xml:space="preserve"> + 38,12 </t>
    </r>
    <r>
      <rPr>
        <i/>
        <sz val="12"/>
        <color theme="1"/>
        <rFont val="Times New Roman"/>
        <family val="1"/>
        <charset val="186"/>
      </rPr>
      <t>euro</t>
    </r>
    <r>
      <rPr>
        <sz val="12"/>
        <color theme="1"/>
        <rFont val="Times New Roman"/>
        <family val="1"/>
        <charset val="186"/>
      </rPr>
      <t xml:space="preserve"> + 34,30 </t>
    </r>
    <r>
      <rPr>
        <i/>
        <sz val="12"/>
        <color theme="1"/>
        <rFont val="Times New Roman"/>
        <family val="1"/>
        <charset val="186"/>
      </rPr>
      <t>euro</t>
    </r>
    <r>
      <rPr>
        <sz val="12"/>
        <color theme="1"/>
        <rFont val="Times New Roman"/>
        <family val="1"/>
        <charset val="186"/>
      </rPr>
      <t xml:space="preserve"> + 18,36 </t>
    </r>
    <r>
      <rPr>
        <i/>
        <sz val="12"/>
        <color theme="1"/>
        <rFont val="Times New Roman"/>
        <family val="1"/>
        <charset val="186"/>
      </rPr>
      <t>euro</t>
    </r>
    <r>
      <rPr>
        <sz val="12"/>
        <color theme="1"/>
        <rFont val="Times New Roman"/>
        <family val="1"/>
        <charset val="186"/>
      </rPr>
      <t xml:space="preserve">) = 163,75 </t>
    </r>
    <r>
      <rPr>
        <i/>
        <sz val="12"/>
        <color theme="1"/>
        <rFont val="Times New Roman"/>
        <family val="1"/>
        <charset val="186"/>
      </rPr>
      <t>euro</t>
    </r>
    <r>
      <rPr>
        <sz val="12"/>
        <color theme="1"/>
        <rFont val="Times New Roman"/>
        <family val="1"/>
        <charset val="186"/>
      </rPr>
      <t>.</t>
    </r>
  </si>
  <si>
    <r>
      <t xml:space="preserve">Veselības apdrošināšana. Galv. nekust. īpaš. pārvaldnieks (58,08 </t>
    </r>
    <r>
      <rPr>
        <i/>
        <sz val="12"/>
        <color theme="1"/>
        <rFont val="Times New Roman"/>
        <family val="1"/>
        <charset val="186"/>
      </rPr>
      <t>euro</t>
    </r>
    <r>
      <rPr>
        <sz val="12"/>
        <color theme="1"/>
        <rFont val="Times New Roman"/>
        <family val="1"/>
        <charset val="186"/>
      </rPr>
      <t xml:space="preserve"> * 5%) = 2,90 </t>
    </r>
    <r>
      <rPr>
        <i/>
        <sz val="12"/>
        <color theme="1"/>
        <rFont val="Times New Roman"/>
        <family val="1"/>
        <charset val="186"/>
      </rPr>
      <t>euro</t>
    </r>
    <r>
      <rPr>
        <sz val="12"/>
        <color theme="1"/>
        <rFont val="Times New Roman"/>
        <family val="1"/>
        <charset val="186"/>
      </rPr>
      <t xml:space="preserve">, Dienesta viesnīcas vadīotājs (116,14 </t>
    </r>
    <r>
      <rPr>
        <i/>
        <sz val="12"/>
        <color theme="1"/>
        <rFont val="Times New Roman"/>
        <family val="1"/>
        <charset val="186"/>
      </rPr>
      <t>euro</t>
    </r>
    <r>
      <rPr>
        <sz val="12"/>
        <color theme="1"/>
        <rFont val="Times New Roman"/>
        <family val="1"/>
        <charset val="186"/>
      </rPr>
      <t xml:space="preserve"> * 5%) = 5,81 </t>
    </r>
    <r>
      <rPr>
        <i/>
        <sz val="12"/>
        <color theme="1"/>
        <rFont val="Times New Roman"/>
        <family val="1"/>
        <charset val="186"/>
      </rPr>
      <t>euro.</t>
    </r>
    <r>
      <rPr>
        <sz val="12"/>
        <color theme="1"/>
        <rFont val="Times New Roman"/>
        <family val="1"/>
        <charset val="186"/>
      </rPr>
      <t xml:space="preserve"> Saimniecības pārzinis (76,48 </t>
    </r>
    <r>
      <rPr>
        <i/>
        <sz val="12"/>
        <color theme="1"/>
        <rFont val="Times New Roman"/>
        <family val="1"/>
        <charset val="186"/>
      </rPr>
      <t>euro</t>
    </r>
    <r>
      <rPr>
        <sz val="12"/>
        <color theme="1"/>
        <rFont val="Times New Roman"/>
        <family val="1"/>
        <charset val="186"/>
      </rPr>
      <t xml:space="preserve"> * 5%) = 3,82 </t>
    </r>
    <r>
      <rPr>
        <i/>
        <sz val="12"/>
        <color theme="1"/>
        <rFont val="Times New Roman"/>
        <family val="1"/>
        <charset val="186"/>
      </rPr>
      <t>euro</t>
    </r>
    <r>
      <rPr>
        <sz val="12"/>
        <color theme="1"/>
        <rFont val="Times New Roman"/>
        <family val="1"/>
        <charset val="186"/>
      </rPr>
      <t xml:space="preserve">. Kopā (2,90 </t>
    </r>
    <r>
      <rPr>
        <i/>
        <sz val="12"/>
        <color theme="1"/>
        <rFont val="Times New Roman"/>
        <family val="1"/>
        <charset val="186"/>
      </rPr>
      <t>euro</t>
    </r>
    <r>
      <rPr>
        <sz val="12"/>
        <color theme="1"/>
        <rFont val="Times New Roman"/>
        <family val="1"/>
        <charset val="186"/>
      </rPr>
      <t xml:space="preserve"> + 5,81 </t>
    </r>
    <r>
      <rPr>
        <i/>
        <sz val="12"/>
        <color theme="1"/>
        <rFont val="Times New Roman"/>
        <family val="1"/>
        <charset val="186"/>
      </rPr>
      <t>euro</t>
    </r>
    <r>
      <rPr>
        <sz val="12"/>
        <color theme="1"/>
        <rFont val="Times New Roman"/>
        <family val="1"/>
        <charset val="186"/>
      </rPr>
      <t xml:space="preserve"> + 3,82  </t>
    </r>
    <r>
      <rPr>
        <i/>
        <sz val="12"/>
        <color theme="1"/>
        <rFont val="Times New Roman"/>
        <family val="1"/>
        <charset val="186"/>
      </rPr>
      <t>euro</t>
    </r>
    <r>
      <rPr>
        <sz val="12"/>
        <color theme="1"/>
        <rFont val="Times New Roman"/>
        <family val="1"/>
        <charset val="186"/>
      </rPr>
      <t xml:space="preserve">) = 12,53 </t>
    </r>
    <r>
      <rPr>
        <i/>
        <sz val="12"/>
        <color theme="1"/>
        <rFont val="Times New Roman"/>
        <family val="1"/>
        <charset val="186"/>
      </rPr>
      <t>euro</t>
    </r>
    <r>
      <rPr>
        <sz val="12"/>
        <color theme="1"/>
        <rFont val="Times New Roman"/>
        <family val="1"/>
        <charset val="186"/>
      </rPr>
      <t>.</t>
    </r>
  </si>
  <si>
    <r>
      <t xml:space="preserve">Izdevumi par atkritumu izvešanu 200,60 </t>
    </r>
    <r>
      <rPr>
        <i/>
        <sz val="12"/>
        <color theme="1"/>
        <rFont val="Times New Roman"/>
        <family val="1"/>
        <charset val="186"/>
      </rPr>
      <t>euro</t>
    </r>
    <r>
      <rPr>
        <sz val="12"/>
        <color theme="1"/>
        <rFont val="Times New Roman"/>
        <family val="1"/>
        <charset val="186"/>
      </rPr>
      <t xml:space="preserve"> gadā * 0.205 (iznomātās platības koeficients) = 41,12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</si>
  <si>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4.77 stundas, (8,22 </t>
    </r>
    <r>
      <rPr>
        <i/>
        <sz val="12"/>
        <color theme="1"/>
        <rFont val="Times New Roman"/>
        <family val="1"/>
        <charset val="186"/>
      </rPr>
      <t>euro</t>
    </r>
    <r>
      <rPr>
        <sz val="12"/>
        <color theme="1"/>
        <rFont val="Times New Roman"/>
        <family val="1"/>
        <charset val="186"/>
      </rPr>
      <t xml:space="preserve"> * 4.77 h) = 39,21 </t>
    </r>
    <r>
      <rPr>
        <i/>
        <sz val="12"/>
        <color theme="1"/>
        <rFont val="Times New Roman"/>
        <family val="1"/>
        <charset val="186"/>
      </rPr>
      <t>euro</t>
    </r>
    <r>
      <rPr>
        <sz val="12"/>
        <color theme="1"/>
        <rFont val="Times New Roman"/>
        <family val="1"/>
        <charset val="186"/>
      </rPr>
      <t xml:space="preserve">/mēn. * 12. mēn. = 470,52 </t>
    </r>
    <r>
      <rPr>
        <i/>
        <sz val="12"/>
        <color theme="1"/>
        <rFont val="Times New Roman"/>
        <family val="1"/>
        <charset val="186"/>
      </rPr>
      <t>euro</t>
    </r>
    <r>
      <rPr>
        <sz val="12"/>
        <color theme="1"/>
        <rFont val="Times New Roman"/>
        <family val="1"/>
        <charset val="186"/>
      </rPr>
      <t xml:space="preserve"> * 0.205 (iznomātās platības koeficients) = 96,46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</si>
  <si>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euro). Stundas tarifa likme 8,22 euro = 1 372 euro / 166.92 (vid. d. stundu sk. mēnesī). Vid. mēn. noslogojums  4.77 stundas, (8,22 euro * 4.77 h) = 39,21 euro/mēn. * 12. mēn. = 470,52 euro * 0.794 (iznomātās platības koeficients) = 373,59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</si>
  <si>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296,59 </t>
    </r>
    <r>
      <rPr>
        <i/>
        <sz val="12"/>
        <color theme="1"/>
        <rFont val="Times New Roman"/>
        <family val="1"/>
        <charset val="186"/>
      </rPr>
      <t>euro</t>
    </r>
    <r>
      <rPr>
        <sz val="12"/>
        <color theme="1"/>
        <rFont val="Times New Roman"/>
        <family val="1"/>
        <charset val="186"/>
      </rPr>
      <t xml:space="preserve"> * 23,59 % = 69,97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</si>
  <si>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3.34 stunda, (8,22 </t>
    </r>
    <r>
      <rPr>
        <i/>
        <sz val="12"/>
        <color theme="1"/>
        <rFont val="Times New Roman"/>
        <family val="1"/>
        <charset val="186"/>
      </rPr>
      <t>euro</t>
    </r>
    <r>
      <rPr>
        <sz val="12"/>
        <color theme="1"/>
        <rFont val="Times New Roman"/>
        <family val="1"/>
        <charset val="186"/>
      </rPr>
      <t xml:space="preserve"> * 3.34 h) = 27,45 </t>
    </r>
    <r>
      <rPr>
        <i/>
        <sz val="12"/>
        <color theme="1"/>
        <rFont val="Times New Roman"/>
        <family val="1"/>
        <charset val="186"/>
      </rPr>
      <t>euro</t>
    </r>
    <r>
      <rPr>
        <sz val="12"/>
        <color theme="1"/>
        <rFont val="Times New Roman"/>
        <family val="1"/>
        <charset val="186"/>
      </rPr>
      <t xml:space="preserve">/mēn. * 12. mēn. = 329,40 </t>
    </r>
    <r>
      <rPr>
        <i/>
        <sz val="12"/>
        <color theme="1"/>
        <rFont val="Times New Roman"/>
        <family val="1"/>
        <charset val="186"/>
      </rPr>
      <t>euro</t>
    </r>
    <r>
      <rPr>
        <sz val="12"/>
        <color theme="1"/>
        <rFont val="Times New Roman"/>
        <family val="1"/>
        <charset val="186"/>
      </rPr>
      <t xml:space="preserve"> * 0.794 (iznomātās platības koeficients) = 261,54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</si>
  <si>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7 min, (11,22 </t>
    </r>
    <r>
      <rPr>
        <i/>
        <sz val="12"/>
        <color theme="1"/>
        <rFont val="Times New Roman"/>
        <family val="1"/>
        <charset val="186"/>
      </rPr>
      <t>euro</t>
    </r>
    <r>
      <rPr>
        <sz val="12"/>
        <color theme="1"/>
        <rFont val="Times New Roman"/>
        <family val="1"/>
        <charset val="186"/>
      </rPr>
      <t xml:space="preserve"> * 0.11 h) = 1,12 </t>
    </r>
    <r>
      <rPr>
        <i/>
        <sz val="12"/>
        <color theme="1"/>
        <rFont val="Times New Roman"/>
        <family val="1"/>
        <charset val="186"/>
      </rPr>
      <t>euro</t>
    </r>
    <r>
      <rPr>
        <sz val="12"/>
        <color theme="1"/>
        <rFont val="Times New Roman"/>
        <family val="1"/>
        <charset val="186"/>
      </rPr>
      <t xml:space="preserve">/mēn. * 12. mēn. = 13,44 </t>
    </r>
    <r>
      <rPr>
        <i/>
        <sz val="12"/>
        <color theme="1"/>
        <rFont val="Times New Roman"/>
        <family val="1"/>
        <charset val="186"/>
      </rPr>
      <t>euro</t>
    </r>
    <r>
      <rPr>
        <sz val="12"/>
        <color theme="1"/>
        <rFont val="Times New Roman"/>
        <family val="1"/>
        <charset val="186"/>
      </rPr>
      <t xml:space="preserve"> * 0.794 (iznomātās platības koeficients) = 10,67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</si>
  <si>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1 146,78 </t>
    </r>
    <r>
      <rPr>
        <i/>
        <sz val="12"/>
        <color theme="1"/>
        <rFont val="Times New Roman"/>
        <family val="1"/>
        <charset val="186"/>
      </rPr>
      <t>euro</t>
    </r>
    <r>
      <rPr>
        <sz val="12"/>
        <color theme="1"/>
        <rFont val="Times New Roman"/>
        <family val="1"/>
        <charset val="186"/>
      </rPr>
      <t xml:space="preserve"> * 23,59 % = 270,53 </t>
    </r>
    <r>
      <rPr>
        <i/>
        <sz val="12"/>
        <color theme="1"/>
        <rFont val="Times New Roman"/>
        <family val="1"/>
        <charset val="186"/>
      </rPr>
      <t>euro.</t>
    </r>
  </si>
  <si>
    <r>
      <t xml:space="preserve">Galv. nekust. īpaš. pārvaldnieks (474,34 </t>
    </r>
    <r>
      <rPr>
        <i/>
        <sz val="12"/>
        <color theme="1"/>
        <rFont val="Times New Roman"/>
        <family val="1"/>
        <charset val="186"/>
      </rPr>
      <t>euro</t>
    </r>
    <r>
      <rPr>
        <sz val="12"/>
        <color theme="1"/>
        <rFont val="Times New Roman"/>
        <family val="1"/>
        <charset val="186"/>
      </rPr>
      <t xml:space="preserve"> * 10%) = 47,43 </t>
    </r>
    <r>
      <rPr>
        <i/>
        <sz val="12"/>
        <color theme="1"/>
        <rFont val="Times New Roman"/>
        <family val="1"/>
        <charset val="186"/>
      </rPr>
      <t>euro</t>
    </r>
    <r>
      <rPr>
        <sz val="12"/>
        <color theme="1"/>
        <rFont val="Times New Roman"/>
        <family val="1"/>
        <charset val="186"/>
      </rPr>
      <t xml:space="preserve">, Saimniecības pārzinis (598,45 </t>
    </r>
    <r>
      <rPr>
        <i/>
        <sz val="12"/>
        <color theme="1"/>
        <rFont val="Times New Roman"/>
        <family val="1"/>
        <charset val="186"/>
      </rPr>
      <t>euro</t>
    </r>
    <r>
      <rPr>
        <sz val="12"/>
        <color theme="1"/>
        <rFont val="Times New Roman"/>
        <family val="1"/>
        <charset val="186"/>
      </rPr>
      <t xml:space="preserve"> * 10%) = 59,85 </t>
    </r>
    <r>
      <rPr>
        <i/>
        <sz val="12"/>
        <color theme="1"/>
        <rFont val="Times New Roman"/>
        <family val="1"/>
        <charset val="186"/>
      </rPr>
      <t>euro</t>
    </r>
    <r>
      <rPr>
        <sz val="12"/>
        <color theme="1"/>
        <rFont val="Times New Roman"/>
        <family val="1"/>
        <charset val="186"/>
      </rPr>
      <t xml:space="preserve">, Istabene (560,46 </t>
    </r>
    <r>
      <rPr>
        <i/>
        <sz val="12"/>
        <color theme="1"/>
        <rFont val="Times New Roman"/>
        <family val="1"/>
        <charset val="186"/>
      </rPr>
      <t>euro</t>
    </r>
    <r>
      <rPr>
        <sz val="12"/>
        <color theme="1"/>
        <rFont val="Times New Roman"/>
        <family val="1"/>
        <charset val="186"/>
      </rPr>
      <t xml:space="preserve"> * 10%) = 56,05 </t>
    </r>
    <r>
      <rPr>
        <i/>
        <sz val="12"/>
        <color theme="1"/>
        <rFont val="Times New Roman"/>
        <family val="1"/>
        <charset val="186"/>
      </rPr>
      <t>euro</t>
    </r>
    <r>
      <rPr>
        <sz val="12"/>
        <color theme="1"/>
        <rFont val="Times New Roman"/>
        <family val="1"/>
        <charset val="186"/>
      </rPr>
      <t xml:space="preserve">, Apkopēja (504,24 </t>
    </r>
    <r>
      <rPr>
        <i/>
        <sz val="12"/>
        <color theme="1"/>
        <rFont val="Times New Roman"/>
        <family val="1"/>
        <charset val="186"/>
      </rPr>
      <t>euro</t>
    </r>
    <r>
      <rPr>
        <sz val="12"/>
        <color theme="1"/>
        <rFont val="Times New Roman"/>
        <family val="1"/>
        <charset val="186"/>
      </rPr>
      <t xml:space="preserve"> * 10%) = 50,42 </t>
    </r>
    <r>
      <rPr>
        <i/>
        <sz val="12"/>
        <color theme="1"/>
        <rFont val="Times New Roman"/>
        <family val="1"/>
        <charset val="186"/>
      </rPr>
      <t>euro</t>
    </r>
    <r>
      <rPr>
        <sz val="12"/>
        <color theme="1"/>
        <rFont val="Times New Roman"/>
        <family val="1"/>
        <charset val="186"/>
      </rPr>
      <t xml:space="preserve">, Sētnieks (269,95 </t>
    </r>
    <r>
      <rPr>
        <i/>
        <sz val="12"/>
        <color theme="1"/>
        <rFont val="Times New Roman"/>
        <family val="1"/>
        <charset val="186"/>
      </rPr>
      <t>euro</t>
    </r>
    <r>
      <rPr>
        <sz val="12"/>
        <color theme="1"/>
        <rFont val="Times New Roman"/>
        <family val="1"/>
        <charset val="186"/>
      </rPr>
      <t xml:space="preserve"> * 10%) = 27,00 </t>
    </r>
    <r>
      <rPr>
        <i/>
        <sz val="12"/>
        <color theme="1"/>
        <rFont val="Times New Roman"/>
        <family val="1"/>
        <charset val="186"/>
      </rPr>
      <t>euro</t>
    </r>
    <r>
      <rPr>
        <sz val="12"/>
        <color theme="1"/>
        <rFont val="Times New Roman"/>
        <family val="1"/>
        <charset val="186"/>
      </rPr>
      <t xml:space="preserve">. Kopā (47,43 </t>
    </r>
    <r>
      <rPr>
        <i/>
        <sz val="12"/>
        <color theme="1"/>
        <rFont val="Times New Roman"/>
        <family val="1"/>
        <charset val="186"/>
      </rPr>
      <t>euro</t>
    </r>
    <r>
      <rPr>
        <sz val="12"/>
        <color theme="1"/>
        <rFont val="Times New Roman"/>
        <family val="1"/>
        <charset val="186"/>
      </rPr>
      <t xml:space="preserve"> + 59,85 </t>
    </r>
    <r>
      <rPr>
        <i/>
        <sz val="12"/>
        <color theme="1"/>
        <rFont val="Times New Roman"/>
        <family val="1"/>
        <charset val="186"/>
      </rPr>
      <t>euro</t>
    </r>
    <r>
      <rPr>
        <sz val="12"/>
        <color theme="1"/>
        <rFont val="Times New Roman"/>
        <family val="1"/>
        <charset val="186"/>
      </rPr>
      <t xml:space="preserve"> + 56,05 </t>
    </r>
    <r>
      <rPr>
        <i/>
        <sz val="12"/>
        <color theme="1"/>
        <rFont val="Times New Roman"/>
        <family val="1"/>
        <charset val="186"/>
      </rPr>
      <t>euro</t>
    </r>
    <r>
      <rPr>
        <sz val="12"/>
        <color theme="1"/>
        <rFont val="Times New Roman"/>
        <family val="1"/>
        <charset val="186"/>
      </rPr>
      <t xml:space="preserve"> + 50,42 </t>
    </r>
    <r>
      <rPr>
        <i/>
        <sz val="12"/>
        <color theme="1"/>
        <rFont val="Times New Roman"/>
        <family val="1"/>
        <charset val="186"/>
      </rPr>
      <t>euro</t>
    </r>
    <r>
      <rPr>
        <sz val="12"/>
        <color theme="1"/>
        <rFont val="Times New Roman"/>
        <family val="1"/>
        <charset val="186"/>
      </rPr>
      <t xml:space="preserve"> + 27,00 </t>
    </r>
    <r>
      <rPr>
        <i/>
        <sz val="12"/>
        <color theme="1"/>
        <rFont val="Times New Roman"/>
        <family val="1"/>
        <charset val="186"/>
      </rPr>
      <t>euro</t>
    </r>
    <r>
      <rPr>
        <sz val="12"/>
        <color theme="1"/>
        <rFont val="Times New Roman"/>
        <family val="1"/>
        <charset val="186"/>
      </rPr>
      <t xml:space="preserve">) = 240,75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</si>
  <si>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(2 648,19 </t>
    </r>
    <r>
      <rPr>
        <i/>
        <sz val="12"/>
        <color theme="1"/>
        <rFont val="Times New Roman"/>
        <family val="1"/>
        <charset val="186"/>
      </rPr>
      <t>euro</t>
    </r>
    <r>
      <rPr>
        <sz val="12"/>
        <color theme="1"/>
        <rFont val="Times New Roman"/>
        <family val="1"/>
        <charset val="186"/>
      </rPr>
      <t xml:space="preserve"> * 23,59 %) = 624,71 </t>
    </r>
    <r>
      <rPr>
        <i/>
        <sz val="12"/>
        <color theme="1"/>
        <rFont val="Times New Roman"/>
        <family val="1"/>
        <charset val="186"/>
      </rPr>
      <t xml:space="preserve">euro. </t>
    </r>
  </si>
  <si>
    <r>
      <t xml:space="preserve">Veselības apdrošināšana, Galv. nekust. īpaš. pārvaldnieks (474,34 </t>
    </r>
    <r>
      <rPr>
        <i/>
        <sz val="12"/>
        <color theme="1"/>
        <rFont val="Times New Roman"/>
        <family val="1"/>
        <charset val="186"/>
      </rPr>
      <t>euro</t>
    </r>
    <r>
      <rPr>
        <sz val="12"/>
        <color theme="1"/>
        <rFont val="Times New Roman"/>
        <family val="1"/>
        <charset val="186"/>
      </rPr>
      <t xml:space="preserve"> * 5%) = 23,72 </t>
    </r>
    <r>
      <rPr>
        <i/>
        <sz val="12"/>
        <color theme="1"/>
        <rFont val="Times New Roman"/>
        <family val="1"/>
        <charset val="186"/>
      </rPr>
      <t>euro</t>
    </r>
    <r>
      <rPr>
        <sz val="12"/>
        <color theme="1"/>
        <rFont val="Times New Roman"/>
        <family val="1"/>
        <charset val="186"/>
      </rPr>
      <t xml:space="preserve">, Saimniecības pārzinis (598,45 </t>
    </r>
    <r>
      <rPr>
        <i/>
        <sz val="12"/>
        <color theme="1"/>
        <rFont val="Times New Roman"/>
        <family val="1"/>
        <charset val="186"/>
      </rPr>
      <t>euro</t>
    </r>
    <r>
      <rPr>
        <sz val="12"/>
        <color theme="1"/>
        <rFont val="Times New Roman"/>
        <family val="1"/>
        <charset val="186"/>
      </rPr>
      <t xml:space="preserve"> * 5%) = 29,92 </t>
    </r>
    <r>
      <rPr>
        <i/>
        <sz val="12"/>
        <color theme="1"/>
        <rFont val="Times New Roman"/>
        <family val="1"/>
        <charset val="186"/>
      </rPr>
      <t>euro</t>
    </r>
    <r>
      <rPr>
        <sz val="12"/>
        <color theme="1"/>
        <rFont val="Times New Roman"/>
        <family val="1"/>
        <charset val="186"/>
      </rPr>
      <t xml:space="preserve">, Istabene (560,46 </t>
    </r>
    <r>
      <rPr>
        <i/>
        <sz val="12"/>
        <color theme="1"/>
        <rFont val="Times New Roman"/>
        <family val="1"/>
        <charset val="186"/>
      </rPr>
      <t>euro</t>
    </r>
    <r>
      <rPr>
        <sz val="12"/>
        <color theme="1"/>
        <rFont val="Times New Roman"/>
        <family val="1"/>
        <charset val="186"/>
      </rPr>
      <t xml:space="preserve"> * 5%) = 28,02 </t>
    </r>
    <r>
      <rPr>
        <i/>
        <sz val="12"/>
        <color theme="1"/>
        <rFont val="Times New Roman"/>
        <family val="1"/>
        <charset val="186"/>
      </rPr>
      <t>euro</t>
    </r>
    <r>
      <rPr>
        <sz val="12"/>
        <color theme="1"/>
        <rFont val="Times New Roman"/>
        <family val="1"/>
        <charset val="186"/>
      </rPr>
      <t xml:space="preserve">, Apkopēja (504,24 </t>
    </r>
    <r>
      <rPr>
        <i/>
        <sz val="12"/>
        <color theme="1"/>
        <rFont val="Times New Roman"/>
        <family val="1"/>
        <charset val="186"/>
      </rPr>
      <t>euro</t>
    </r>
    <r>
      <rPr>
        <sz val="12"/>
        <color theme="1"/>
        <rFont val="Times New Roman"/>
        <family val="1"/>
        <charset val="186"/>
      </rPr>
      <t xml:space="preserve"> * 5%) = 25,21 </t>
    </r>
    <r>
      <rPr>
        <i/>
        <sz val="12"/>
        <color theme="1"/>
        <rFont val="Times New Roman"/>
        <family val="1"/>
        <charset val="186"/>
      </rPr>
      <t>euro</t>
    </r>
    <r>
      <rPr>
        <sz val="12"/>
        <color theme="1"/>
        <rFont val="Times New Roman"/>
        <family val="1"/>
        <charset val="186"/>
      </rPr>
      <t xml:space="preserve">, Sētnieks (269,95 </t>
    </r>
    <r>
      <rPr>
        <i/>
        <sz val="12"/>
        <color theme="1"/>
        <rFont val="Times New Roman"/>
        <family val="1"/>
        <charset val="186"/>
      </rPr>
      <t>euro</t>
    </r>
    <r>
      <rPr>
        <sz val="12"/>
        <color theme="1"/>
        <rFont val="Times New Roman"/>
        <family val="1"/>
        <charset val="186"/>
      </rPr>
      <t xml:space="preserve"> * 5%) = 13,50 euro. Kopā (23,72 </t>
    </r>
    <r>
      <rPr>
        <i/>
        <sz val="12"/>
        <color theme="1"/>
        <rFont val="Times New Roman"/>
        <family val="1"/>
        <charset val="186"/>
      </rPr>
      <t>euro</t>
    </r>
    <r>
      <rPr>
        <sz val="12"/>
        <color theme="1"/>
        <rFont val="Times New Roman"/>
        <family val="1"/>
        <charset val="186"/>
      </rPr>
      <t xml:space="preserve"> + 29,92 </t>
    </r>
    <r>
      <rPr>
        <i/>
        <sz val="12"/>
        <color theme="1"/>
        <rFont val="Times New Roman"/>
        <family val="1"/>
        <charset val="186"/>
      </rPr>
      <t>euro</t>
    </r>
    <r>
      <rPr>
        <sz val="12"/>
        <color theme="1"/>
        <rFont val="Times New Roman"/>
        <family val="1"/>
        <charset val="186"/>
      </rPr>
      <t xml:space="preserve"> + 28,02 </t>
    </r>
    <r>
      <rPr>
        <i/>
        <sz val="12"/>
        <color theme="1"/>
        <rFont val="Times New Roman"/>
        <family val="1"/>
        <charset val="186"/>
      </rPr>
      <t>euro</t>
    </r>
    <r>
      <rPr>
        <sz val="12"/>
        <color theme="1"/>
        <rFont val="Times New Roman"/>
        <family val="1"/>
        <charset val="186"/>
      </rPr>
      <t xml:space="preserve"> + 25,21 </t>
    </r>
    <r>
      <rPr>
        <i/>
        <sz val="12"/>
        <color theme="1"/>
        <rFont val="Times New Roman"/>
        <family val="1"/>
        <charset val="186"/>
      </rPr>
      <t>euro</t>
    </r>
    <r>
      <rPr>
        <sz val="12"/>
        <color theme="1"/>
        <rFont val="Times New Roman"/>
        <family val="1"/>
        <charset val="186"/>
      </rPr>
      <t xml:space="preserve"> + 13,50 </t>
    </r>
    <r>
      <rPr>
        <i/>
        <sz val="12"/>
        <color theme="1"/>
        <rFont val="Times New Roman"/>
        <family val="1"/>
        <charset val="186"/>
      </rPr>
      <t>euro</t>
    </r>
    <r>
      <rPr>
        <sz val="12"/>
        <color theme="1"/>
        <rFont val="Times New Roman"/>
        <family val="1"/>
        <charset val="186"/>
      </rPr>
      <t xml:space="preserve">) = 120,37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</si>
  <si>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624,71 </t>
    </r>
    <r>
      <rPr>
        <i/>
        <sz val="12"/>
        <color theme="1"/>
        <rFont val="Times New Roman"/>
        <family val="1"/>
        <charset val="186"/>
      </rPr>
      <t>euro</t>
    </r>
    <r>
      <rPr>
        <sz val="12"/>
        <color theme="1"/>
        <rFont val="Times New Roman"/>
        <family val="1"/>
        <charset val="186"/>
      </rPr>
      <t xml:space="preserve">. Veselības apdrošināšana 120,37 </t>
    </r>
    <r>
      <rPr>
        <i/>
        <sz val="12"/>
        <color theme="1"/>
        <rFont val="Times New Roman"/>
        <family val="1"/>
        <charset val="186"/>
      </rPr>
      <t>euro</t>
    </r>
    <r>
      <rPr>
        <sz val="12"/>
        <color theme="1"/>
        <rFont val="Times New Roman"/>
        <family val="1"/>
        <charset val="186"/>
      </rPr>
      <t xml:space="preserve">. Kopā 745,08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</si>
  <si>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1.2 stundas, (11,22 </t>
    </r>
    <r>
      <rPr>
        <i/>
        <sz val="12"/>
        <color theme="1"/>
        <rFont val="Times New Roman"/>
        <family val="1"/>
        <charset val="186"/>
      </rPr>
      <t>euro</t>
    </r>
    <r>
      <rPr>
        <sz val="12"/>
        <color theme="1"/>
        <rFont val="Times New Roman"/>
        <family val="1"/>
        <charset val="186"/>
      </rPr>
      <t xml:space="preserve"> * 1.2 h) = 13,46 euro/mēn. * 12. mēn. = 149,04 </t>
    </r>
    <r>
      <rPr>
        <i/>
        <sz val="12"/>
        <color theme="1"/>
        <rFont val="Times New Roman"/>
        <family val="1"/>
        <charset val="186"/>
      </rPr>
      <t>euro</t>
    </r>
    <r>
      <rPr>
        <sz val="12"/>
        <color theme="1"/>
        <rFont val="Times New Roman"/>
        <family val="1"/>
        <charset val="186"/>
      </rPr>
      <t xml:space="preserve"> * 0.0813 (iznomātās platības koeficients) = 13,13 </t>
    </r>
    <r>
      <rPr>
        <i/>
        <sz val="12"/>
        <color theme="1"/>
        <rFont val="Times New Roman"/>
        <family val="1"/>
        <charset val="186"/>
      </rPr>
      <t>euro.</t>
    </r>
  </si>
  <si>
    <r>
      <t xml:space="preserve">Darba devēja valsts sociālās apdrošināšanas obligātās iemaksas 5,37 </t>
    </r>
    <r>
      <rPr>
        <i/>
        <sz val="12"/>
        <color theme="1"/>
        <rFont val="Times New Roman"/>
        <family val="1"/>
        <charset val="186"/>
      </rPr>
      <t>euro</t>
    </r>
    <r>
      <rPr>
        <sz val="12"/>
        <color theme="1"/>
        <rFont val="Times New Roman"/>
        <family val="1"/>
        <charset val="186"/>
      </rPr>
      <t xml:space="preserve">. Veselības apdrošināšana 4,88 </t>
    </r>
    <r>
      <rPr>
        <i/>
        <sz val="12"/>
        <color theme="1"/>
        <rFont val="Times New Roman"/>
        <family val="1"/>
        <charset val="186"/>
      </rPr>
      <t>euro</t>
    </r>
    <r>
      <rPr>
        <sz val="12"/>
        <color theme="1"/>
        <rFont val="Times New Roman"/>
        <family val="1"/>
        <charset val="186"/>
      </rPr>
      <t xml:space="preserve">. Kopā 10,26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</si>
  <si>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12 min., (7,58 </t>
    </r>
    <r>
      <rPr>
        <i/>
        <sz val="12"/>
        <color theme="1"/>
        <rFont val="Times New Roman"/>
        <family val="1"/>
        <charset val="186"/>
      </rPr>
      <t>euro</t>
    </r>
    <r>
      <rPr>
        <sz val="12"/>
        <color theme="1"/>
        <rFont val="Times New Roman"/>
        <family val="1"/>
        <charset val="186"/>
      </rPr>
      <t xml:space="preserve"> * 0.025 h) = 0,19 </t>
    </r>
    <r>
      <rPr>
        <i/>
        <sz val="12"/>
        <color theme="1"/>
        <rFont val="Times New Roman"/>
        <family val="1"/>
        <charset val="186"/>
      </rPr>
      <t>euro</t>
    </r>
    <r>
      <rPr>
        <sz val="12"/>
        <color theme="1"/>
        <rFont val="Times New Roman"/>
        <family val="1"/>
        <charset val="186"/>
      </rPr>
      <t xml:space="preserve">/mēn. * 12. mēn. = 2,28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</si>
  <si>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723,84 </t>
    </r>
    <r>
      <rPr>
        <i/>
        <sz val="12"/>
        <color theme="1"/>
        <rFont val="Times New Roman"/>
        <family val="1"/>
        <charset val="186"/>
      </rPr>
      <t>euro</t>
    </r>
    <r>
      <rPr>
        <sz val="12"/>
        <color theme="1"/>
        <rFont val="Times New Roman"/>
        <family val="1"/>
        <charset val="186"/>
      </rPr>
      <t xml:space="preserve"> * 23,59 % = 170,75 </t>
    </r>
    <r>
      <rPr>
        <i/>
        <sz val="12"/>
        <color theme="1"/>
        <rFont val="Times New Roman"/>
        <family val="1"/>
        <charset val="186"/>
      </rPr>
      <t>euro</t>
    </r>
    <r>
      <rPr>
        <sz val="12"/>
        <color theme="1"/>
        <rFont val="Times New Roman"/>
        <family val="1"/>
        <charset val="186"/>
      </rPr>
      <t>.</t>
    </r>
  </si>
  <si>
    <r>
      <t xml:space="preserve">Veselības apdrošināšana, Galv. nekust. īpaš. pārvaldnieks (124,77 </t>
    </r>
    <r>
      <rPr>
        <i/>
        <sz val="12"/>
        <color theme="1"/>
        <rFont val="Times New Roman"/>
        <family val="1"/>
        <charset val="186"/>
      </rPr>
      <t>euro</t>
    </r>
    <r>
      <rPr>
        <sz val="12"/>
        <color theme="1"/>
        <rFont val="Times New Roman"/>
        <family val="1"/>
        <charset val="186"/>
      </rPr>
      <t xml:space="preserve"> * 5%) = 6,24 </t>
    </r>
    <r>
      <rPr>
        <i/>
        <sz val="12"/>
        <color theme="1"/>
        <rFont val="Times New Roman"/>
        <family val="1"/>
        <charset val="186"/>
      </rPr>
      <t>euro</t>
    </r>
    <r>
      <rPr>
        <sz val="12"/>
        <color theme="1"/>
        <rFont val="Times New Roman"/>
        <family val="1"/>
        <charset val="186"/>
      </rPr>
      <t xml:space="preserve">, Administrators (3 334,46 </t>
    </r>
    <r>
      <rPr>
        <i/>
        <sz val="12"/>
        <color theme="1"/>
        <rFont val="Times New Roman"/>
        <family val="1"/>
        <charset val="186"/>
      </rPr>
      <t>euro</t>
    </r>
    <r>
      <rPr>
        <sz val="12"/>
        <color theme="1"/>
        <rFont val="Times New Roman"/>
        <family val="1"/>
        <charset val="186"/>
      </rPr>
      <t xml:space="preserve"> * 5%) = 166,72 </t>
    </r>
    <r>
      <rPr>
        <i/>
        <sz val="12"/>
        <color theme="1"/>
        <rFont val="Times New Roman"/>
        <family val="1"/>
        <charset val="186"/>
      </rPr>
      <t>euro</t>
    </r>
    <r>
      <rPr>
        <sz val="12"/>
        <color theme="1"/>
        <rFont val="Times New Roman"/>
        <family val="1"/>
        <charset val="186"/>
      </rPr>
      <t xml:space="preserve">. Kopā (6,24 </t>
    </r>
    <r>
      <rPr>
        <i/>
        <sz val="12"/>
        <color theme="1"/>
        <rFont val="Times New Roman"/>
        <family val="1"/>
        <charset val="186"/>
      </rPr>
      <t>euro</t>
    </r>
    <r>
      <rPr>
        <sz val="12"/>
        <color theme="1"/>
        <rFont val="Times New Roman"/>
        <family val="1"/>
        <charset val="186"/>
      </rPr>
      <t xml:space="preserve"> + 166,72 </t>
    </r>
    <r>
      <rPr>
        <i/>
        <sz val="12"/>
        <color theme="1"/>
        <rFont val="Times New Roman"/>
        <family val="1"/>
        <charset val="186"/>
      </rPr>
      <t>euro</t>
    </r>
    <r>
      <rPr>
        <sz val="12"/>
        <color theme="1"/>
        <rFont val="Times New Roman"/>
        <family val="1"/>
        <charset val="186"/>
      </rPr>
      <t xml:space="preserve">) = 172,96 </t>
    </r>
    <r>
      <rPr>
        <i/>
        <sz val="12"/>
        <color theme="1"/>
        <rFont val="Times New Roman"/>
        <family val="1"/>
        <charset val="186"/>
      </rPr>
      <t>euro</t>
    </r>
    <r>
      <rPr>
        <sz val="12"/>
        <color theme="1"/>
        <rFont val="Times New Roman"/>
        <family val="1"/>
        <charset val="186"/>
      </rPr>
      <t>.</t>
    </r>
  </si>
  <si>
    <r>
      <t xml:space="preserve">Administrators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83.46 stundas, (5,37 </t>
    </r>
    <r>
      <rPr>
        <i/>
        <sz val="12"/>
        <color theme="1"/>
        <rFont val="Times New Roman"/>
        <family val="1"/>
        <charset val="186"/>
      </rPr>
      <t>euro</t>
    </r>
    <r>
      <rPr>
        <sz val="12"/>
        <color theme="1"/>
        <rFont val="Times New Roman"/>
        <family val="1"/>
        <charset val="186"/>
      </rPr>
      <t xml:space="preserve"> * 83.46 h) = 448,18 </t>
    </r>
    <r>
      <rPr>
        <i/>
        <sz val="12"/>
        <color theme="1"/>
        <rFont val="Times New Roman"/>
        <family val="1"/>
        <charset val="186"/>
      </rPr>
      <t>euro</t>
    </r>
    <r>
      <rPr>
        <sz val="12"/>
        <color theme="1"/>
        <rFont val="Times New Roman"/>
        <family val="1"/>
        <charset val="186"/>
      </rPr>
      <t xml:space="preserve">/mēn. * 12. mēn. = 5 378,16 </t>
    </r>
    <r>
      <rPr>
        <i/>
        <sz val="12"/>
        <color theme="1"/>
        <rFont val="Times New Roman"/>
        <family val="1"/>
        <charset val="186"/>
      </rPr>
      <t>euro</t>
    </r>
    <r>
      <rPr>
        <sz val="12"/>
        <color theme="1"/>
        <rFont val="Times New Roman"/>
        <family val="1"/>
        <charset val="186"/>
      </rPr>
      <t xml:space="preserve"> * 0.017 (pakalpojuma īpatsvars kopējos ēkā sniegtajos pakalpojumos) = 91,43 </t>
    </r>
    <r>
      <rPr>
        <i/>
        <sz val="12"/>
        <color theme="1"/>
        <rFont val="Times New Roman"/>
        <family val="1"/>
        <charset val="186"/>
      </rPr>
      <t>euro</t>
    </r>
    <r>
      <rPr>
        <sz val="12"/>
        <color theme="1"/>
        <rFont val="Times New Roman"/>
        <family val="1"/>
        <charset val="186"/>
      </rPr>
      <t xml:space="preserve">. </t>
    </r>
  </si>
  <si>
    <r>
      <t xml:space="preserve">Administrators (3. saime, I līmenis, 5. algu grupa, mēnešalga 897 euro).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83.46 stundas, (5,37 </t>
    </r>
    <r>
      <rPr>
        <i/>
        <sz val="12"/>
        <color theme="1"/>
        <rFont val="Times New Roman"/>
        <family val="1"/>
        <charset val="186"/>
      </rPr>
      <t>euro</t>
    </r>
    <r>
      <rPr>
        <sz val="12"/>
        <color theme="1"/>
        <rFont val="Times New Roman"/>
        <family val="1"/>
        <charset val="186"/>
      </rPr>
      <t xml:space="preserve"> * 83.46 h) = 448,18 </t>
    </r>
    <r>
      <rPr>
        <i/>
        <sz val="12"/>
        <color theme="1"/>
        <rFont val="Times New Roman"/>
        <family val="1"/>
        <charset val="186"/>
      </rPr>
      <t>euro</t>
    </r>
    <r>
      <rPr>
        <sz val="12"/>
        <color theme="1"/>
        <rFont val="Times New Roman"/>
        <family val="1"/>
        <charset val="186"/>
      </rPr>
      <t xml:space="preserve">/mēn. * 12. mēn. = 5 378,16 </t>
    </r>
    <r>
      <rPr>
        <i/>
        <sz val="12"/>
        <color theme="1"/>
        <rFont val="Times New Roman"/>
        <family val="1"/>
        <charset val="186"/>
      </rPr>
      <t>euro</t>
    </r>
    <r>
      <rPr>
        <sz val="12"/>
        <color theme="1"/>
        <rFont val="Times New Roman"/>
        <family val="1"/>
        <charset val="186"/>
      </rPr>
      <t xml:space="preserve"> * 0.62 (pakalpojuma īpatsvars kopējos ēkā sniegtajos maksas pakalpojumos) = 3 334,46 </t>
    </r>
    <r>
      <rPr>
        <i/>
        <sz val="12"/>
        <color theme="1"/>
        <rFont val="Times New Roman"/>
        <family val="1"/>
        <charset val="186"/>
      </rPr>
      <t>euro</t>
    </r>
    <r>
      <rPr>
        <sz val="12"/>
        <color theme="1"/>
        <rFont val="Times New Roman"/>
        <family val="1"/>
        <charset val="186"/>
      </rPr>
      <t xml:space="preserve">. </t>
    </r>
  </si>
  <si>
    <r>
      <t xml:space="preserve">1 m3 ūdens maksā 2,52 </t>
    </r>
    <r>
      <rPr>
        <i/>
        <sz val="12"/>
        <color theme="1"/>
        <rFont val="Times New Roman"/>
        <family val="1"/>
        <charset val="186"/>
      </rPr>
      <t>euro</t>
    </r>
    <r>
      <rPr>
        <sz val="12"/>
        <color theme="1"/>
        <rFont val="Times New Roman"/>
        <family val="1"/>
        <charset val="186"/>
      </rPr>
      <t xml:space="preserve">. Vienā reizē (stundā) grupa no 16 līdz 30 cilvēkiem izlieto vidēji 0,90 m3 ūdens, (2,52 </t>
    </r>
    <r>
      <rPr>
        <i/>
        <sz val="12"/>
        <color theme="1"/>
        <rFont val="Times New Roman"/>
        <family val="1"/>
        <charset val="186"/>
      </rPr>
      <t>euro</t>
    </r>
    <r>
      <rPr>
        <sz val="12"/>
        <color theme="1"/>
        <rFont val="Times New Roman"/>
        <family val="1"/>
        <charset val="186"/>
      </rPr>
      <t xml:space="preserve"> x 0,90 m3  = 2,27 </t>
    </r>
    <r>
      <rPr>
        <i/>
        <sz val="12"/>
        <color theme="1"/>
        <rFont val="Times New Roman"/>
        <family val="1"/>
        <charset val="186"/>
      </rPr>
      <t>euro</t>
    </r>
    <r>
      <rPr>
        <sz val="12"/>
        <color theme="1"/>
        <rFont val="Times New Roman"/>
        <family val="1"/>
        <charset val="186"/>
      </rPr>
      <t xml:space="preserve">/h x 153 h = 347,31 </t>
    </r>
    <r>
      <rPr>
        <i/>
        <sz val="12"/>
        <color theme="1"/>
        <rFont val="Times New Roman"/>
        <family val="1"/>
        <charset val="186"/>
      </rPr>
      <t>euro</t>
    </r>
    <r>
      <rPr>
        <sz val="12"/>
        <color theme="1"/>
        <rFont val="Times New Roman"/>
        <family val="1"/>
        <charset val="186"/>
      </rPr>
      <t xml:space="preserve">) par 153 stundām tiek izlietoti 347,31 </t>
    </r>
    <r>
      <rPr>
        <i/>
        <sz val="12"/>
        <color theme="1"/>
        <rFont val="Times New Roman"/>
        <family val="1"/>
        <charset val="186"/>
      </rPr>
      <t>euro</t>
    </r>
    <r>
      <rPr>
        <sz val="12"/>
        <color theme="1"/>
        <rFont val="Times New Roman"/>
        <family val="1"/>
        <charset val="186"/>
      </rPr>
      <t xml:space="preserve">. </t>
    </r>
  </si>
  <si>
    <r>
      <t xml:space="preserve">Darba devēja valsts sociālās apdrošināšanas obligātās iemaksas (2 595,29 </t>
    </r>
    <r>
      <rPr>
        <i/>
        <sz val="12"/>
        <color theme="1"/>
        <rFont val="Times New Roman"/>
        <family val="1"/>
        <charset val="186"/>
      </rPr>
      <t xml:space="preserve">euro </t>
    </r>
    <r>
      <rPr>
        <sz val="12"/>
        <color theme="1"/>
        <rFont val="Times New Roman"/>
        <family val="1"/>
        <charset val="186"/>
      </rPr>
      <t xml:space="preserve">* 23,59 %) = 612,23 </t>
    </r>
    <r>
      <rPr>
        <i/>
        <sz val="12"/>
        <color theme="1"/>
        <rFont val="Times New Roman"/>
        <family val="1"/>
        <charset val="186"/>
      </rPr>
      <t>euro</t>
    </r>
    <r>
      <rPr>
        <sz val="12"/>
        <color theme="1"/>
        <rFont val="Times New Roman"/>
        <family val="1"/>
        <charset val="186"/>
      </rPr>
      <t xml:space="preserve">. </t>
    </r>
  </si>
  <si>
    <r>
      <t xml:space="preserve">Ēku amortizācija 3 176,32 </t>
    </r>
    <r>
      <rPr>
        <i/>
        <sz val="12"/>
        <color theme="1"/>
        <rFont val="Times New Roman"/>
        <family val="1"/>
        <charset val="186"/>
      </rPr>
      <t xml:space="preserve">euro </t>
    </r>
    <r>
      <rPr>
        <sz val="12"/>
        <color theme="1"/>
        <rFont val="Times New Roman"/>
        <family val="1"/>
        <charset val="186"/>
      </rPr>
      <t xml:space="preserve">gadā * 0.45 (pakalpojuma īpatsvars kopējos ēkā sniegtajos maksas pakalpojumos) = 1 429,34 </t>
    </r>
    <r>
      <rPr>
        <i/>
        <sz val="12"/>
        <color theme="1"/>
        <rFont val="Times New Roman"/>
        <family val="1"/>
        <charset val="186"/>
      </rPr>
      <t>euro</t>
    </r>
    <r>
      <rPr>
        <sz val="12"/>
        <color theme="1"/>
        <rFont val="Times New Roman"/>
        <family val="1"/>
        <charset val="186"/>
      </rPr>
      <t>.</t>
    </r>
  </si>
  <si>
    <r>
      <t xml:space="preserve">Asfalta un bruģa seguma amortizācija 577,39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 0.45 (pakalpojuma īpatsvars kopējos ēkā sniegtajos maksas pakalpojumos) = 259,83 </t>
    </r>
    <r>
      <rPr>
        <i/>
        <sz val="12"/>
        <color theme="1"/>
        <rFont val="Times New Roman"/>
        <family val="1"/>
        <charset val="186"/>
      </rPr>
      <t>euro.</t>
    </r>
  </si>
  <si>
    <r>
      <t xml:space="preserve">Pamatlīdzekļu amortizācija 484,05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0.45 (pakalpojuma īpatsvars kopējos ēkā sniegtajos maksas pakalpojumos) = 217,82 </t>
    </r>
    <r>
      <rPr>
        <i/>
        <sz val="12"/>
        <color theme="1"/>
        <rFont val="Times New Roman"/>
        <family val="1"/>
        <charset val="186"/>
      </rPr>
      <t>euro</t>
    </r>
    <r>
      <rPr>
        <sz val="12"/>
        <color theme="1"/>
        <rFont val="Times New Roman"/>
        <family val="1"/>
        <charset val="186"/>
      </rPr>
      <t>.</t>
    </r>
  </si>
  <si>
    <r>
      <t xml:space="preserve">Pamatlīdzekļu amortizācija 106,06 </t>
    </r>
    <r>
      <rPr>
        <i/>
        <sz val="12"/>
        <color theme="1"/>
        <rFont val="Times New Roman"/>
        <family val="1"/>
        <charset val="186"/>
      </rPr>
      <t xml:space="preserve">euro </t>
    </r>
    <r>
      <rPr>
        <sz val="12"/>
        <color theme="1"/>
        <rFont val="Times New Roman"/>
        <family val="1"/>
        <charset val="186"/>
      </rPr>
      <t xml:space="preserve">gadā * 0.45 (pakalpojuma īpatsvars kopējos ēkā sniegtajos maksas pakalpojumos) = 47,73 </t>
    </r>
    <r>
      <rPr>
        <i/>
        <sz val="12"/>
        <color theme="1"/>
        <rFont val="Times New Roman"/>
        <family val="1"/>
        <charset val="186"/>
      </rPr>
      <t>euro</t>
    </r>
    <r>
      <rPr>
        <sz val="12"/>
        <color theme="1"/>
        <rFont val="Times New Roman"/>
        <family val="1"/>
        <charset val="186"/>
      </rPr>
      <t>.</t>
    </r>
  </si>
  <si>
    <r>
      <t xml:space="preserve">Pamatlīdzekļu amortizācija 93,85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0.45 (pakalpojuma īpatsvars kopējos ēkā sniegtajos maksas pakalpojumos) = 42,23 </t>
    </r>
    <r>
      <rPr>
        <i/>
        <sz val="12"/>
        <color theme="1"/>
        <rFont val="Times New Roman"/>
        <family val="1"/>
        <charset val="186"/>
      </rPr>
      <t>euro.</t>
    </r>
  </si>
  <si>
    <r>
      <t xml:space="preserve">Sporta inventāra un pamatlīdzekļu amortizācija 313,05 </t>
    </r>
    <r>
      <rPr>
        <i/>
        <sz val="12"/>
        <color theme="1"/>
        <rFont val="Times New Roman"/>
        <family val="1"/>
        <charset val="186"/>
      </rPr>
      <t xml:space="preserve">euro </t>
    </r>
    <r>
      <rPr>
        <sz val="12"/>
        <color theme="1"/>
        <rFont val="Times New Roman"/>
        <family val="1"/>
        <charset val="186"/>
      </rPr>
      <t xml:space="preserve">gadā * 0.45 (pakalpojuma īpatsvars kopējos ēkā sniegtajos maksas pakalpojumos) = 140,87 </t>
    </r>
    <r>
      <rPr>
        <i/>
        <sz val="12"/>
        <color theme="1"/>
        <rFont val="Times New Roman"/>
        <family val="1"/>
        <charset val="186"/>
      </rPr>
      <t>euro.</t>
    </r>
  </si>
  <si>
    <r>
      <t xml:space="preserve">Saimniecības inventāra un materiālu iegādes izdevumi 139,35 </t>
    </r>
    <r>
      <rPr>
        <i/>
        <sz val="12"/>
        <color theme="1"/>
        <rFont val="Times New Roman"/>
        <family val="1"/>
        <charset val="186"/>
      </rPr>
      <t>euro gadā</t>
    </r>
    <r>
      <rPr>
        <sz val="12"/>
        <color theme="1"/>
        <rFont val="Times New Roman"/>
        <family val="1"/>
        <charset val="186"/>
      </rPr>
      <t xml:space="preserve"> * 0.45 (pakalpojuma īpatsvars kopējos ēkā sniegtajos pakalpojumos) = 62,71 </t>
    </r>
    <r>
      <rPr>
        <i/>
        <sz val="12"/>
        <color theme="1"/>
        <rFont val="Times New Roman"/>
        <family val="1"/>
        <charset val="186"/>
      </rPr>
      <t xml:space="preserve">euro. </t>
    </r>
  </si>
  <si>
    <r>
      <t xml:space="preserve">Inventāra iegādes izdevumi 26,79 </t>
    </r>
    <r>
      <rPr>
        <i/>
        <sz val="12"/>
        <color theme="1"/>
        <rFont val="Times New Roman"/>
        <family val="1"/>
        <charset val="186"/>
      </rPr>
      <t>euro gadā</t>
    </r>
    <r>
      <rPr>
        <sz val="12"/>
        <color theme="1"/>
        <rFont val="Times New Roman"/>
        <family val="1"/>
        <charset val="186"/>
      </rPr>
      <t xml:space="preserve"> * 0.45 (pakalpojuma īpatsvars kopējos ēkā sniegtajos pakalpojumos) = 12,06 </t>
    </r>
    <r>
      <rPr>
        <i/>
        <sz val="12"/>
        <color theme="1"/>
        <rFont val="Times New Roman"/>
        <family val="1"/>
        <charset val="186"/>
      </rPr>
      <t>euro.</t>
    </r>
  </si>
  <si>
    <r>
      <t xml:space="preserve">Telpu, teritorijas uzkopšanas, apsardzes, apsaimniekošanas, apdrošināšanas izdevumi  6 964,82 </t>
    </r>
    <r>
      <rPr>
        <i/>
        <sz val="12"/>
        <color theme="1"/>
        <rFont val="Times New Roman"/>
        <family val="1"/>
        <charset val="186"/>
      </rPr>
      <t>euro gadā</t>
    </r>
    <r>
      <rPr>
        <sz val="12"/>
        <color theme="1"/>
        <rFont val="Times New Roman"/>
        <family val="1"/>
        <charset val="186"/>
      </rPr>
      <t xml:space="preserve"> * 0.45 (pakalpojuma īpatsvars kopējos ēkā sniegtajos maksas pakalpojumos) = 3 134,17 </t>
    </r>
    <r>
      <rPr>
        <i/>
        <sz val="12"/>
        <color theme="1"/>
        <rFont val="Times New Roman"/>
        <family val="1"/>
        <charset val="186"/>
      </rPr>
      <t>euro.</t>
    </r>
  </si>
  <si>
    <r>
      <t xml:space="preserve">Piekļuves kontroles, ēku kompleksa sistēmu apkope, ventilācijas iekārtu un citu iekārtu apkope un remonts, avāriju bojājumu novēršanas izdevumi 1 103,76 </t>
    </r>
    <r>
      <rPr>
        <i/>
        <sz val="12"/>
        <color theme="1"/>
        <rFont val="Times New Roman"/>
        <family val="1"/>
        <charset val="186"/>
      </rPr>
      <t>euro gadā</t>
    </r>
    <r>
      <rPr>
        <sz val="12"/>
        <color theme="1"/>
        <rFont val="Times New Roman"/>
        <family val="1"/>
        <charset val="186"/>
      </rPr>
      <t xml:space="preserve"> * 0.45 (pakalpojuma īpatsvars kopējos ēkā sniegtajos maksas pakalpojumos) = 496,69 </t>
    </r>
    <r>
      <rPr>
        <i/>
        <sz val="12"/>
        <color theme="1"/>
        <rFont val="Times New Roman"/>
        <family val="1"/>
        <charset val="186"/>
      </rPr>
      <t>euro.</t>
    </r>
  </si>
  <si>
    <r>
      <t xml:space="preserve">Izdevumi par atkritumu izvešanu 562,53 </t>
    </r>
    <r>
      <rPr>
        <i/>
        <sz val="12"/>
        <color theme="1"/>
        <rFont val="Times New Roman"/>
        <family val="1"/>
        <charset val="186"/>
      </rPr>
      <t>euro gadā</t>
    </r>
    <r>
      <rPr>
        <sz val="12"/>
        <color theme="1"/>
        <rFont val="Times New Roman"/>
        <family val="1"/>
        <charset val="186"/>
      </rPr>
      <t xml:space="preserve"> * 0.45 (pakalpojuma īpatsvars kopējos ēkā sniegtajos maksas pakalpojumos) = 253,14 </t>
    </r>
    <r>
      <rPr>
        <i/>
        <sz val="12"/>
        <color theme="1"/>
        <rFont val="Times New Roman"/>
        <family val="1"/>
        <charset val="186"/>
      </rPr>
      <t>euro.</t>
    </r>
  </si>
  <si>
    <r>
      <t xml:space="preserve">Izdevumi par elektroenerģiju 8 010,81 </t>
    </r>
    <r>
      <rPr>
        <i/>
        <sz val="12"/>
        <color theme="1"/>
        <rFont val="Times New Roman"/>
        <family val="1"/>
        <charset val="186"/>
      </rPr>
      <t>euro gadā</t>
    </r>
    <r>
      <rPr>
        <sz val="12"/>
        <color theme="1"/>
        <rFont val="Times New Roman"/>
        <family val="1"/>
        <charset val="186"/>
      </rPr>
      <t xml:space="preserve"> * 0.45 (pakalpojuma īpatsvars kopējos ēkā sniegtajos maksas pakalpojumos) = 3 604,86 </t>
    </r>
    <r>
      <rPr>
        <i/>
        <sz val="12"/>
        <color theme="1"/>
        <rFont val="Times New Roman"/>
        <family val="1"/>
        <charset val="186"/>
      </rPr>
      <t>euro.</t>
    </r>
  </si>
  <si>
    <r>
      <t xml:space="preserve">Izdevumi par apkuri 8 145,31 </t>
    </r>
    <r>
      <rPr>
        <i/>
        <sz val="12"/>
        <color theme="1"/>
        <rFont val="Times New Roman"/>
        <family val="1"/>
        <charset val="186"/>
      </rPr>
      <t>euro gadā</t>
    </r>
    <r>
      <rPr>
        <sz val="12"/>
        <color theme="1"/>
        <rFont val="Times New Roman"/>
        <family val="1"/>
        <charset val="186"/>
      </rPr>
      <t xml:space="preserve"> * 0.45 (pakalpojuma īpatsvars kopējos ēkā sniegtajos maksas pakalpojumos) = 3 665,39 </t>
    </r>
    <r>
      <rPr>
        <i/>
        <sz val="12"/>
        <color theme="1"/>
        <rFont val="Times New Roman"/>
        <family val="1"/>
        <charset val="186"/>
      </rPr>
      <t>euro.</t>
    </r>
  </si>
  <si>
    <r>
      <t xml:space="preserve">Direktora vietnieks, Nekustamo īpašumu pārvaldīšanas departamenta vadītājs (1.1. saime, IV līmenis, 16. algu grupa, mēnešalga 4 062 </t>
    </r>
    <r>
      <rPr>
        <i/>
        <sz val="12"/>
        <color theme="1"/>
        <rFont val="Times New Roman"/>
        <family val="1"/>
        <charset val="186"/>
      </rPr>
      <t xml:space="preserve">euro). </t>
    </r>
    <r>
      <rPr>
        <sz val="12"/>
        <color theme="1"/>
        <rFont val="Times New Roman"/>
        <family val="1"/>
        <charset val="186"/>
      </rPr>
      <t>Stundas tarifa likme</t>
    </r>
    <r>
      <rPr>
        <i/>
        <sz val="12"/>
        <color theme="1"/>
        <rFont val="Times New Roman"/>
        <family val="1"/>
        <charset val="186"/>
      </rPr>
      <t xml:space="preserve"> </t>
    </r>
    <r>
      <rPr>
        <sz val="12"/>
        <color theme="1"/>
        <rFont val="Times New Roman"/>
        <family val="1"/>
        <charset val="186"/>
      </rPr>
      <t xml:space="preserve">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72 minūtes, (24,34 </t>
    </r>
    <r>
      <rPr>
        <i/>
        <sz val="12"/>
        <color theme="1"/>
        <rFont val="Times New Roman"/>
        <family val="1"/>
        <charset val="186"/>
      </rPr>
      <t>euro</t>
    </r>
    <r>
      <rPr>
        <sz val="12"/>
        <color theme="1"/>
        <rFont val="Times New Roman"/>
        <family val="1"/>
        <charset val="186"/>
      </rPr>
      <t xml:space="preserve"> * 1.22 h) = 29,21 </t>
    </r>
    <r>
      <rPr>
        <i/>
        <sz val="12"/>
        <color theme="1"/>
        <rFont val="Times New Roman"/>
        <family val="1"/>
        <charset val="186"/>
      </rPr>
      <t>euro</t>
    </r>
    <r>
      <rPr>
        <sz val="12"/>
        <color theme="1"/>
        <rFont val="Times New Roman"/>
        <family val="1"/>
        <charset val="186"/>
      </rPr>
      <t xml:space="preserve">/mēn. * 12. mēn. = 350,52 </t>
    </r>
    <r>
      <rPr>
        <i/>
        <sz val="12"/>
        <color theme="1"/>
        <rFont val="Times New Roman"/>
        <family val="1"/>
        <charset val="186"/>
      </rPr>
      <t>euro</t>
    </r>
    <r>
      <rPr>
        <sz val="12"/>
        <color theme="1"/>
        <rFont val="Times New Roman"/>
        <family val="1"/>
        <charset val="186"/>
      </rPr>
      <t xml:space="preserve"> * 0.077 (pakalpojuma īpatsvars kopējos ēkā sniegtajos pakalpojumos) = 26,99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</si>
  <si>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 =</t>
    </r>
    <r>
      <rPr>
        <sz val="12"/>
        <color theme="1"/>
        <rFont val="Times New Roman"/>
        <family val="1"/>
        <charset val="186"/>
      </rPr>
      <t xml:space="preserve"> 1 372</t>
    </r>
    <r>
      <rPr>
        <i/>
        <sz val="12"/>
        <color theme="1"/>
        <rFont val="Times New Roman"/>
        <family val="1"/>
        <charset val="186"/>
      </rPr>
      <t xml:space="preserve"> euro</t>
    </r>
    <r>
      <rPr>
        <sz val="12"/>
        <color theme="1"/>
        <rFont val="Times New Roman"/>
        <family val="1"/>
        <charset val="186"/>
      </rPr>
      <t xml:space="preserve"> / 166.92 (vid. d. stundu sk. mēnesī). Vid. mēn. noslogojums 25.84 stundas, (8,22 </t>
    </r>
    <r>
      <rPr>
        <i/>
        <sz val="12"/>
        <color theme="1"/>
        <rFont val="Times New Roman"/>
        <family val="1"/>
        <charset val="186"/>
      </rPr>
      <t>euro</t>
    </r>
    <r>
      <rPr>
        <sz val="12"/>
        <color theme="1"/>
        <rFont val="Times New Roman"/>
        <family val="1"/>
        <charset val="186"/>
      </rPr>
      <t xml:space="preserve"> * 25.85 h) = 212,41 </t>
    </r>
    <r>
      <rPr>
        <i/>
        <sz val="12"/>
        <color theme="1"/>
        <rFont val="Times New Roman"/>
        <family val="1"/>
        <charset val="186"/>
      </rPr>
      <t>euro</t>
    </r>
    <r>
      <rPr>
        <sz val="12"/>
        <color theme="1"/>
        <rFont val="Times New Roman"/>
        <family val="1"/>
        <charset val="186"/>
      </rPr>
      <t xml:space="preserve">/mēn. * 12. mēn. = 2 548,92 </t>
    </r>
    <r>
      <rPr>
        <i/>
        <sz val="12"/>
        <color theme="1"/>
        <rFont val="Times New Roman"/>
        <family val="1"/>
        <charset val="186"/>
      </rPr>
      <t>euro</t>
    </r>
    <r>
      <rPr>
        <sz val="12"/>
        <color theme="1"/>
        <rFont val="Times New Roman"/>
        <family val="1"/>
        <charset val="186"/>
      </rPr>
      <t xml:space="preserve"> * 0.077 (pakalpojuma īpatsvars kopējos ēkā sniegtajos pakalpojumos) = 196,27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</si>
  <si>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(443,58 </t>
    </r>
    <r>
      <rPr>
        <i/>
        <sz val="12"/>
        <color theme="1"/>
        <rFont val="Times New Roman"/>
        <family val="1"/>
        <charset val="186"/>
      </rPr>
      <t>euro</t>
    </r>
    <r>
      <rPr>
        <sz val="12"/>
        <color theme="1"/>
        <rFont val="Times New Roman"/>
        <family val="1"/>
        <charset val="186"/>
      </rPr>
      <t xml:space="preserve"> * 23,59 %) = 104,64 </t>
    </r>
    <r>
      <rPr>
        <i/>
        <sz val="12"/>
        <color theme="1"/>
        <rFont val="Times New Roman"/>
        <family val="1"/>
        <charset val="186"/>
      </rPr>
      <t>euro.</t>
    </r>
    <r>
      <rPr>
        <sz val="12"/>
        <color theme="1"/>
        <rFont val="Times New Roman"/>
        <family val="1"/>
        <charset val="186"/>
      </rPr>
      <t xml:space="preserve"> </t>
    </r>
  </si>
  <si>
    <r>
      <t xml:space="preserve">Pamatlīdzekļu amortizācija 4,97 </t>
    </r>
    <r>
      <rPr>
        <i/>
        <sz val="12"/>
        <color theme="1"/>
        <rFont val="Times New Roman"/>
        <family val="1"/>
        <charset val="186"/>
      </rPr>
      <t>euro</t>
    </r>
    <r>
      <rPr>
        <sz val="12"/>
        <color theme="1"/>
        <rFont val="Times New Roman"/>
        <family val="1"/>
        <charset val="186"/>
      </rPr>
      <t xml:space="preserve"> gadā * 0.944 (iznomātās platības koeficients) = 4,69 </t>
    </r>
    <r>
      <rPr>
        <i/>
        <sz val="12"/>
        <color theme="1"/>
        <rFont val="Times New Roman"/>
        <family val="1"/>
        <charset val="186"/>
      </rPr>
      <t>euro</t>
    </r>
    <r>
      <rPr>
        <sz val="12"/>
        <color theme="1"/>
        <rFont val="Times New Roman"/>
        <family val="1"/>
        <charset val="186"/>
      </rPr>
      <t>.</t>
    </r>
  </si>
  <si>
    <r>
      <t xml:space="preserve">Pamatlīdzekļu amortizācija 58,80 </t>
    </r>
    <r>
      <rPr>
        <i/>
        <sz val="12"/>
        <color theme="1"/>
        <rFont val="Times New Roman"/>
        <family val="1"/>
        <charset val="186"/>
      </rPr>
      <t>euro</t>
    </r>
    <r>
      <rPr>
        <sz val="12"/>
        <color theme="1"/>
        <rFont val="Times New Roman"/>
        <family val="1"/>
        <charset val="186"/>
      </rPr>
      <t xml:space="preserve"> gadā * 0.944 (iznomātās platības koeficients) = 55,51 </t>
    </r>
    <r>
      <rPr>
        <i/>
        <sz val="12"/>
        <color theme="1"/>
        <rFont val="Times New Roman"/>
        <family val="1"/>
        <charset val="186"/>
      </rPr>
      <t>euro</t>
    </r>
    <r>
      <rPr>
        <sz val="12"/>
        <color theme="1"/>
        <rFont val="Times New Roman"/>
        <family val="1"/>
        <charset val="186"/>
      </rPr>
      <t>.</t>
    </r>
  </si>
  <si>
    <r>
      <t xml:space="preserve">Ēku amortizācija 270,84 </t>
    </r>
    <r>
      <rPr>
        <i/>
        <sz val="12"/>
        <color theme="1"/>
        <rFont val="Times New Roman"/>
        <family val="1"/>
        <charset val="186"/>
      </rPr>
      <t>euro</t>
    </r>
    <r>
      <rPr>
        <sz val="12"/>
        <color theme="1"/>
        <rFont val="Times New Roman"/>
        <family val="1"/>
        <charset val="186"/>
      </rPr>
      <t xml:space="preserve"> gadā * 0.944 (iznomātās platības koeficients) = 255,67 </t>
    </r>
    <r>
      <rPr>
        <i/>
        <sz val="12"/>
        <color theme="1"/>
        <rFont val="Times New Roman"/>
        <family val="1"/>
        <charset val="186"/>
      </rPr>
      <t>euro</t>
    </r>
    <r>
      <rPr>
        <sz val="12"/>
        <color theme="1"/>
        <rFont val="Times New Roman"/>
        <family val="1"/>
        <charset val="186"/>
      </rPr>
      <t>.</t>
    </r>
  </si>
  <si>
    <r>
      <t xml:space="preserve">Nekustamā īpašuma nodoklis 308,85 </t>
    </r>
    <r>
      <rPr>
        <i/>
        <sz val="12"/>
        <color theme="1"/>
        <rFont val="Times New Roman"/>
        <family val="1"/>
        <charset val="186"/>
      </rPr>
      <t>euro</t>
    </r>
    <r>
      <rPr>
        <sz val="12"/>
        <color theme="1"/>
        <rFont val="Times New Roman"/>
        <family val="1"/>
        <charset val="186"/>
      </rPr>
      <t xml:space="preserve"> gadā * 0.944 (iznomātās platības koeficients) = 291,55 </t>
    </r>
    <r>
      <rPr>
        <i/>
        <sz val="12"/>
        <color theme="1"/>
        <rFont val="Times New Roman"/>
        <family val="1"/>
        <charset val="186"/>
      </rPr>
      <t>euro.</t>
    </r>
  </si>
  <si>
    <r>
      <t xml:space="preserve">Izdevumi par apkuri 7 123,19 </t>
    </r>
    <r>
      <rPr>
        <i/>
        <sz val="12"/>
        <color theme="1"/>
        <rFont val="Times New Roman"/>
        <family val="1"/>
        <charset val="186"/>
      </rPr>
      <t>euro</t>
    </r>
    <r>
      <rPr>
        <sz val="12"/>
        <color theme="1"/>
        <rFont val="Times New Roman"/>
        <family val="1"/>
        <charset val="186"/>
      </rPr>
      <t xml:space="preserve"> gadā * 0.944 (iznomātās platības koeficients) = 6 724,29 </t>
    </r>
    <r>
      <rPr>
        <i/>
        <sz val="12"/>
        <color theme="1"/>
        <rFont val="Times New Roman"/>
        <family val="1"/>
        <charset val="186"/>
      </rPr>
      <t>euro.</t>
    </r>
  </si>
  <si>
    <r>
      <t xml:space="preserve">Izdevumi par ūdeni un kanalizāciju 603,06 </t>
    </r>
    <r>
      <rPr>
        <i/>
        <sz val="12"/>
        <color theme="1"/>
        <rFont val="Times New Roman"/>
        <family val="1"/>
        <charset val="186"/>
      </rPr>
      <t>euro</t>
    </r>
    <r>
      <rPr>
        <sz val="12"/>
        <color theme="1"/>
        <rFont val="Times New Roman"/>
        <family val="1"/>
        <charset val="186"/>
      </rPr>
      <t xml:space="preserve"> gadā * 0.944 (iznomātās platības koeficients) = 569,29 </t>
    </r>
    <r>
      <rPr>
        <i/>
        <sz val="12"/>
        <color theme="1"/>
        <rFont val="Times New Roman"/>
        <family val="1"/>
        <charset val="186"/>
      </rPr>
      <t>euro.</t>
    </r>
  </si>
  <si>
    <r>
      <t xml:space="preserve">Izdevumi par elektroenerģiju 2 421,61 euro gadā * 0.944 (iznomātās platības koeficients) = 2 286,00 </t>
    </r>
    <r>
      <rPr>
        <i/>
        <sz val="12"/>
        <color theme="1"/>
        <rFont val="Times New Roman"/>
        <family val="1"/>
        <charset val="186"/>
      </rPr>
      <t>euro</t>
    </r>
    <r>
      <rPr>
        <sz val="12"/>
        <color theme="1"/>
        <rFont val="Times New Roman"/>
        <family val="1"/>
        <charset val="186"/>
      </rPr>
      <t>.</t>
    </r>
  </si>
  <si>
    <r>
      <t xml:space="preserve">Izdevumi par atkritumu izvešanu 379,71 </t>
    </r>
    <r>
      <rPr>
        <i/>
        <sz val="12"/>
        <color theme="1"/>
        <rFont val="Times New Roman"/>
        <family val="1"/>
        <charset val="186"/>
      </rPr>
      <t>euro</t>
    </r>
    <r>
      <rPr>
        <sz val="12"/>
        <color theme="1"/>
        <rFont val="Times New Roman"/>
        <family val="1"/>
        <charset val="186"/>
      </rPr>
      <t xml:space="preserve"> gadā * 0.944 (iznomātās platības koeficients) = 358,45 </t>
    </r>
    <r>
      <rPr>
        <i/>
        <sz val="12"/>
        <color theme="1"/>
        <rFont val="Times New Roman"/>
        <family val="1"/>
        <charset val="186"/>
      </rPr>
      <t>euro</t>
    </r>
    <r>
      <rPr>
        <sz val="12"/>
        <color theme="1"/>
        <rFont val="Times New Roman"/>
        <family val="1"/>
        <charset val="186"/>
      </rPr>
      <t>.</t>
    </r>
  </si>
  <si>
    <r>
      <t xml:space="preserve">Kārtējā remonta izdevumi 223,99 </t>
    </r>
    <r>
      <rPr>
        <i/>
        <sz val="12"/>
        <color theme="1"/>
        <rFont val="Times New Roman"/>
        <family val="1"/>
        <charset val="186"/>
      </rPr>
      <t>euro</t>
    </r>
    <r>
      <rPr>
        <sz val="12"/>
        <color theme="1"/>
        <rFont val="Times New Roman"/>
        <family val="1"/>
        <charset val="186"/>
      </rPr>
      <t xml:space="preserve"> gadā * 0.944 (iznomātās platības koeficients) = 211,45 </t>
    </r>
    <r>
      <rPr>
        <i/>
        <sz val="12"/>
        <color theme="1"/>
        <rFont val="Times New Roman"/>
        <family val="1"/>
        <charset val="186"/>
      </rPr>
      <t>euro</t>
    </r>
    <r>
      <rPr>
        <sz val="12"/>
        <color theme="1"/>
        <rFont val="Times New Roman"/>
        <family val="1"/>
        <charset val="186"/>
      </rPr>
      <t>.</t>
    </r>
  </si>
  <si>
    <r>
      <t xml:space="preserve">Ugunsdzēsības aparātu pārbaude, Apkures sistēmas apkope, uzturēšana, ventilācijas iekārtu apkope, uzturēšana un citu iekārtu apkope un remonts, avāriju bojājumu novēršanas izdevumi 151,11 euro gadā * 0.944 (iznomātās platības koeficients) = 142,65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</si>
  <si>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izmaksas 3 725,55 </t>
    </r>
    <r>
      <rPr>
        <i/>
        <sz val="12"/>
        <color theme="1"/>
        <rFont val="Times New Roman"/>
        <family val="1"/>
        <charset val="186"/>
      </rPr>
      <t>euro</t>
    </r>
    <r>
      <rPr>
        <sz val="12"/>
        <color theme="1"/>
        <rFont val="Times New Roman"/>
        <family val="1"/>
        <charset val="186"/>
      </rPr>
      <t xml:space="preserve"> gadā 0.944 (iznomātās platības koeficients) = 3 516,92 </t>
    </r>
    <r>
      <rPr>
        <i/>
        <sz val="12"/>
        <color theme="1"/>
        <rFont val="Times New Roman"/>
        <family val="1"/>
        <charset val="186"/>
      </rPr>
      <t>euro</t>
    </r>
    <r>
      <rPr>
        <sz val="12"/>
        <color theme="1"/>
        <rFont val="Times New Roman"/>
        <family val="1"/>
        <charset val="186"/>
      </rPr>
      <t>.</t>
    </r>
  </si>
  <si>
    <r>
      <t xml:space="preserve">Saimniecības inventāra un materiālu (spuldzes, higiēnas preces, birstes u.tml.) iegādes izdevumi 357,86 </t>
    </r>
    <r>
      <rPr>
        <i/>
        <sz val="12"/>
        <color theme="1"/>
        <rFont val="Times New Roman"/>
        <family val="1"/>
        <charset val="186"/>
      </rPr>
      <t>euro</t>
    </r>
    <r>
      <rPr>
        <sz val="12"/>
        <color theme="1"/>
        <rFont val="Times New Roman"/>
        <family val="1"/>
        <charset val="186"/>
      </rPr>
      <t xml:space="preserve"> gadā * 0.944 (iznomātās platības koeficients) = 337,82 </t>
    </r>
    <r>
      <rPr>
        <i/>
        <sz val="12"/>
        <color theme="1"/>
        <rFont val="Times New Roman"/>
        <family val="1"/>
        <charset val="186"/>
      </rPr>
      <t>euro</t>
    </r>
    <r>
      <rPr>
        <sz val="12"/>
        <color theme="1"/>
        <rFont val="Times New Roman"/>
        <family val="1"/>
        <charset val="186"/>
      </rPr>
      <t>.</t>
    </r>
  </si>
  <si>
    <r>
      <t xml:space="preserve">Inventāra iegādes izdevumi 16,04 </t>
    </r>
    <r>
      <rPr>
        <i/>
        <sz val="12"/>
        <color theme="1"/>
        <rFont val="Times New Roman"/>
        <family val="1"/>
        <charset val="186"/>
      </rPr>
      <t>euro</t>
    </r>
    <r>
      <rPr>
        <sz val="12"/>
        <color theme="1"/>
        <rFont val="Times New Roman"/>
        <family val="1"/>
        <charset val="186"/>
      </rPr>
      <t xml:space="preserve"> gadā * 0.944 (iznomātās platības koeficients) = 15,14 </t>
    </r>
    <r>
      <rPr>
        <i/>
        <sz val="12"/>
        <color theme="1"/>
        <rFont val="Times New Roman"/>
        <family val="1"/>
        <charset val="186"/>
      </rPr>
      <t>euro.</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</si>
  <si>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20 stundas, (5,37 </t>
    </r>
    <r>
      <rPr>
        <i/>
        <sz val="12"/>
        <color theme="1"/>
        <rFont val="Times New Roman"/>
        <family val="1"/>
        <charset val="186"/>
      </rPr>
      <t>euro</t>
    </r>
    <r>
      <rPr>
        <sz val="12"/>
        <color theme="1"/>
        <rFont val="Times New Roman"/>
        <family val="1"/>
        <charset val="186"/>
      </rPr>
      <t xml:space="preserve"> * 20 h) = 107,40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1 288,80 </t>
    </r>
    <r>
      <rPr>
        <i/>
        <sz val="12"/>
        <color theme="1"/>
        <rFont val="Times New Roman"/>
        <family val="1"/>
        <charset val="186"/>
      </rPr>
      <t>euro</t>
    </r>
    <r>
      <rPr>
        <sz val="12"/>
        <color theme="1"/>
        <rFont val="Times New Roman"/>
        <family val="1"/>
        <charset val="186"/>
      </rPr>
      <t xml:space="preserve"> * 0.944 (iznomātās platības koeficients) = 1 216,63 </t>
    </r>
    <r>
      <rPr>
        <i/>
        <sz val="12"/>
        <color theme="1"/>
        <rFont val="Times New Roman"/>
        <family val="1"/>
        <charset val="186"/>
      </rPr>
      <t>euro</t>
    </r>
    <r>
      <rPr>
        <sz val="12"/>
        <color theme="1"/>
        <rFont val="Times New Roman"/>
        <family val="1"/>
        <charset val="186"/>
      </rPr>
      <t xml:space="preserve">. </t>
    </r>
  </si>
  <si>
    <r>
      <t xml:space="preserve">Galv. nekust. īpaš. pārvaldnieks (553,26 </t>
    </r>
    <r>
      <rPr>
        <i/>
        <sz val="12"/>
        <color theme="1"/>
        <rFont val="Times New Roman"/>
        <family val="1"/>
        <charset val="186"/>
      </rPr>
      <t>euro</t>
    </r>
    <r>
      <rPr>
        <sz val="12"/>
        <color theme="1"/>
        <rFont val="Times New Roman"/>
        <family val="1"/>
        <charset val="186"/>
      </rPr>
      <t xml:space="preserve"> * 10%) = 55,33 </t>
    </r>
    <r>
      <rPr>
        <i/>
        <sz val="12"/>
        <color theme="1"/>
        <rFont val="Times New Roman"/>
        <family val="1"/>
        <charset val="186"/>
      </rPr>
      <t>euro</t>
    </r>
    <r>
      <rPr>
        <sz val="12"/>
        <color theme="1"/>
        <rFont val="Times New Roman"/>
        <family val="1"/>
        <charset val="186"/>
      </rPr>
      <t xml:space="preserve">, Saimniecības pārzinis (1 216,63 </t>
    </r>
    <r>
      <rPr>
        <i/>
        <sz val="12"/>
        <color theme="1"/>
        <rFont val="Times New Roman"/>
        <family val="1"/>
        <charset val="186"/>
      </rPr>
      <t>euro</t>
    </r>
    <r>
      <rPr>
        <sz val="12"/>
        <color theme="1"/>
        <rFont val="Times New Roman"/>
        <family val="1"/>
        <charset val="186"/>
      </rPr>
      <t xml:space="preserve"> * 10%) = 121,66 </t>
    </r>
    <r>
      <rPr>
        <i/>
        <sz val="12"/>
        <color theme="1"/>
        <rFont val="Times New Roman"/>
        <family val="1"/>
        <charset val="186"/>
      </rPr>
      <t xml:space="preserve">euro. </t>
    </r>
    <r>
      <rPr>
        <sz val="12"/>
        <color theme="1"/>
        <rFont val="Times New Roman"/>
        <family val="1"/>
        <charset val="186"/>
      </rPr>
      <t xml:space="preserve">Kopā (55,33 </t>
    </r>
    <r>
      <rPr>
        <i/>
        <sz val="12"/>
        <color theme="1"/>
        <rFont val="Times New Roman"/>
        <family val="1"/>
        <charset val="186"/>
      </rPr>
      <t>euro</t>
    </r>
    <r>
      <rPr>
        <sz val="12"/>
        <color theme="1"/>
        <rFont val="Times New Roman"/>
        <family val="1"/>
        <charset val="186"/>
      </rPr>
      <t xml:space="preserve"> + 121,66 </t>
    </r>
    <r>
      <rPr>
        <i/>
        <sz val="12"/>
        <color theme="1"/>
        <rFont val="Times New Roman"/>
        <family val="1"/>
        <charset val="186"/>
      </rPr>
      <t>euro</t>
    </r>
    <r>
      <rPr>
        <sz val="12"/>
        <color theme="1"/>
        <rFont val="Times New Roman"/>
        <family val="1"/>
        <charset val="186"/>
      </rPr>
      <t xml:space="preserve">) = 176,99 </t>
    </r>
    <r>
      <rPr>
        <i/>
        <sz val="12"/>
        <color theme="1"/>
        <rFont val="Times New Roman"/>
        <family val="1"/>
        <charset val="186"/>
      </rPr>
      <t>euro</t>
    </r>
    <r>
      <rPr>
        <sz val="12"/>
        <color theme="1"/>
        <rFont val="Times New Roman"/>
        <family val="1"/>
        <charset val="186"/>
      </rPr>
      <t>.</t>
    </r>
  </si>
  <si>
    <r>
      <t xml:space="preserve">Veselības apdrošināšana, Galv. nekust. īpaš. pārvaldnieks (553,26 </t>
    </r>
    <r>
      <rPr>
        <i/>
        <sz val="12"/>
        <color theme="1"/>
        <rFont val="Times New Roman"/>
        <family val="1"/>
        <charset val="186"/>
      </rPr>
      <t>euro</t>
    </r>
    <r>
      <rPr>
        <sz val="12"/>
        <color theme="1"/>
        <rFont val="Times New Roman"/>
        <family val="1"/>
        <charset val="186"/>
      </rPr>
      <t xml:space="preserve"> * 5%) = 27,66 </t>
    </r>
    <r>
      <rPr>
        <i/>
        <sz val="12"/>
        <color theme="1"/>
        <rFont val="Times New Roman"/>
        <family val="1"/>
        <charset val="186"/>
      </rPr>
      <t>euro</t>
    </r>
    <r>
      <rPr>
        <sz val="12"/>
        <color theme="1"/>
        <rFont val="Times New Roman"/>
        <family val="1"/>
        <charset val="186"/>
      </rPr>
      <t xml:space="preserve">, Saimniecības pārzinis (1 216,63 </t>
    </r>
    <r>
      <rPr>
        <i/>
        <sz val="12"/>
        <color theme="1"/>
        <rFont val="Times New Roman"/>
        <family val="1"/>
        <charset val="186"/>
      </rPr>
      <t>euro</t>
    </r>
    <r>
      <rPr>
        <sz val="12"/>
        <color theme="1"/>
        <rFont val="Times New Roman"/>
        <family val="1"/>
        <charset val="186"/>
      </rPr>
      <t xml:space="preserve"> * 5%) = 60,83 euro. Kopā (27,66 </t>
    </r>
    <r>
      <rPr>
        <i/>
        <sz val="12"/>
        <color theme="1"/>
        <rFont val="Times New Roman"/>
        <family val="1"/>
        <charset val="186"/>
      </rPr>
      <t>euro</t>
    </r>
    <r>
      <rPr>
        <sz val="12"/>
        <color theme="1"/>
        <rFont val="Times New Roman"/>
        <family val="1"/>
        <charset val="186"/>
      </rPr>
      <t xml:space="preserve"> + 60,83 </t>
    </r>
    <r>
      <rPr>
        <i/>
        <sz val="12"/>
        <color theme="1"/>
        <rFont val="Times New Roman"/>
        <family val="1"/>
        <charset val="186"/>
      </rPr>
      <t>euro</t>
    </r>
    <r>
      <rPr>
        <sz val="12"/>
        <color theme="1"/>
        <rFont val="Times New Roman"/>
        <family val="1"/>
        <charset val="186"/>
      </rPr>
      <t xml:space="preserve">) = 88,49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</si>
  <si>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(1 946,88 </t>
    </r>
    <r>
      <rPr>
        <i/>
        <sz val="12"/>
        <color theme="1"/>
        <rFont val="Times New Roman"/>
        <family val="1"/>
        <charset val="186"/>
      </rPr>
      <t>euro</t>
    </r>
    <r>
      <rPr>
        <sz val="12"/>
        <color theme="1"/>
        <rFont val="Times New Roman"/>
        <family val="1"/>
        <charset val="186"/>
      </rPr>
      <t xml:space="preserve"> * 23,59 %) = 459,27 </t>
    </r>
    <r>
      <rPr>
        <i/>
        <sz val="12"/>
        <color theme="1"/>
        <rFont val="Times New Roman"/>
        <family val="1"/>
        <charset val="186"/>
      </rPr>
      <t xml:space="preserve">euro. </t>
    </r>
  </si>
  <si>
    <r>
      <t xml:space="preserve">Darba devēja valsts sociālās apdrošināšanas obligātās iemaksas 23,59 % = 459,27 </t>
    </r>
    <r>
      <rPr>
        <i/>
        <sz val="12"/>
        <color theme="1"/>
        <rFont val="Times New Roman"/>
        <family val="1"/>
        <charset val="186"/>
      </rPr>
      <t>euro</t>
    </r>
    <r>
      <rPr>
        <sz val="12"/>
        <color theme="1"/>
        <rFont val="Times New Roman"/>
        <family val="1"/>
        <charset val="186"/>
      </rPr>
      <t xml:space="preserve">. Veselības apdrošināšana 88,49 </t>
    </r>
    <r>
      <rPr>
        <i/>
        <sz val="12"/>
        <color theme="1"/>
        <rFont val="Times New Roman"/>
        <family val="1"/>
        <charset val="186"/>
      </rPr>
      <t>euro</t>
    </r>
    <r>
      <rPr>
        <sz val="12"/>
        <color theme="1"/>
        <rFont val="Times New Roman"/>
        <family val="1"/>
        <charset val="186"/>
      </rPr>
      <t xml:space="preserve">. Kopā 547,76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</si>
  <si>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14 min., (11,24 </t>
    </r>
    <r>
      <rPr>
        <i/>
        <sz val="12"/>
        <color theme="1"/>
        <rFont val="Times New Roman"/>
        <family val="1"/>
        <charset val="186"/>
      </rPr>
      <t>euro</t>
    </r>
    <r>
      <rPr>
        <sz val="12"/>
        <color theme="1"/>
        <rFont val="Times New Roman"/>
        <family val="1"/>
        <charset val="186"/>
      </rPr>
      <t xml:space="preserve"> * 0.23 h) = 2,59 </t>
    </r>
    <r>
      <rPr>
        <i/>
        <sz val="12"/>
        <color theme="1"/>
        <rFont val="Times New Roman"/>
        <family val="1"/>
        <charset val="186"/>
      </rPr>
      <t>euro</t>
    </r>
    <r>
      <rPr>
        <sz val="12"/>
        <color theme="1"/>
        <rFont val="Times New Roman"/>
        <family val="1"/>
        <charset val="186"/>
      </rPr>
      <t xml:space="preserve">/mēn. * 12. mēn. = 31,08 </t>
    </r>
    <r>
      <rPr>
        <i/>
        <sz val="12"/>
        <color theme="1"/>
        <rFont val="Times New Roman"/>
        <family val="1"/>
        <charset val="186"/>
      </rPr>
      <t>euro</t>
    </r>
    <r>
      <rPr>
        <sz val="12"/>
        <color theme="1"/>
        <rFont val="Times New Roman"/>
        <family val="1"/>
        <charset val="186"/>
      </rPr>
      <t xml:space="preserve"> * 0.944 (iznomātās platības koeficients) = 29,34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</si>
  <si>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15 min.,  (7,58 </t>
    </r>
    <r>
      <rPr>
        <i/>
        <sz val="12"/>
        <color theme="1"/>
        <rFont val="Times New Roman"/>
        <family val="1"/>
        <charset val="186"/>
      </rPr>
      <t>euro</t>
    </r>
    <r>
      <rPr>
        <sz val="12"/>
        <color theme="1"/>
        <rFont val="Times New Roman"/>
        <family val="1"/>
        <charset val="186"/>
      </rPr>
      <t xml:space="preserve"> * 0.25 h) = 1,90 </t>
    </r>
    <r>
      <rPr>
        <i/>
        <sz val="12"/>
        <color theme="1"/>
        <rFont val="Times New Roman"/>
        <family val="1"/>
        <charset val="186"/>
      </rPr>
      <t>euro</t>
    </r>
    <r>
      <rPr>
        <sz val="12"/>
        <color theme="1"/>
        <rFont val="Times New Roman"/>
        <family val="1"/>
        <charset val="186"/>
      </rPr>
      <t xml:space="preserve">/mēn. * 12. mēn. = 22,80 </t>
    </r>
    <r>
      <rPr>
        <i/>
        <sz val="12"/>
        <color theme="1"/>
        <rFont val="Times New Roman"/>
        <family val="1"/>
        <charset val="186"/>
      </rPr>
      <t>euro</t>
    </r>
    <r>
      <rPr>
        <sz val="12"/>
        <color theme="1"/>
        <rFont val="Times New Roman"/>
        <family val="1"/>
        <charset val="186"/>
      </rPr>
      <t xml:space="preserve"> * 0.944 (iznomātās platības koeficients) = 21,52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</si>
  <si>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15 min., (11,22 </t>
    </r>
    <r>
      <rPr>
        <i/>
        <sz val="12"/>
        <color theme="1"/>
        <rFont val="Times New Roman"/>
        <family val="1"/>
        <charset val="186"/>
      </rPr>
      <t>euro</t>
    </r>
    <r>
      <rPr>
        <sz val="12"/>
        <color theme="1"/>
        <rFont val="Times New Roman"/>
        <family val="1"/>
        <charset val="186"/>
      </rPr>
      <t xml:space="preserve"> * 0.25 h) = 2,81 </t>
    </r>
    <r>
      <rPr>
        <i/>
        <sz val="12"/>
        <color theme="1"/>
        <rFont val="Times New Roman"/>
        <family val="1"/>
        <charset val="186"/>
      </rPr>
      <t>euro</t>
    </r>
    <r>
      <rPr>
        <sz val="12"/>
        <color theme="1"/>
        <rFont val="Times New Roman"/>
        <family val="1"/>
        <charset val="186"/>
      </rPr>
      <t xml:space="preserve">/mēn. * 12. mēn. = 33,72 </t>
    </r>
    <r>
      <rPr>
        <i/>
        <sz val="12"/>
        <color theme="1"/>
        <rFont val="Times New Roman"/>
        <family val="1"/>
        <charset val="186"/>
      </rPr>
      <t>euro</t>
    </r>
    <r>
      <rPr>
        <sz val="12"/>
        <color theme="1"/>
        <rFont val="Times New Roman"/>
        <family val="1"/>
        <charset val="186"/>
      </rPr>
      <t xml:space="preserve"> * 0.944 (iznomātās platības koeficients) = 31,83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</si>
  <si>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 min, (15,03 </t>
    </r>
    <r>
      <rPr>
        <i/>
        <sz val="12"/>
        <color theme="1"/>
        <rFont val="Times New Roman"/>
        <family val="1"/>
        <charset val="186"/>
      </rPr>
      <t>euro</t>
    </r>
    <r>
      <rPr>
        <sz val="12"/>
        <color theme="1"/>
        <rFont val="Times New Roman"/>
        <family val="1"/>
        <charset val="186"/>
      </rPr>
      <t xml:space="preserve"> * 0.33 h) = 4,96 </t>
    </r>
    <r>
      <rPr>
        <i/>
        <sz val="12"/>
        <color theme="1"/>
        <rFont val="Times New Roman"/>
        <family val="1"/>
        <charset val="186"/>
      </rPr>
      <t>euro</t>
    </r>
    <r>
      <rPr>
        <sz val="12"/>
        <color theme="1"/>
        <rFont val="Times New Roman"/>
        <family val="1"/>
        <charset val="186"/>
      </rPr>
      <t xml:space="preserve">/mēn. * 12. mēn. = 59,52 </t>
    </r>
    <r>
      <rPr>
        <i/>
        <sz val="12"/>
        <color theme="1"/>
        <rFont val="Times New Roman"/>
        <family val="1"/>
        <charset val="186"/>
      </rPr>
      <t>euro</t>
    </r>
    <r>
      <rPr>
        <sz val="12"/>
        <color theme="1"/>
        <rFont val="Times New Roman"/>
        <family val="1"/>
        <charset val="186"/>
      </rPr>
      <t xml:space="preserve"> * 0.944 (iznomātās platības koeficients) = 56,19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</si>
  <si>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14 min., (12,07 </t>
    </r>
    <r>
      <rPr>
        <i/>
        <sz val="12"/>
        <color theme="1"/>
        <rFont val="Times New Roman"/>
        <family val="1"/>
        <charset val="186"/>
      </rPr>
      <t>euro</t>
    </r>
    <r>
      <rPr>
        <sz val="12"/>
        <color theme="1"/>
        <rFont val="Times New Roman"/>
        <family val="1"/>
        <charset val="186"/>
      </rPr>
      <t xml:space="preserve"> * 0.23 h) = 2,78 </t>
    </r>
    <r>
      <rPr>
        <i/>
        <sz val="12"/>
        <color theme="1"/>
        <rFont val="Times New Roman"/>
        <family val="1"/>
        <charset val="186"/>
      </rPr>
      <t>euro</t>
    </r>
    <r>
      <rPr>
        <sz val="12"/>
        <color theme="1"/>
        <rFont val="Times New Roman"/>
        <family val="1"/>
        <charset val="186"/>
      </rPr>
      <t xml:space="preserve">/mēn. * 12. mēn. = 33,36 </t>
    </r>
    <r>
      <rPr>
        <i/>
        <sz val="12"/>
        <color theme="1"/>
        <rFont val="Times New Roman"/>
        <family val="1"/>
        <charset val="186"/>
      </rPr>
      <t>euro</t>
    </r>
    <r>
      <rPr>
        <sz val="12"/>
        <color theme="1"/>
        <rFont val="Times New Roman"/>
        <family val="1"/>
        <charset val="186"/>
      </rPr>
      <t xml:space="preserve"> * 0.944 (iznomātās platības koeficients) = 31,49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</si>
  <si>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9.23 stundas, (8,22 </t>
    </r>
    <r>
      <rPr>
        <i/>
        <sz val="12"/>
        <color theme="1"/>
        <rFont val="Times New Roman"/>
        <family val="1"/>
        <charset val="186"/>
      </rPr>
      <t>euro</t>
    </r>
    <r>
      <rPr>
        <sz val="12"/>
        <color theme="1"/>
        <rFont val="Times New Roman"/>
        <family val="1"/>
        <charset val="186"/>
      </rPr>
      <t xml:space="preserve"> * 9.23 h) = 75,87 </t>
    </r>
    <r>
      <rPr>
        <i/>
        <sz val="12"/>
        <color theme="1"/>
        <rFont val="Times New Roman"/>
        <family val="1"/>
        <charset val="186"/>
      </rPr>
      <t>euro</t>
    </r>
    <r>
      <rPr>
        <sz val="12"/>
        <color theme="1"/>
        <rFont val="Times New Roman"/>
        <family val="1"/>
        <charset val="186"/>
      </rPr>
      <t xml:space="preserve">/mēn. * 12. mēn. = 910,44 </t>
    </r>
    <r>
      <rPr>
        <i/>
        <sz val="12"/>
        <color theme="1"/>
        <rFont val="Times New Roman"/>
        <family val="1"/>
        <charset val="186"/>
      </rPr>
      <t>euro</t>
    </r>
    <r>
      <rPr>
        <sz val="12"/>
        <color theme="1"/>
        <rFont val="Times New Roman"/>
        <family val="1"/>
        <charset val="186"/>
      </rPr>
      <t xml:space="preserve"> * 0.944 (iznomātās platības koeficients) = 859,46 </t>
    </r>
    <r>
      <rPr>
        <i/>
        <sz val="12"/>
        <color theme="1"/>
        <rFont val="Times New Roman"/>
        <family val="1"/>
        <charset val="186"/>
      </rPr>
      <t>euro.</t>
    </r>
  </si>
  <si>
    <r>
      <t xml:space="preserve">Grāmatvedis (17. saime, IV līmenis, 9. algu grupa, amēnešalga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Grāmatvežu vid. mēn. noslogojums 4.42 stundas,  (9,11 </t>
    </r>
    <r>
      <rPr>
        <i/>
        <sz val="12"/>
        <color theme="1"/>
        <rFont val="Times New Roman"/>
        <family val="1"/>
        <charset val="186"/>
      </rPr>
      <t>euro</t>
    </r>
    <r>
      <rPr>
        <sz val="12"/>
        <color theme="1"/>
        <rFont val="Times New Roman"/>
        <family val="1"/>
        <charset val="186"/>
      </rPr>
      <t xml:space="preserve"> * 4.42 h) = 40,27 </t>
    </r>
    <r>
      <rPr>
        <i/>
        <sz val="12"/>
        <color theme="1"/>
        <rFont val="Times New Roman"/>
        <family val="1"/>
        <charset val="186"/>
      </rPr>
      <t>euro</t>
    </r>
    <r>
      <rPr>
        <sz val="12"/>
        <color theme="1"/>
        <rFont val="Times New Roman"/>
        <family val="1"/>
        <charset val="186"/>
      </rPr>
      <t xml:space="preserve">/mēn. * 12. mēn. = 483,24 </t>
    </r>
    <r>
      <rPr>
        <i/>
        <sz val="12"/>
        <color theme="1"/>
        <rFont val="Times New Roman"/>
        <family val="1"/>
        <charset val="186"/>
      </rPr>
      <t>euro</t>
    </r>
    <r>
      <rPr>
        <sz val="12"/>
        <color theme="1"/>
        <rFont val="Times New Roman"/>
        <family val="1"/>
        <charset val="186"/>
      </rPr>
      <t xml:space="preserve"> * 0.944 (iznomātās platības koeficients) = 456,18 </t>
    </r>
    <r>
      <rPr>
        <i/>
        <sz val="12"/>
        <color theme="1"/>
        <rFont val="Times New Roman"/>
        <family val="1"/>
        <charset val="186"/>
      </rPr>
      <t>euro</t>
    </r>
    <r>
      <rPr>
        <sz val="12"/>
        <color theme="1"/>
        <rFont val="Times New Roman"/>
        <family val="1"/>
        <charset val="186"/>
      </rPr>
      <t>.</t>
    </r>
  </si>
  <si>
    <r>
      <t xml:space="preserve">Grāmatvedis (17. saime, III līmenis,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10.56 stundas, (8,22 </t>
    </r>
    <r>
      <rPr>
        <i/>
        <sz val="12"/>
        <color theme="1"/>
        <rFont val="Times New Roman"/>
        <family val="1"/>
        <charset val="186"/>
      </rPr>
      <t>euro</t>
    </r>
    <r>
      <rPr>
        <sz val="12"/>
        <color theme="1"/>
        <rFont val="Times New Roman"/>
        <family val="1"/>
        <charset val="186"/>
      </rPr>
      <t xml:space="preserve"> * 10.56 h) = 86,80 </t>
    </r>
    <r>
      <rPr>
        <i/>
        <sz val="12"/>
        <color theme="1"/>
        <rFont val="Times New Roman"/>
        <family val="1"/>
        <charset val="186"/>
      </rPr>
      <t>euro</t>
    </r>
    <r>
      <rPr>
        <sz val="12"/>
        <color theme="1"/>
        <rFont val="Times New Roman"/>
        <family val="1"/>
        <charset val="186"/>
      </rPr>
      <t xml:space="preserve">/mēn. * 12. mēn. = 1 041,60 </t>
    </r>
    <r>
      <rPr>
        <i/>
        <sz val="12"/>
        <color theme="1"/>
        <rFont val="Times New Roman"/>
        <family val="1"/>
        <charset val="186"/>
      </rPr>
      <t>euro</t>
    </r>
    <r>
      <rPr>
        <sz val="12"/>
        <color theme="1"/>
        <rFont val="Times New Roman"/>
        <family val="1"/>
        <charset val="186"/>
      </rPr>
      <t xml:space="preserve"> * 0.944 (iznomātās platības koeficients) = 983,27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</si>
  <si>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1 stunda, (24,34 </t>
    </r>
    <r>
      <rPr>
        <i/>
        <sz val="12"/>
        <color theme="1"/>
        <rFont val="Times New Roman"/>
        <family val="1"/>
        <charset val="186"/>
      </rPr>
      <t>euro</t>
    </r>
    <r>
      <rPr>
        <sz val="12"/>
        <color theme="1"/>
        <rFont val="Times New Roman"/>
        <family val="1"/>
        <charset val="186"/>
      </rPr>
      <t xml:space="preserve"> * 1 h) = 24,34 </t>
    </r>
    <r>
      <rPr>
        <i/>
        <sz val="12"/>
        <color theme="1"/>
        <rFont val="Times New Roman"/>
        <family val="1"/>
        <charset val="186"/>
      </rPr>
      <t>euro</t>
    </r>
    <r>
      <rPr>
        <sz val="12"/>
        <color theme="1"/>
        <rFont val="Times New Roman"/>
        <family val="1"/>
        <charset val="186"/>
      </rPr>
      <t xml:space="preserve">/mēn * 12. mēn. = 292,08 </t>
    </r>
    <r>
      <rPr>
        <i/>
        <sz val="12"/>
        <color theme="1"/>
        <rFont val="Times New Roman"/>
        <family val="1"/>
        <charset val="186"/>
      </rPr>
      <t>euro</t>
    </r>
    <r>
      <rPr>
        <sz val="12"/>
        <color theme="1"/>
        <rFont val="Times New Roman"/>
        <family val="1"/>
        <charset val="186"/>
      </rPr>
      <t xml:space="preserve"> * 0.944 (iznomātās platības koeficients) = 275,72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</si>
  <si>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14 min., (26,96 </t>
    </r>
    <r>
      <rPr>
        <i/>
        <sz val="12"/>
        <color theme="1"/>
        <rFont val="Times New Roman"/>
        <family val="1"/>
        <charset val="186"/>
      </rPr>
      <t>euro</t>
    </r>
    <r>
      <rPr>
        <sz val="12"/>
        <color theme="1"/>
        <rFont val="Times New Roman"/>
        <family val="1"/>
        <charset val="186"/>
      </rPr>
      <t xml:space="preserve"> * 0.23 h) = 6,20 </t>
    </r>
    <r>
      <rPr>
        <i/>
        <sz val="12"/>
        <color theme="1"/>
        <rFont val="Times New Roman"/>
        <family val="1"/>
        <charset val="186"/>
      </rPr>
      <t>euro</t>
    </r>
    <r>
      <rPr>
        <sz val="12"/>
        <color theme="1"/>
        <rFont val="Times New Roman"/>
        <family val="1"/>
        <charset val="186"/>
      </rPr>
      <t xml:space="preserve">/mēn. * 12. mēn. = 74,40 </t>
    </r>
    <r>
      <rPr>
        <i/>
        <sz val="12"/>
        <color theme="1"/>
        <rFont val="Times New Roman"/>
        <family val="1"/>
        <charset val="186"/>
      </rPr>
      <t>euro</t>
    </r>
    <r>
      <rPr>
        <sz val="12"/>
        <color theme="1"/>
        <rFont val="Times New Roman"/>
        <family val="1"/>
        <charset val="186"/>
      </rPr>
      <t xml:space="preserve"> * 0.944 (iznomātās platības koeficients) = 70,23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</si>
  <si>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2 815,23 </t>
    </r>
    <r>
      <rPr>
        <i/>
        <sz val="12"/>
        <color theme="1"/>
        <rFont val="Times New Roman"/>
        <family val="1"/>
        <charset val="186"/>
      </rPr>
      <t>euro</t>
    </r>
    <r>
      <rPr>
        <sz val="12"/>
        <color theme="1"/>
        <rFont val="Times New Roman"/>
        <family val="1"/>
        <charset val="186"/>
      </rPr>
      <t xml:space="preserve"> * 23,59 % = 664,11 </t>
    </r>
    <r>
      <rPr>
        <i/>
        <sz val="12"/>
        <color theme="1"/>
        <rFont val="Times New Roman"/>
        <family val="1"/>
        <charset val="186"/>
      </rPr>
      <t>euro</t>
    </r>
    <r>
      <rPr>
        <sz val="12"/>
        <color theme="1"/>
        <rFont val="Times New Roman"/>
        <family val="1"/>
        <charset val="186"/>
      </rPr>
      <t>.</t>
    </r>
  </si>
  <si>
    <r>
      <t xml:space="preserve">Pamatlīdzekļu amortizācija 551,31 </t>
    </r>
    <r>
      <rPr>
        <i/>
        <sz val="12"/>
        <color theme="1"/>
        <rFont val="Times New Roman"/>
        <family val="1"/>
        <charset val="186"/>
      </rPr>
      <t>euro</t>
    </r>
    <r>
      <rPr>
        <sz val="12"/>
        <color theme="1"/>
        <rFont val="Times New Roman"/>
        <family val="1"/>
        <charset val="186"/>
      </rPr>
      <t xml:space="preserve"> gadā * 0.944 (iznomātās platības koeficients) = 520,44 </t>
    </r>
    <r>
      <rPr>
        <i/>
        <sz val="12"/>
        <color theme="1"/>
        <rFont val="Times New Roman"/>
        <family val="1"/>
        <charset val="186"/>
      </rPr>
      <t>euro</t>
    </r>
    <r>
      <rPr>
        <sz val="12"/>
        <color theme="1"/>
        <rFont val="Times New Roman"/>
        <family val="1"/>
        <charset val="186"/>
      </rPr>
      <t>.</t>
    </r>
  </si>
  <si>
    <t>Maksas pakalpojuma vienību skaits noteiktā laikposmā (1 440 stundas gadā)</t>
  </si>
  <si>
    <r>
      <t xml:space="preserve">Galv. nekust. īpaš. pārvaldnieks (3. saime, III līmenis, 8. algu grupa, mēnešalga 1 358 euro). Stundas tarifa likme 8,14 </t>
    </r>
    <r>
      <rPr>
        <i/>
        <sz val="12"/>
        <color theme="1"/>
        <rFont val="Times New Roman"/>
        <family val="1"/>
        <charset val="186"/>
      </rPr>
      <t>euro</t>
    </r>
    <r>
      <rPr>
        <sz val="12"/>
        <color theme="1"/>
        <rFont val="Times New Roman"/>
        <family val="1"/>
        <charset val="186"/>
      </rPr>
      <t xml:space="preserve"> = 1 358 euro / 166.92 (vid. d. stundu sk. mēnesī). Vid. mēn. noslogojums 6 stundas, (8,14 </t>
    </r>
    <r>
      <rPr>
        <i/>
        <sz val="12"/>
        <color theme="1"/>
        <rFont val="Times New Roman"/>
        <family val="1"/>
        <charset val="186"/>
      </rPr>
      <t>euro</t>
    </r>
    <r>
      <rPr>
        <sz val="12"/>
        <color theme="1"/>
        <rFont val="Times New Roman"/>
        <family val="1"/>
        <charset val="186"/>
      </rPr>
      <t xml:space="preserve"> * 6 h) = 48,84 </t>
    </r>
    <r>
      <rPr>
        <i/>
        <sz val="12"/>
        <color theme="1"/>
        <rFont val="Times New Roman"/>
        <family val="1"/>
        <charset val="186"/>
      </rPr>
      <t>euro</t>
    </r>
    <r>
      <rPr>
        <sz val="12"/>
        <color theme="1"/>
        <rFont val="Times New Roman"/>
        <family val="1"/>
        <charset val="186"/>
      </rPr>
      <t xml:space="preserve"> * 12 mēn. = 586,08 </t>
    </r>
    <r>
      <rPr>
        <i/>
        <sz val="12"/>
        <color theme="1"/>
        <rFont val="Times New Roman"/>
        <family val="1"/>
        <charset val="186"/>
      </rPr>
      <t>euro</t>
    </r>
    <r>
      <rPr>
        <sz val="12"/>
        <color theme="1"/>
        <rFont val="Times New Roman"/>
        <family val="1"/>
        <charset val="186"/>
      </rPr>
      <t xml:space="preserve"> * 0.056 (iznomātās platības koeficients)  = 32,82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</si>
  <si>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5,37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166.92 (vid. d. stundu sk. mēnesī). Vid. mēn. noslogojums 20 stundas, (5,37 </t>
    </r>
    <r>
      <rPr>
        <i/>
        <sz val="12"/>
        <color theme="1"/>
        <rFont val="Times New Roman"/>
        <family val="1"/>
        <charset val="186"/>
      </rPr>
      <t>euro</t>
    </r>
    <r>
      <rPr>
        <sz val="12"/>
        <color theme="1"/>
        <rFont val="Times New Roman"/>
        <family val="1"/>
        <charset val="186"/>
      </rPr>
      <t xml:space="preserve"> * 20 h) = 107,40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1 288,80 </t>
    </r>
    <r>
      <rPr>
        <i/>
        <sz val="12"/>
        <color theme="1"/>
        <rFont val="Times New Roman"/>
        <family val="1"/>
        <charset val="186"/>
      </rPr>
      <t>euro</t>
    </r>
    <r>
      <rPr>
        <sz val="12"/>
        <color theme="1"/>
        <rFont val="Times New Roman"/>
        <family val="1"/>
        <charset val="186"/>
      </rPr>
      <t xml:space="preserve"> * 0.056 (iznomātās platības koeficients) = 72,17 </t>
    </r>
    <r>
      <rPr>
        <i/>
        <sz val="12"/>
        <color theme="1"/>
        <rFont val="Times New Roman"/>
        <family val="1"/>
        <charset val="186"/>
      </rPr>
      <t>euro</t>
    </r>
    <r>
      <rPr>
        <sz val="12"/>
        <color theme="1"/>
        <rFont val="Times New Roman"/>
        <family val="1"/>
        <charset val="186"/>
      </rPr>
      <t xml:space="preserve">. </t>
    </r>
  </si>
  <si>
    <r>
      <t xml:space="preserve">Galv. nekust. īpaš. pārvaldnieks (32,82 </t>
    </r>
    <r>
      <rPr>
        <i/>
        <sz val="12"/>
        <color theme="1"/>
        <rFont val="Times New Roman"/>
        <family val="1"/>
        <charset val="186"/>
      </rPr>
      <t>euro</t>
    </r>
    <r>
      <rPr>
        <sz val="12"/>
        <color theme="1"/>
        <rFont val="Times New Roman"/>
        <family val="1"/>
        <charset val="186"/>
      </rPr>
      <t xml:space="preserve"> * 10%) = 3,28 </t>
    </r>
    <r>
      <rPr>
        <i/>
        <sz val="12"/>
        <color theme="1"/>
        <rFont val="Times New Roman"/>
        <family val="1"/>
        <charset val="186"/>
      </rPr>
      <t>euro</t>
    </r>
    <r>
      <rPr>
        <sz val="12"/>
        <color theme="1"/>
        <rFont val="Times New Roman"/>
        <family val="1"/>
        <charset val="186"/>
      </rPr>
      <t xml:space="preserve">, Saimniecības pārzinis (72,17 </t>
    </r>
    <r>
      <rPr>
        <i/>
        <sz val="12"/>
        <color theme="1"/>
        <rFont val="Times New Roman"/>
        <family val="1"/>
        <charset val="186"/>
      </rPr>
      <t>euro</t>
    </r>
    <r>
      <rPr>
        <sz val="12"/>
        <color theme="1"/>
        <rFont val="Times New Roman"/>
        <family val="1"/>
        <charset val="186"/>
      </rPr>
      <t xml:space="preserve"> * 10%) = 7,22 </t>
    </r>
    <r>
      <rPr>
        <i/>
        <sz val="12"/>
        <color theme="1"/>
        <rFont val="Times New Roman"/>
        <family val="1"/>
        <charset val="186"/>
      </rPr>
      <t xml:space="preserve">euro. </t>
    </r>
    <r>
      <rPr>
        <sz val="12"/>
        <color theme="1"/>
        <rFont val="Times New Roman"/>
        <family val="1"/>
        <charset val="186"/>
      </rPr>
      <t xml:space="preserve">Kopā (3,28 </t>
    </r>
    <r>
      <rPr>
        <i/>
        <sz val="12"/>
        <color theme="1"/>
        <rFont val="Times New Roman"/>
        <family val="1"/>
        <charset val="186"/>
      </rPr>
      <t>euro</t>
    </r>
    <r>
      <rPr>
        <sz val="12"/>
        <color theme="1"/>
        <rFont val="Times New Roman"/>
        <family val="1"/>
        <charset val="186"/>
      </rPr>
      <t xml:space="preserve"> + 7,22 </t>
    </r>
    <r>
      <rPr>
        <i/>
        <sz val="12"/>
        <color theme="1"/>
        <rFont val="Times New Roman"/>
        <family val="1"/>
        <charset val="186"/>
      </rPr>
      <t>euro</t>
    </r>
    <r>
      <rPr>
        <sz val="12"/>
        <color theme="1"/>
        <rFont val="Times New Roman"/>
        <family val="1"/>
        <charset val="186"/>
      </rPr>
      <t xml:space="preserve">) = 10,50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</si>
  <si>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(115,49 </t>
    </r>
    <r>
      <rPr>
        <i/>
        <sz val="12"/>
        <color theme="1"/>
        <rFont val="Times New Roman"/>
        <family val="1"/>
        <charset val="186"/>
      </rPr>
      <t>euro</t>
    </r>
    <r>
      <rPr>
        <sz val="12"/>
        <color theme="1"/>
        <rFont val="Times New Roman"/>
        <family val="1"/>
        <charset val="186"/>
      </rPr>
      <t xml:space="preserve"> * 23,59 %) = 27,24 </t>
    </r>
    <r>
      <rPr>
        <i/>
        <sz val="12"/>
        <color theme="1"/>
        <rFont val="Times New Roman"/>
        <family val="1"/>
        <charset val="186"/>
      </rPr>
      <t xml:space="preserve">euro. </t>
    </r>
  </si>
  <si>
    <r>
      <t xml:space="preserve">Veselības apdrošināšana, Galv. nekust. īpaš. pārvaldnieks (32,82 </t>
    </r>
    <r>
      <rPr>
        <i/>
        <sz val="12"/>
        <color theme="1"/>
        <rFont val="Times New Roman"/>
        <family val="1"/>
        <charset val="186"/>
      </rPr>
      <t>euro</t>
    </r>
    <r>
      <rPr>
        <sz val="12"/>
        <color theme="1"/>
        <rFont val="Times New Roman"/>
        <family val="1"/>
        <charset val="186"/>
      </rPr>
      <t xml:space="preserve"> * 5 %) = 1,64 </t>
    </r>
    <r>
      <rPr>
        <i/>
        <sz val="12"/>
        <color theme="1"/>
        <rFont val="Times New Roman"/>
        <family val="1"/>
        <charset val="186"/>
      </rPr>
      <t>euro</t>
    </r>
    <r>
      <rPr>
        <sz val="12"/>
        <color theme="1"/>
        <rFont val="Times New Roman"/>
        <family val="1"/>
        <charset val="186"/>
      </rPr>
      <t xml:space="preserve">, Saimniecības pārzinis (72,17 </t>
    </r>
    <r>
      <rPr>
        <i/>
        <sz val="12"/>
        <color theme="1"/>
        <rFont val="Times New Roman"/>
        <family val="1"/>
        <charset val="186"/>
      </rPr>
      <t>euro</t>
    </r>
    <r>
      <rPr>
        <sz val="12"/>
        <color theme="1"/>
        <rFont val="Times New Roman"/>
        <family val="1"/>
        <charset val="186"/>
      </rPr>
      <t xml:space="preserve"> * 5 %) = 3,61 </t>
    </r>
    <r>
      <rPr>
        <i/>
        <sz val="12"/>
        <color theme="1"/>
        <rFont val="Times New Roman"/>
        <family val="1"/>
        <charset val="186"/>
      </rPr>
      <t>euro</t>
    </r>
    <r>
      <rPr>
        <sz val="12"/>
        <color theme="1"/>
        <rFont val="Times New Roman"/>
        <family val="1"/>
        <charset val="186"/>
      </rPr>
      <t xml:space="preserve">. Kopā (1,64 euro + 3,61 </t>
    </r>
    <r>
      <rPr>
        <i/>
        <sz val="12"/>
        <color theme="1"/>
        <rFont val="Times New Roman"/>
        <family val="1"/>
        <charset val="186"/>
      </rPr>
      <t>euro</t>
    </r>
    <r>
      <rPr>
        <sz val="12"/>
        <color theme="1"/>
        <rFont val="Times New Roman"/>
        <family val="1"/>
        <charset val="186"/>
      </rPr>
      <t xml:space="preserve">) = 5,25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</si>
  <si>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23,59 % = 27,24 </t>
    </r>
    <r>
      <rPr>
        <i/>
        <sz val="12"/>
        <color theme="1"/>
        <rFont val="Times New Roman"/>
        <family val="1"/>
        <charset val="186"/>
      </rPr>
      <t>euro</t>
    </r>
    <r>
      <rPr>
        <sz val="12"/>
        <color theme="1"/>
        <rFont val="Times New Roman"/>
        <family val="1"/>
        <charset val="186"/>
      </rPr>
      <t xml:space="preserve">. Veselības apdrošināšana 5,25 </t>
    </r>
    <r>
      <rPr>
        <i/>
        <sz val="12"/>
        <color theme="1"/>
        <rFont val="Times New Roman"/>
        <family val="1"/>
        <charset val="186"/>
      </rPr>
      <t>euro</t>
    </r>
    <r>
      <rPr>
        <sz val="12"/>
        <color theme="1"/>
        <rFont val="Times New Roman"/>
        <family val="1"/>
        <charset val="186"/>
      </rPr>
      <t xml:space="preserve">. Kopā 32,49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</si>
  <si>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14 min., (11,24 </t>
    </r>
    <r>
      <rPr>
        <i/>
        <sz val="12"/>
        <color theme="1"/>
        <rFont val="Times New Roman"/>
        <family val="1"/>
        <charset val="186"/>
      </rPr>
      <t>euro</t>
    </r>
    <r>
      <rPr>
        <sz val="12"/>
        <color theme="1"/>
        <rFont val="Times New Roman"/>
        <family val="1"/>
        <charset val="186"/>
      </rPr>
      <t xml:space="preserve"> * 0.23 h) = 2,59 </t>
    </r>
    <r>
      <rPr>
        <i/>
        <sz val="12"/>
        <color theme="1"/>
        <rFont val="Times New Roman"/>
        <family val="1"/>
        <charset val="186"/>
      </rPr>
      <t>euro</t>
    </r>
    <r>
      <rPr>
        <sz val="12"/>
        <color theme="1"/>
        <rFont val="Times New Roman"/>
        <family val="1"/>
        <charset val="186"/>
      </rPr>
      <t xml:space="preserve">/mēn. * 12. mēn. = 31,08 </t>
    </r>
    <r>
      <rPr>
        <i/>
        <sz val="12"/>
        <color theme="1"/>
        <rFont val="Times New Roman"/>
        <family val="1"/>
        <charset val="186"/>
      </rPr>
      <t>euro</t>
    </r>
    <r>
      <rPr>
        <sz val="12"/>
        <color theme="1"/>
        <rFont val="Times New Roman"/>
        <family val="1"/>
        <charset val="186"/>
      </rPr>
      <t xml:space="preserve"> * 0.056 (iznomātās platības koeficients) = 1,74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</si>
  <si>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15 min.,  (7,58 </t>
    </r>
    <r>
      <rPr>
        <i/>
        <sz val="12"/>
        <color theme="1"/>
        <rFont val="Times New Roman"/>
        <family val="1"/>
        <charset val="186"/>
      </rPr>
      <t>euro</t>
    </r>
    <r>
      <rPr>
        <sz val="12"/>
        <color theme="1"/>
        <rFont val="Times New Roman"/>
        <family val="1"/>
        <charset val="186"/>
      </rPr>
      <t xml:space="preserve"> * 0.25 h) = 1,90 </t>
    </r>
    <r>
      <rPr>
        <i/>
        <sz val="12"/>
        <color theme="1"/>
        <rFont val="Times New Roman"/>
        <family val="1"/>
        <charset val="186"/>
      </rPr>
      <t>euro</t>
    </r>
    <r>
      <rPr>
        <sz val="12"/>
        <color theme="1"/>
        <rFont val="Times New Roman"/>
        <family val="1"/>
        <charset val="186"/>
      </rPr>
      <t xml:space="preserve">/mēn. * 12. mēn. = 22,80 </t>
    </r>
    <r>
      <rPr>
        <i/>
        <sz val="12"/>
        <color theme="1"/>
        <rFont val="Times New Roman"/>
        <family val="1"/>
        <charset val="186"/>
      </rPr>
      <t>euro</t>
    </r>
    <r>
      <rPr>
        <sz val="12"/>
        <color theme="1"/>
        <rFont val="Times New Roman"/>
        <family val="1"/>
        <charset val="186"/>
      </rPr>
      <t xml:space="preserve"> * 0.056 (iznomātās platības koeficients) = 1,28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</si>
  <si>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15 min., (11,22 </t>
    </r>
    <r>
      <rPr>
        <i/>
        <sz val="12"/>
        <color theme="1"/>
        <rFont val="Times New Roman"/>
        <family val="1"/>
        <charset val="186"/>
      </rPr>
      <t>euro</t>
    </r>
    <r>
      <rPr>
        <sz val="12"/>
        <color theme="1"/>
        <rFont val="Times New Roman"/>
        <family val="1"/>
        <charset val="186"/>
      </rPr>
      <t xml:space="preserve"> * 0.25 h) = 2,81 </t>
    </r>
    <r>
      <rPr>
        <i/>
        <sz val="12"/>
        <color theme="1"/>
        <rFont val="Times New Roman"/>
        <family val="1"/>
        <charset val="186"/>
      </rPr>
      <t>euro</t>
    </r>
    <r>
      <rPr>
        <sz val="12"/>
        <color theme="1"/>
        <rFont val="Times New Roman"/>
        <family val="1"/>
        <charset val="186"/>
      </rPr>
      <t xml:space="preserve">/mēn. * 12. mēn. = 33,72 </t>
    </r>
    <r>
      <rPr>
        <i/>
        <sz val="12"/>
        <color theme="1"/>
        <rFont val="Times New Roman"/>
        <family val="1"/>
        <charset val="186"/>
      </rPr>
      <t>euro</t>
    </r>
    <r>
      <rPr>
        <sz val="12"/>
        <color theme="1"/>
        <rFont val="Times New Roman"/>
        <family val="1"/>
        <charset val="186"/>
      </rPr>
      <t xml:space="preserve"> * 0.056 (iznomātās platības koeficients) = 1,89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</si>
  <si>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20 min, (15,03 </t>
    </r>
    <r>
      <rPr>
        <i/>
        <sz val="12"/>
        <color theme="1"/>
        <rFont val="Times New Roman"/>
        <family val="1"/>
        <charset val="186"/>
      </rPr>
      <t>euro</t>
    </r>
    <r>
      <rPr>
        <sz val="12"/>
        <color theme="1"/>
        <rFont val="Times New Roman"/>
        <family val="1"/>
        <charset val="186"/>
      </rPr>
      <t xml:space="preserve"> * 0.33 h) = 4,96 </t>
    </r>
    <r>
      <rPr>
        <i/>
        <sz val="12"/>
        <color theme="1"/>
        <rFont val="Times New Roman"/>
        <family val="1"/>
        <charset val="186"/>
      </rPr>
      <t>euro</t>
    </r>
    <r>
      <rPr>
        <sz val="12"/>
        <color theme="1"/>
        <rFont val="Times New Roman"/>
        <family val="1"/>
        <charset val="186"/>
      </rPr>
      <t xml:space="preserve">/mēn. * 12. mēn. = 59,52 </t>
    </r>
    <r>
      <rPr>
        <i/>
        <sz val="12"/>
        <color theme="1"/>
        <rFont val="Times New Roman"/>
        <family val="1"/>
        <charset val="186"/>
      </rPr>
      <t>euro</t>
    </r>
    <r>
      <rPr>
        <sz val="12"/>
        <color theme="1"/>
        <rFont val="Times New Roman"/>
        <family val="1"/>
        <charset val="186"/>
      </rPr>
      <t xml:space="preserve"> * 0.056 (iznomātās platības koeficients) = 3,33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</si>
  <si>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12,07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166.92 (vid. d. stundu sk. mēnesī). Vid. mēn. noslogojums 14 min., (12,07 </t>
    </r>
    <r>
      <rPr>
        <i/>
        <sz val="12"/>
        <color theme="1"/>
        <rFont val="Times New Roman"/>
        <family val="1"/>
        <charset val="186"/>
      </rPr>
      <t>euro</t>
    </r>
    <r>
      <rPr>
        <sz val="12"/>
        <color theme="1"/>
        <rFont val="Times New Roman"/>
        <family val="1"/>
        <charset val="186"/>
      </rPr>
      <t xml:space="preserve"> * 0.23 h) = 2,78 </t>
    </r>
    <r>
      <rPr>
        <i/>
        <sz val="12"/>
        <color theme="1"/>
        <rFont val="Times New Roman"/>
        <family val="1"/>
        <charset val="186"/>
      </rPr>
      <t>euro</t>
    </r>
    <r>
      <rPr>
        <sz val="12"/>
        <color theme="1"/>
        <rFont val="Times New Roman"/>
        <family val="1"/>
        <charset val="186"/>
      </rPr>
      <t xml:space="preserve">/mēn. * 12. mēn. = 33,36 </t>
    </r>
    <r>
      <rPr>
        <i/>
        <sz val="12"/>
        <color theme="1"/>
        <rFont val="Times New Roman"/>
        <family val="1"/>
        <charset val="186"/>
      </rPr>
      <t>euro</t>
    </r>
    <r>
      <rPr>
        <sz val="12"/>
        <color theme="1"/>
        <rFont val="Times New Roman"/>
        <family val="1"/>
        <charset val="186"/>
      </rPr>
      <t xml:space="preserve"> * 0.056 (iznomātās platības koeficients) = 1,87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</si>
  <si>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166.92 (vid. d. stundu sk. mēnesī). Vid. mēn. noslogojums 9.23 stundas, (8,22 </t>
    </r>
    <r>
      <rPr>
        <i/>
        <sz val="12"/>
        <color theme="1"/>
        <rFont val="Times New Roman"/>
        <family val="1"/>
        <charset val="186"/>
      </rPr>
      <t>euro</t>
    </r>
    <r>
      <rPr>
        <sz val="12"/>
        <color theme="1"/>
        <rFont val="Times New Roman"/>
        <family val="1"/>
        <charset val="186"/>
      </rPr>
      <t xml:space="preserve"> * 9.23 h) = 75,87 </t>
    </r>
    <r>
      <rPr>
        <i/>
        <sz val="12"/>
        <color theme="1"/>
        <rFont val="Times New Roman"/>
        <family val="1"/>
        <charset val="186"/>
      </rPr>
      <t>euro</t>
    </r>
    <r>
      <rPr>
        <sz val="12"/>
        <color theme="1"/>
        <rFont val="Times New Roman"/>
        <family val="1"/>
        <charset val="186"/>
      </rPr>
      <t xml:space="preserve">/mēn. * 12. mēn. = 910,44 </t>
    </r>
    <r>
      <rPr>
        <i/>
        <sz val="12"/>
        <color theme="1"/>
        <rFont val="Times New Roman"/>
        <family val="1"/>
        <charset val="186"/>
      </rPr>
      <t>euro</t>
    </r>
    <r>
      <rPr>
        <sz val="12"/>
        <color theme="1"/>
        <rFont val="Times New Roman"/>
        <family val="1"/>
        <charset val="186"/>
      </rPr>
      <t xml:space="preserve"> * 0.056 (iznomātās platības koeficients) = 50,98 </t>
    </r>
    <r>
      <rPr>
        <i/>
        <sz val="12"/>
        <color theme="1"/>
        <rFont val="Times New Roman"/>
        <family val="1"/>
        <charset val="186"/>
      </rPr>
      <t>euro.</t>
    </r>
  </si>
  <si>
    <r>
      <t xml:space="preserve">Grāmatvedis (17. saime, IV līmenis, 9. algu grupa, amēnešalga 1 521 </t>
    </r>
    <r>
      <rPr>
        <i/>
        <sz val="12"/>
        <color theme="1"/>
        <rFont val="Times New Roman"/>
        <family val="1"/>
        <charset val="186"/>
      </rPr>
      <t>euro</t>
    </r>
    <r>
      <rPr>
        <sz val="12"/>
        <color theme="1"/>
        <rFont val="Times New Roman"/>
        <family val="1"/>
        <charset val="186"/>
      </rPr>
      <t xml:space="preserve">). Stundas tarifa likme 9,11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166.92 (vid. d. stundu sk. mēnesī). Grāmatvežu vid. mēn. noslogojums 4.42 stundas,  (9,11 </t>
    </r>
    <r>
      <rPr>
        <i/>
        <sz val="12"/>
        <color theme="1"/>
        <rFont val="Times New Roman"/>
        <family val="1"/>
        <charset val="186"/>
      </rPr>
      <t>euro</t>
    </r>
    <r>
      <rPr>
        <sz val="12"/>
        <color theme="1"/>
        <rFont val="Times New Roman"/>
        <family val="1"/>
        <charset val="186"/>
      </rPr>
      <t xml:space="preserve"> * 4.42 h) = 40,27 </t>
    </r>
    <r>
      <rPr>
        <i/>
        <sz val="12"/>
        <color theme="1"/>
        <rFont val="Times New Roman"/>
        <family val="1"/>
        <charset val="186"/>
      </rPr>
      <t>euro</t>
    </r>
    <r>
      <rPr>
        <sz val="12"/>
        <color theme="1"/>
        <rFont val="Times New Roman"/>
        <family val="1"/>
        <charset val="186"/>
      </rPr>
      <t xml:space="preserve">/mēn. * 12. mēn. = 483,24 </t>
    </r>
    <r>
      <rPr>
        <i/>
        <sz val="12"/>
        <color theme="1"/>
        <rFont val="Times New Roman"/>
        <family val="1"/>
        <charset val="186"/>
      </rPr>
      <t>euro</t>
    </r>
    <r>
      <rPr>
        <sz val="12"/>
        <color theme="1"/>
        <rFont val="Times New Roman"/>
        <family val="1"/>
        <charset val="186"/>
      </rPr>
      <t xml:space="preserve"> * 0.056 (iznomātās platības koeficients) = 27,06 </t>
    </r>
    <r>
      <rPr>
        <i/>
        <sz val="12"/>
        <color theme="1"/>
        <rFont val="Times New Roman"/>
        <family val="1"/>
        <charset val="186"/>
      </rPr>
      <t>euro</t>
    </r>
    <r>
      <rPr>
        <sz val="12"/>
        <color theme="1"/>
        <rFont val="Times New Roman"/>
        <family val="1"/>
        <charset val="186"/>
      </rPr>
      <t>.</t>
    </r>
  </si>
  <si>
    <r>
      <t xml:space="preserve">Grāmatvedis (17. saime, III līmenis,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166.92 (vid. d. stundu sk. mēnesī). Vid. mēn. noslogojums 10.56 stundas, (8,22 </t>
    </r>
    <r>
      <rPr>
        <i/>
        <sz val="12"/>
        <color theme="1"/>
        <rFont val="Times New Roman"/>
        <family val="1"/>
        <charset val="186"/>
      </rPr>
      <t>euro</t>
    </r>
    <r>
      <rPr>
        <sz val="12"/>
        <color theme="1"/>
        <rFont val="Times New Roman"/>
        <family val="1"/>
        <charset val="186"/>
      </rPr>
      <t xml:space="preserve"> * 10.56 h) = 86,80 </t>
    </r>
    <r>
      <rPr>
        <i/>
        <sz val="12"/>
        <color theme="1"/>
        <rFont val="Times New Roman"/>
        <family val="1"/>
        <charset val="186"/>
      </rPr>
      <t>euro</t>
    </r>
    <r>
      <rPr>
        <sz val="12"/>
        <color theme="1"/>
        <rFont val="Times New Roman"/>
        <family val="1"/>
        <charset val="186"/>
      </rPr>
      <t xml:space="preserve">/mēn. * 12. mēn. = 1 041,60 </t>
    </r>
    <r>
      <rPr>
        <i/>
        <sz val="12"/>
        <color theme="1"/>
        <rFont val="Times New Roman"/>
        <family val="1"/>
        <charset val="186"/>
      </rPr>
      <t>euro</t>
    </r>
    <r>
      <rPr>
        <sz val="12"/>
        <color theme="1"/>
        <rFont val="Times New Roman"/>
        <family val="1"/>
        <charset val="186"/>
      </rPr>
      <t xml:space="preserve"> * 0.056 (iznomātās platības koeficients) = 58,33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</si>
  <si>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24,34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166.92 (vid. d. stundu sk. mēnesī). Vid. mēn. noslogojums 1 stunda, (24,34 </t>
    </r>
    <r>
      <rPr>
        <i/>
        <sz val="12"/>
        <color theme="1"/>
        <rFont val="Times New Roman"/>
        <family val="1"/>
        <charset val="186"/>
      </rPr>
      <t>euro</t>
    </r>
    <r>
      <rPr>
        <sz val="12"/>
        <color theme="1"/>
        <rFont val="Times New Roman"/>
        <family val="1"/>
        <charset val="186"/>
      </rPr>
      <t xml:space="preserve"> * 1 h) = 24,34 </t>
    </r>
    <r>
      <rPr>
        <i/>
        <sz val="12"/>
        <color theme="1"/>
        <rFont val="Times New Roman"/>
        <family val="1"/>
        <charset val="186"/>
      </rPr>
      <t>euro</t>
    </r>
    <r>
      <rPr>
        <sz val="12"/>
        <color theme="1"/>
        <rFont val="Times New Roman"/>
        <family val="1"/>
        <charset val="186"/>
      </rPr>
      <t xml:space="preserve">/mēn * 12. mēn. = 292,08 </t>
    </r>
    <r>
      <rPr>
        <i/>
        <sz val="12"/>
        <color theme="1"/>
        <rFont val="Times New Roman"/>
        <family val="1"/>
        <charset val="186"/>
      </rPr>
      <t>euro</t>
    </r>
    <r>
      <rPr>
        <sz val="12"/>
        <color theme="1"/>
        <rFont val="Times New Roman"/>
        <family val="1"/>
        <charset val="186"/>
      </rPr>
      <t xml:space="preserve"> * 0.056 (iznomātās platības koeficients) = 16,36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</si>
  <si>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26,96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166.92 (vid. d. stundu sk. mēnesī). Vid. mēn. noslogojums 14 min., (26,96 </t>
    </r>
    <r>
      <rPr>
        <i/>
        <sz val="12"/>
        <color theme="1"/>
        <rFont val="Times New Roman"/>
        <family val="1"/>
        <charset val="186"/>
      </rPr>
      <t>euro</t>
    </r>
    <r>
      <rPr>
        <sz val="12"/>
        <color theme="1"/>
        <rFont val="Times New Roman"/>
        <family val="1"/>
        <charset val="186"/>
      </rPr>
      <t xml:space="preserve"> * 0.23 h) = 6,20 </t>
    </r>
    <r>
      <rPr>
        <i/>
        <sz val="12"/>
        <color theme="1"/>
        <rFont val="Times New Roman"/>
        <family val="1"/>
        <charset val="186"/>
      </rPr>
      <t>euro</t>
    </r>
    <r>
      <rPr>
        <sz val="12"/>
        <color theme="1"/>
        <rFont val="Times New Roman"/>
        <family val="1"/>
        <charset val="186"/>
      </rPr>
      <t xml:space="preserve">/mēn. * 12. mēn. = 74,40 </t>
    </r>
    <r>
      <rPr>
        <i/>
        <sz val="12"/>
        <color theme="1"/>
        <rFont val="Times New Roman"/>
        <family val="1"/>
        <charset val="186"/>
      </rPr>
      <t>euro</t>
    </r>
    <r>
      <rPr>
        <sz val="12"/>
        <color theme="1"/>
        <rFont val="Times New Roman"/>
        <family val="1"/>
        <charset val="186"/>
      </rPr>
      <t xml:space="preserve"> * 0.056 (iznomātās platības koeficients) = 4,17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</si>
  <si>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167,01 </t>
    </r>
    <r>
      <rPr>
        <i/>
        <sz val="12"/>
        <color theme="1"/>
        <rFont val="Times New Roman"/>
        <family val="1"/>
        <charset val="186"/>
      </rPr>
      <t>euro</t>
    </r>
    <r>
      <rPr>
        <sz val="12"/>
        <color theme="1"/>
        <rFont val="Times New Roman"/>
        <family val="1"/>
        <charset val="186"/>
      </rPr>
      <t xml:space="preserve"> * 23,59 % = 39,40 </t>
    </r>
    <r>
      <rPr>
        <i/>
        <sz val="12"/>
        <color theme="1"/>
        <rFont val="Times New Roman"/>
        <family val="1"/>
        <charset val="186"/>
      </rPr>
      <t>euro</t>
    </r>
    <r>
      <rPr>
        <sz val="12"/>
        <color theme="1"/>
        <rFont val="Times New Roman"/>
        <family val="1"/>
        <charset val="186"/>
      </rPr>
      <t>.</t>
    </r>
  </si>
  <si>
    <r>
      <t xml:space="preserve">Ēku amortizācija 270,84 </t>
    </r>
    <r>
      <rPr>
        <i/>
        <sz val="12"/>
        <color theme="1"/>
        <rFont val="Times New Roman"/>
        <family val="1"/>
        <charset val="186"/>
      </rPr>
      <t>euro</t>
    </r>
    <r>
      <rPr>
        <sz val="12"/>
        <color theme="1"/>
        <rFont val="Times New Roman"/>
        <family val="1"/>
        <charset val="186"/>
      </rPr>
      <t xml:space="preserve"> gadā * 0.056 (iznomātās platības koeficients) = 15,17 </t>
    </r>
    <r>
      <rPr>
        <i/>
        <sz val="12"/>
        <color theme="1"/>
        <rFont val="Times New Roman"/>
        <family val="1"/>
        <charset val="186"/>
      </rPr>
      <t>euro</t>
    </r>
    <r>
      <rPr>
        <sz val="12"/>
        <color theme="1"/>
        <rFont val="Times New Roman"/>
        <family val="1"/>
        <charset val="186"/>
      </rPr>
      <t>.</t>
    </r>
  </si>
  <si>
    <r>
      <t xml:space="preserve">Pamatlīdzekļu amortizācija 4,97 </t>
    </r>
    <r>
      <rPr>
        <i/>
        <sz val="12"/>
        <color theme="1"/>
        <rFont val="Times New Roman"/>
        <family val="1"/>
        <charset val="186"/>
      </rPr>
      <t>euro</t>
    </r>
    <r>
      <rPr>
        <sz val="12"/>
        <color theme="1"/>
        <rFont val="Times New Roman"/>
        <family val="1"/>
        <charset val="186"/>
      </rPr>
      <t xml:space="preserve"> gadā * 0.056 (iznomātās platības koeficients) = 0,28 </t>
    </r>
    <r>
      <rPr>
        <i/>
        <sz val="12"/>
        <color theme="1"/>
        <rFont val="Times New Roman"/>
        <family val="1"/>
        <charset val="186"/>
      </rPr>
      <t>euro</t>
    </r>
    <r>
      <rPr>
        <sz val="12"/>
        <color theme="1"/>
        <rFont val="Times New Roman"/>
        <family val="1"/>
        <charset val="186"/>
      </rPr>
      <t>.</t>
    </r>
  </si>
  <si>
    <r>
      <t xml:space="preserve">Pamatlīdzekļu amortizācija 58,80 </t>
    </r>
    <r>
      <rPr>
        <i/>
        <sz val="12"/>
        <color theme="1"/>
        <rFont val="Times New Roman"/>
        <family val="1"/>
        <charset val="186"/>
      </rPr>
      <t>euro</t>
    </r>
    <r>
      <rPr>
        <sz val="12"/>
        <color theme="1"/>
        <rFont val="Times New Roman"/>
        <family val="1"/>
        <charset val="186"/>
      </rPr>
      <t xml:space="preserve"> gadā * 0.056 (iznomātās platības koeficients) = 3,29 </t>
    </r>
    <r>
      <rPr>
        <i/>
        <sz val="12"/>
        <color theme="1"/>
        <rFont val="Times New Roman"/>
        <family val="1"/>
        <charset val="186"/>
      </rPr>
      <t>euro</t>
    </r>
    <r>
      <rPr>
        <sz val="12"/>
        <color theme="1"/>
        <rFont val="Times New Roman"/>
        <family val="1"/>
        <charset val="186"/>
      </rPr>
      <t>.</t>
    </r>
  </si>
  <si>
    <r>
      <t xml:space="preserve">Pamatlīdzekļu amortizācija 551,31 </t>
    </r>
    <r>
      <rPr>
        <i/>
        <sz val="12"/>
        <color theme="1"/>
        <rFont val="Times New Roman"/>
        <family val="1"/>
        <charset val="186"/>
      </rPr>
      <t>euro</t>
    </r>
    <r>
      <rPr>
        <sz val="12"/>
        <color theme="1"/>
        <rFont val="Times New Roman"/>
        <family val="1"/>
        <charset val="186"/>
      </rPr>
      <t xml:space="preserve"> gadā * 0.056 (iznomātās platības koeficients) = 30,87 </t>
    </r>
    <r>
      <rPr>
        <i/>
        <sz val="12"/>
        <color theme="1"/>
        <rFont val="Times New Roman"/>
        <family val="1"/>
        <charset val="186"/>
      </rPr>
      <t>euro</t>
    </r>
    <r>
      <rPr>
        <sz val="12"/>
        <color theme="1"/>
        <rFont val="Times New Roman"/>
        <family val="1"/>
        <charset val="186"/>
      </rPr>
      <t>.</t>
    </r>
  </si>
  <si>
    <r>
      <t xml:space="preserve">Inventāra iegādes izdevumi 16,04 </t>
    </r>
    <r>
      <rPr>
        <i/>
        <sz val="12"/>
        <color theme="1"/>
        <rFont val="Times New Roman"/>
        <family val="1"/>
        <charset val="186"/>
      </rPr>
      <t>euro</t>
    </r>
    <r>
      <rPr>
        <sz val="12"/>
        <color theme="1"/>
        <rFont val="Times New Roman"/>
        <family val="1"/>
        <charset val="186"/>
      </rPr>
      <t xml:space="preserve"> gadā * 0.056 (iznomātās platības koeficients) = 0,90 </t>
    </r>
    <r>
      <rPr>
        <i/>
        <sz val="12"/>
        <color theme="1"/>
        <rFont val="Times New Roman"/>
        <family val="1"/>
        <charset val="186"/>
      </rPr>
      <t>euro.</t>
    </r>
  </si>
  <si>
    <r>
      <t xml:space="preserve">Saimniecības inventāra un materiālu (spuldzes, higiēnas preces, birstes u.tml.) iegādes izdevumi 357,86 </t>
    </r>
    <r>
      <rPr>
        <i/>
        <sz val="12"/>
        <color theme="1"/>
        <rFont val="Times New Roman"/>
        <family val="1"/>
        <charset val="186"/>
      </rPr>
      <t>euro</t>
    </r>
    <r>
      <rPr>
        <sz val="12"/>
        <color theme="1"/>
        <rFont val="Times New Roman"/>
        <family val="1"/>
        <charset val="186"/>
      </rPr>
      <t xml:space="preserve"> gadā * 0.056 (iznomātās platības koeficients) = 20,04 </t>
    </r>
    <r>
      <rPr>
        <i/>
        <sz val="12"/>
        <color theme="1"/>
        <rFont val="Times New Roman"/>
        <family val="1"/>
        <charset val="186"/>
      </rPr>
      <t>euro</t>
    </r>
    <r>
      <rPr>
        <sz val="12"/>
        <color theme="1"/>
        <rFont val="Times New Roman"/>
        <family val="1"/>
        <charset val="186"/>
      </rPr>
      <t>.</t>
    </r>
  </si>
  <si>
    <r>
      <t xml:space="preserve">Nekustamā īpašuma nodoklis 308,85 </t>
    </r>
    <r>
      <rPr>
        <i/>
        <sz val="12"/>
        <color theme="1"/>
        <rFont val="Times New Roman"/>
        <family val="1"/>
        <charset val="186"/>
      </rPr>
      <t>euro</t>
    </r>
    <r>
      <rPr>
        <sz val="12"/>
        <color theme="1"/>
        <rFont val="Times New Roman"/>
        <family val="1"/>
        <charset val="186"/>
      </rPr>
      <t xml:space="preserve"> gadā * 0.056 (iznomātās platības koeficients) = 17,30 </t>
    </r>
    <r>
      <rPr>
        <i/>
        <sz val="12"/>
        <color theme="1"/>
        <rFont val="Times New Roman"/>
        <family val="1"/>
        <charset val="186"/>
      </rPr>
      <t>euro.</t>
    </r>
  </si>
  <si>
    <r>
      <t xml:space="preserve">Telpu, teritorijas uzkopšanas, apsardzes, apsaimniekošanas, apdrošināšanas izmaksas 3 725,55 </t>
    </r>
    <r>
      <rPr>
        <i/>
        <sz val="12"/>
        <color theme="1"/>
        <rFont val="Times New Roman"/>
        <family val="1"/>
        <charset val="186"/>
      </rPr>
      <t>euro</t>
    </r>
    <r>
      <rPr>
        <sz val="12"/>
        <color theme="1"/>
        <rFont val="Times New Roman"/>
        <family val="1"/>
        <charset val="186"/>
      </rPr>
      <t xml:space="preserve"> gadā 0.056 (iznomātās platības koeficients) = 208,63 </t>
    </r>
    <r>
      <rPr>
        <i/>
        <sz val="12"/>
        <color theme="1"/>
        <rFont val="Times New Roman"/>
        <family val="1"/>
        <charset val="186"/>
      </rPr>
      <t>euro</t>
    </r>
    <r>
      <rPr>
        <sz val="12"/>
        <color theme="1"/>
        <rFont val="Times New Roman"/>
        <family val="1"/>
        <charset val="186"/>
      </rPr>
      <t>.</t>
    </r>
  </si>
  <si>
    <r>
      <t xml:space="preserve">Kārtējā remonta izdevumi 223,99 </t>
    </r>
    <r>
      <rPr>
        <i/>
        <sz val="12"/>
        <color theme="1"/>
        <rFont val="Times New Roman"/>
        <family val="1"/>
        <charset val="186"/>
      </rPr>
      <t>euro</t>
    </r>
    <r>
      <rPr>
        <sz val="12"/>
        <color theme="1"/>
        <rFont val="Times New Roman"/>
        <family val="1"/>
        <charset val="186"/>
      </rPr>
      <t xml:space="preserve"> gadā * 0.056 (iznomātās platības koeficients) = 12,54 </t>
    </r>
    <r>
      <rPr>
        <i/>
        <sz val="12"/>
        <color theme="1"/>
        <rFont val="Times New Roman"/>
        <family val="1"/>
        <charset val="186"/>
      </rPr>
      <t>euro</t>
    </r>
    <r>
      <rPr>
        <sz val="12"/>
        <color theme="1"/>
        <rFont val="Times New Roman"/>
        <family val="1"/>
        <charset val="186"/>
      </rPr>
      <t>.</t>
    </r>
  </si>
  <si>
    <r>
      <t xml:space="preserve">Izdevumi par atkritumu izvešanu 379,71 </t>
    </r>
    <r>
      <rPr>
        <i/>
        <sz val="12"/>
        <color theme="1"/>
        <rFont val="Times New Roman"/>
        <family val="1"/>
        <charset val="186"/>
      </rPr>
      <t>euro</t>
    </r>
    <r>
      <rPr>
        <sz val="12"/>
        <color theme="1"/>
        <rFont val="Times New Roman"/>
        <family val="1"/>
        <charset val="186"/>
      </rPr>
      <t xml:space="preserve"> gadā * 0.056 (iznomātās platības koeficients) = 21,26 </t>
    </r>
    <r>
      <rPr>
        <i/>
        <sz val="12"/>
        <color theme="1"/>
        <rFont val="Times New Roman"/>
        <family val="1"/>
        <charset val="186"/>
      </rPr>
      <t>euro</t>
    </r>
    <r>
      <rPr>
        <sz val="12"/>
        <color theme="1"/>
        <rFont val="Times New Roman"/>
        <family val="1"/>
        <charset val="186"/>
      </rPr>
      <t>.</t>
    </r>
  </si>
  <si>
    <r>
      <t xml:space="preserve">Izdevumi par apkuri 7 123,19 </t>
    </r>
    <r>
      <rPr>
        <i/>
        <sz val="12"/>
        <color theme="1"/>
        <rFont val="Times New Roman"/>
        <family val="1"/>
        <charset val="186"/>
      </rPr>
      <t>euro</t>
    </r>
    <r>
      <rPr>
        <sz val="12"/>
        <color theme="1"/>
        <rFont val="Times New Roman"/>
        <family val="1"/>
        <charset val="186"/>
      </rPr>
      <t xml:space="preserve"> gadā * 0.056 (iznomātās platības koeficients) = 398,90 </t>
    </r>
    <r>
      <rPr>
        <i/>
        <sz val="12"/>
        <color theme="1"/>
        <rFont val="Times New Roman"/>
        <family val="1"/>
        <charset val="186"/>
      </rPr>
      <t>euro.</t>
    </r>
  </si>
  <si>
    <r>
      <t xml:space="preserve">Izdevumi par ūdeni un kanalizāciju 603,06 </t>
    </r>
    <r>
      <rPr>
        <i/>
        <sz val="12"/>
        <color theme="1"/>
        <rFont val="Times New Roman"/>
        <family val="1"/>
        <charset val="186"/>
      </rPr>
      <t>euro</t>
    </r>
    <r>
      <rPr>
        <sz val="12"/>
        <color theme="1"/>
        <rFont val="Times New Roman"/>
        <family val="1"/>
        <charset val="186"/>
      </rPr>
      <t xml:space="preserve"> gadā * 0.056 (iznomātās platības koeficients) = 33,77 </t>
    </r>
    <r>
      <rPr>
        <i/>
        <sz val="12"/>
        <color theme="1"/>
        <rFont val="Times New Roman"/>
        <family val="1"/>
        <charset val="186"/>
      </rPr>
      <t>euro.</t>
    </r>
  </si>
  <si>
    <r>
      <t xml:space="preserve">Izdevumi par elektroenerģiju 2 421,61 euro gadā * 0.056 (iznomātās platības koeficients) = 135,61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</si>
  <si>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1.54 stundas, (15,03 </t>
    </r>
    <r>
      <rPr>
        <i/>
        <sz val="12"/>
        <color theme="1"/>
        <rFont val="Times New Roman"/>
        <family val="1"/>
        <charset val="186"/>
      </rPr>
      <t>euro</t>
    </r>
    <r>
      <rPr>
        <sz val="12"/>
        <color theme="1"/>
        <rFont val="Times New Roman"/>
        <family val="1"/>
        <charset val="186"/>
      </rPr>
      <t xml:space="preserve"> * 1.54 h) = 23,15 </t>
    </r>
    <r>
      <rPr>
        <i/>
        <sz val="12"/>
        <color theme="1"/>
        <rFont val="Times New Roman"/>
        <family val="1"/>
        <charset val="186"/>
      </rPr>
      <t>euro</t>
    </r>
    <r>
      <rPr>
        <sz val="12"/>
        <color theme="1"/>
        <rFont val="Times New Roman"/>
        <family val="1"/>
        <charset val="186"/>
      </rPr>
      <t xml:space="preserve">/mēn. * 12. mēn. = 277,80 </t>
    </r>
    <r>
      <rPr>
        <i/>
        <sz val="12"/>
        <color theme="1"/>
        <rFont val="Times New Roman"/>
        <family val="1"/>
        <charset val="186"/>
      </rPr>
      <t>euro</t>
    </r>
    <r>
      <rPr>
        <sz val="12"/>
        <color theme="1"/>
        <rFont val="Times New Roman"/>
        <family val="1"/>
        <charset val="186"/>
      </rPr>
      <t xml:space="preserve"> * 0.0217 (iznomātās platības koeficients) = 6,03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</si>
  <si>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185,77 </t>
    </r>
    <r>
      <rPr>
        <i/>
        <sz val="12"/>
        <color theme="1"/>
        <rFont val="Times New Roman"/>
        <family val="1"/>
        <charset val="186"/>
      </rPr>
      <t>euro</t>
    </r>
    <r>
      <rPr>
        <sz val="12"/>
        <color theme="1"/>
        <rFont val="Times New Roman"/>
        <family val="1"/>
        <charset val="186"/>
      </rPr>
      <t xml:space="preserve"> * 23,59 % = 43,82 </t>
    </r>
    <r>
      <rPr>
        <i/>
        <sz val="12"/>
        <color theme="1"/>
        <rFont val="Times New Roman"/>
        <family val="1"/>
        <charset val="186"/>
      </rPr>
      <t>euro.</t>
    </r>
  </si>
  <si>
    <r>
      <t xml:space="preserve">Darba devēja valsts sociālās apdrošināšanas obligātās iemaksas 122,17 </t>
    </r>
    <r>
      <rPr>
        <i/>
        <sz val="12"/>
        <color theme="1"/>
        <rFont val="Times New Roman"/>
        <family val="1"/>
        <charset val="186"/>
      </rPr>
      <t>euro</t>
    </r>
    <r>
      <rPr>
        <sz val="12"/>
        <color theme="1"/>
        <rFont val="Times New Roman"/>
        <family val="1"/>
        <charset val="186"/>
      </rPr>
      <t xml:space="preserve"> * 23,59 % = 28,82 </t>
    </r>
    <r>
      <rPr>
        <i/>
        <sz val="12"/>
        <color theme="1"/>
        <rFont val="Times New Roman"/>
        <family val="1"/>
        <charset val="186"/>
      </rPr>
      <t>euro.</t>
    </r>
  </si>
  <si>
    <r>
      <t xml:space="preserve">Vadošais personāla speciālists (34. saime, III līmenis, 11. algu grupa, mēnešalga 1 877 </t>
    </r>
    <r>
      <rPr>
        <i/>
        <sz val="12"/>
        <color theme="1"/>
        <rFont val="Times New Roman"/>
        <family val="1"/>
        <charset val="186"/>
      </rPr>
      <t>euro</t>
    </r>
    <r>
      <rPr>
        <sz val="12"/>
        <color theme="1"/>
        <rFont val="Times New Roman"/>
        <family val="1"/>
        <charset val="186"/>
      </rPr>
      <t xml:space="preserve">). Stundas tarifa likme 11,24 </t>
    </r>
    <r>
      <rPr>
        <i/>
        <sz val="12"/>
        <color theme="1"/>
        <rFont val="Times New Roman"/>
        <family val="1"/>
        <charset val="186"/>
      </rPr>
      <t>euro</t>
    </r>
    <r>
      <rPr>
        <sz val="12"/>
        <color theme="1"/>
        <rFont val="Times New Roman"/>
        <family val="1"/>
        <charset val="186"/>
      </rPr>
      <t xml:space="preserve"> = 1 877 </t>
    </r>
    <r>
      <rPr>
        <i/>
        <sz val="12"/>
        <color theme="1"/>
        <rFont val="Times New Roman"/>
        <family val="1"/>
        <charset val="186"/>
      </rPr>
      <t>euro</t>
    </r>
    <r>
      <rPr>
        <sz val="12"/>
        <color theme="1"/>
        <rFont val="Times New Roman"/>
        <family val="1"/>
        <charset val="186"/>
      </rPr>
      <t xml:space="preserve"> / 166.92 (vid. d. stundu sk. mēnesī). Vid. mēn. noslogojums 20 min, (11,24 </t>
    </r>
    <r>
      <rPr>
        <i/>
        <sz val="12"/>
        <color theme="1"/>
        <rFont val="Times New Roman"/>
        <family val="1"/>
        <charset val="186"/>
      </rPr>
      <t>euro</t>
    </r>
    <r>
      <rPr>
        <sz val="12"/>
        <color theme="1"/>
        <rFont val="Times New Roman"/>
        <family val="1"/>
        <charset val="186"/>
      </rPr>
      <t xml:space="preserve"> * 0.33 h) = 3,71 </t>
    </r>
    <r>
      <rPr>
        <i/>
        <sz val="12"/>
        <color theme="1"/>
        <rFont val="Times New Roman"/>
        <family val="1"/>
        <charset val="186"/>
      </rPr>
      <t>euro</t>
    </r>
    <r>
      <rPr>
        <sz val="12"/>
        <color theme="1"/>
        <rFont val="Times New Roman"/>
        <family val="1"/>
        <charset val="186"/>
      </rPr>
      <t xml:space="preserve">/mēn. * 12. mēn. = 44,52 </t>
    </r>
    <r>
      <rPr>
        <i/>
        <sz val="12"/>
        <color theme="1"/>
        <rFont val="Times New Roman"/>
        <family val="1"/>
        <charset val="186"/>
      </rPr>
      <t xml:space="preserve">euro * </t>
    </r>
    <r>
      <rPr>
        <sz val="12"/>
        <color theme="1"/>
        <rFont val="Times New Roman"/>
        <family val="1"/>
        <charset val="186"/>
      </rPr>
      <t>0.077</t>
    </r>
    <r>
      <rPr>
        <i/>
        <sz val="12"/>
        <color theme="1"/>
        <rFont val="Times New Roman"/>
        <family val="1"/>
        <charset val="186"/>
      </rPr>
      <t xml:space="preserve"> </t>
    </r>
    <r>
      <rPr>
        <sz val="12"/>
        <color theme="1"/>
        <rFont val="Times New Roman"/>
        <family val="1"/>
        <charset val="186"/>
      </rPr>
      <t>(pakalpojuma īpatsvars kopējos ēkā sniegtajos maksas pakalpojumos)</t>
    </r>
    <r>
      <rPr>
        <i/>
        <sz val="12"/>
        <color theme="1"/>
        <rFont val="Times New Roman"/>
        <family val="1"/>
        <charset val="186"/>
      </rPr>
      <t xml:space="preserve"> = 3,43 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</si>
  <si>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166.92 (vid. d. stundu sk. mēnesī). Vid. mēn. noslogojums 20 min., (7,58 </t>
    </r>
    <r>
      <rPr>
        <i/>
        <sz val="12"/>
        <color theme="1"/>
        <rFont val="Times New Roman"/>
        <family val="1"/>
        <charset val="186"/>
      </rPr>
      <t>euro</t>
    </r>
    <r>
      <rPr>
        <sz val="12"/>
        <color theme="1"/>
        <rFont val="Times New Roman"/>
        <family val="1"/>
        <charset val="186"/>
      </rPr>
      <t xml:space="preserve"> * 0.33 h) = 2,50 </t>
    </r>
    <r>
      <rPr>
        <i/>
        <sz val="12"/>
        <color theme="1"/>
        <rFont val="Times New Roman"/>
        <family val="1"/>
        <charset val="186"/>
      </rPr>
      <t>euro</t>
    </r>
    <r>
      <rPr>
        <sz val="12"/>
        <color theme="1"/>
        <rFont val="Times New Roman"/>
        <family val="1"/>
        <charset val="186"/>
      </rPr>
      <t xml:space="preserve">/mēn. * 12. mēn. = 30,00 </t>
    </r>
    <r>
      <rPr>
        <i/>
        <sz val="12"/>
        <color theme="1"/>
        <rFont val="Times New Roman"/>
        <family val="1"/>
        <charset val="186"/>
      </rPr>
      <t>euro</t>
    </r>
    <r>
      <rPr>
        <sz val="12"/>
        <color theme="1"/>
        <rFont val="Times New Roman"/>
        <family val="1"/>
        <charset val="186"/>
      </rPr>
      <t xml:space="preserve"> * 0.077 (pakalpojuma īpatsvars kopējos ēkā sniegtajos maksas pakalpojumos) = 2,31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</si>
  <si>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euro</t>
    </r>
    <r>
      <rPr>
        <sz val="12"/>
        <color theme="1"/>
        <rFont val="Times New Roman"/>
        <family val="1"/>
        <charset val="186"/>
      </rPr>
      <t xml:space="preserve">). Stundas tarifa likme 11,22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166.92 (vid. d. stundu sk. mēnesī). Vid. mēn. noslogojums 20 min., (11,22 </t>
    </r>
    <r>
      <rPr>
        <i/>
        <sz val="12"/>
        <color theme="1"/>
        <rFont val="Times New Roman"/>
        <family val="1"/>
        <charset val="186"/>
      </rPr>
      <t>euro</t>
    </r>
    <r>
      <rPr>
        <sz val="12"/>
        <color theme="1"/>
        <rFont val="Times New Roman"/>
        <family val="1"/>
        <charset val="186"/>
      </rPr>
      <t xml:space="preserve"> * 0.33 h) = 3,70 </t>
    </r>
    <r>
      <rPr>
        <i/>
        <sz val="12"/>
        <color theme="1"/>
        <rFont val="Times New Roman"/>
        <family val="1"/>
        <charset val="186"/>
      </rPr>
      <t>euro</t>
    </r>
    <r>
      <rPr>
        <sz val="12"/>
        <color theme="1"/>
        <rFont val="Times New Roman"/>
        <family val="1"/>
        <charset val="186"/>
      </rPr>
      <t xml:space="preserve">/mēn. * 12. mēn. = 44,40 </t>
    </r>
    <r>
      <rPr>
        <i/>
        <sz val="12"/>
        <color theme="1"/>
        <rFont val="Times New Roman"/>
        <family val="1"/>
        <charset val="186"/>
      </rPr>
      <t>euro</t>
    </r>
    <r>
      <rPr>
        <sz val="12"/>
        <color theme="1"/>
        <rFont val="Times New Roman"/>
        <family val="1"/>
        <charset val="186"/>
      </rPr>
      <t xml:space="preserve"> * 0.077 (pakalpojuma īpatsvars kopējos ēkā sniegtajos maksas pakalpojumos) = 3,42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</si>
  <si>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(107,45 </t>
    </r>
    <r>
      <rPr>
        <i/>
        <sz val="12"/>
        <color theme="1"/>
        <rFont val="Times New Roman"/>
        <family val="1"/>
        <charset val="186"/>
      </rPr>
      <t>euro</t>
    </r>
    <r>
      <rPr>
        <sz val="12"/>
        <color theme="1"/>
        <rFont val="Times New Roman"/>
        <family val="1"/>
        <charset val="186"/>
      </rPr>
      <t xml:space="preserve"> * 23.59 %) = 5,37 </t>
    </r>
    <r>
      <rPr>
        <i/>
        <sz val="12"/>
        <color theme="1"/>
        <rFont val="Times New Roman"/>
        <family val="1"/>
        <charset val="186"/>
      </rPr>
      <t>euro</t>
    </r>
    <r>
      <rPr>
        <sz val="12"/>
        <color theme="1"/>
        <rFont val="Times New Roman"/>
        <family val="1"/>
        <charset val="186"/>
      </rPr>
      <t>.</t>
    </r>
  </si>
  <si>
    <t>2.1.3. vienistabas divvietīgs numurs (telpa Nr. 15, 27, 28)</t>
  </si>
  <si>
    <t>2.6.9. trīsvietīga istaba (4.stāvs)</t>
  </si>
  <si>
    <t>2.6.8. divvietīga istaba (4. stāvs)</t>
  </si>
  <si>
    <t>2.6.6. divistabu divvietīgs numurs ar papildus ērtībām (5. stāvs)</t>
  </si>
  <si>
    <t>2.6.4. trīsvietīga istaba (2. un 3.stāvs)</t>
  </si>
  <si>
    <t>trīsvietīga istaba</t>
  </si>
  <si>
    <t>vienvietīga istaba</t>
  </si>
  <si>
    <t>Maksas pakalpojuma vienību skaits noteiktā laikposmā (2 istabas x 168 diennaktis gadā)</t>
  </si>
  <si>
    <t>Maksas pakalpojuma vienību skaits noteiktā laikposmā (2 istabas x 11 mēneši)</t>
  </si>
  <si>
    <t>2.8.1. vienvietīga istaba</t>
  </si>
  <si>
    <t>Maksas pakalpojuma vienību skaits noteiktā laikposmā (12 istabas x 3 gultasvietas x 108 diennaktis gadā)</t>
  </si>
  <si>
    <t>Maksas pakalpojuma vienību skaits noteiktā laikposmā (12 istabas x 3 gultasvietas x 8 mēneši gadā)</t>
  </si>
  <si>
    <t>2.8.2. trīsvietīga istaba</t>
  </si>
  <si>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166.92 (vid. d. stundu sk. mēnesī). Vid. mēn. noslogojums 6 stundas, (8,14 </t>
    </r>
    <r>
      <rPr>
        <i/>
        <sz val="12"/>
        <color theme="1"/>
        <rFont val="Times New Roman"/>
        <family val="1"/>
        <charset val="186"/>
      </rPr>
      <t>euro</t>
    </r>
    <r>
      <rPr>
        <sz val="12"/>
        <color theme="1"/>
        <rFont val="Times New Roman"/>
        <family val="1"/>
        <charset val="186"/>
      </rPr>
      <t xml:space="preserve"> * 6 h) = 48,84 </t>
    </r>
    <r>
      <rPr>
        <i/>
        <sz val="12"/>
        <color theme="1"/>
        <rFont val="Times New Roman"/>
        <family val="1"/>
        <charset val="186"/>
      </rPr>
      <t>euro</t>
    </r>
    <r>
      <rPr>
        <sz val="12"/>
        <color theme="1"/>
        <rFont val="Times New Roman"/>
        <family val="1"/>
        <charset val="186"/>
      </rPr>
      <t xml:space="preserve"> * 12 mēn. = 586,08 </t>
    </r>
    <r>
      <rPr>
        <i/>
        <sz val="12"/>
        <color theme="1"/>
        <rFont val="Times New Roman"/>
        <family val="1"/>
        <charset val="186"/>
      </rPr>
      <t>euro</t>
    </r>
    <r>
      <rPr>
        <sz val="12"/>
        <color theme="1"/>
        <rFont val="Times New Roman"/>
        <family val="1"/>
        <charset val="186"/>
      </rPr>
      <t xml:space="preserve"> * 0.944 (iznomātās platības koeficients)  = 553,26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</si>
  <si>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 xml:space="preserve">/mēn. * 12 mēn. = 3 320,40 </t>
    </r>
    <r>
      <rPr>
        <i/>
        <sz val="12"/>
        <color theme="1"/>
        <rFont val="Times New Roman"/>
        <family val="1"/>
        <charset val="186"/>
      </rPr>
      <t>euro</t>
    </r>
    <r>
      <rPr>
        <sz val="12"/>
        <color theme="1"/>
        <rFont val="Times New Roman"/>
        <family val="1"/>
        <charset val="186"/>
      </rPr>
      <t xml:space="preserve"> * 0.0164 (iznomātās platības koeficients) = 54,45 </t>
    </r>
    <r>
      <rPr>
        <i/>
        <sz val="12"/>
        <color theme="1"/>
        <rFont val="Times New Roman"/>
        <family val="1"/>
        <charset val="186"/>
      </rPr>
      <t>euro</t>
    </r>
    <r>
      <rPr>
        <sz val="12"/>
        <color theme="1"/>
        <rFont val="Times New Roman"/>
        <family val="1"/>
        <charset val="186"/>
      </rPr>
      <t xml:space="preserve">. </t>
    </r>
  </si>
  <si>
    <r>
      <t xml:space="preserve">Galv. nekust. īpaš. pārvaldnieks (192,54 </t>
    </r>
    <r>
      <rPr>
        <i/>
        <sz val="12"/>
        <color theme="1"/>
        <rFont val="Times New Roman"/>
        <family val="1"/>
        <charset val="186"/>
      </rPr>
      <t>euro</t>
    </r>
    <r>
      <rPr>
        <sz val="12"/>
        <color theme="1"/>
        <rFont val="Times New Roman"/>
        <family val="1"/>
        <charset val="186"/>
      </rPr>
      <t xml:space="preserve"> * 5%) = 9,63 </t>
    </r>
    <r>
      <rPr>
        <i/>
        <sz val="12"/>
        <color theme="1"/>
        <rFont val="Times New Roman"/>
        <family val="1"/>
        <charset val="186"/>
      </rPr>
      <t>euro</t>
    </r>
    <r>
      <rPr>
        <sz val="12"/>
        <color theme="1"/>
        <rFont val="Times New Roman"/>
        <family val="1"/>
        <charset val="186"/>
      </rPr>
      <t xml:space="preserve">, Saimniecības pārzinis (242,91 </t>
    </r>
    <r>
      <rPr>
        <i/>
        <sz val="12"/>
        <color theme="1"/>
        <rFont val="Times New Roman"/>
        <family val="1"/>
        <charset val="186"/>
      </rPr>
      <t>euro</t>
    </r>
    <r>
      <rPr>
        <sz val="12"/>
        <color theme="1"/>
        <rFont val="Times New Roman"/>
        <family val="1"/>
        <charset val="186"/>
      </rPr>
      <t xml:space="preserve"> * 5%) = 12,15 </t>
    </r>
    <r>
      <rPr>
        <i/>
        <sz val="12"/>
        <color theme="1"/>
        <rFont val="Times New Roman"/>
        <family val="1"/>
        <charset val="186"/>
      </rPr>
      <t>euro</t>
    </r>
    <r>
      <rPr>
        <sz val="12"/>
        <color theme="1"/>
        <rFont val="Times New Roman"/>
        <family val="1"/>
        <charset val="186"/>
      </rPr>
      <t xml:space="preserve">, Istabene (227,49 </t>
    </r>
    <r>
      <rPr>
        <i/>
        <sz val="12"/>
        <color theme="1"/>
        <rFont val="Times New Roman"/>
        <family val="1"/>
        <charset val="186"/>
      </rPr>
      <t>euro</t>
    </r>
    <r>
      <rPr>
        <sz val="12"/>
        <color theme="1"/>
        <rFont val="Times New Roman"/>
        <family val="1"/>
        <charset val="186"/>
      </rPr>
      <t xml:space="preserve"> * 5%) = 11,37 </t>
    </r>
    <r>
      <rPr>
        <i/>
        <sz val="12"/>
        <color theme="1"/>
        <rFont val="Times New Roman"/>
        <family val="1"/>
        <charset val="186"/>
      </rPr>
      <t>euro</t>
    </r>
    <r>
      <rPr>
        <sz val="12"/>
        <color theme="1"/>
        <rFont val="Times New Roman"/>
        <family val="1"/>
        <charset val="186"/>
      </rPr>
      <t xml:space="preserve">, Apkopēja (204,67 </t>
    </r>
    <r>
      <rPr>
        <i/>
        <sz val="12"/>
        <color theme="1"/>
        <rFont val="Times New Roman"/>
        <family val="1"/>
        <charset val="186"/>
      </rPr>
      <t>euro</t>
    </r>
    <r>
      <rPr>
        <sz val="12"/>
        <color theme="1"/>
        <rFont val="Times New Roman"/>
        <family val="1"/>
        <charset val="186"/>
      </rPr>
      <t xml:space="preserve"> * 5%) = 10,23 </t>
    </r>
    <r>
      <rPr>
        <i/>
        <sz val="12"/>
        <color theme="1"/>
        <rFont val="Times New Roman"/>
        <family val="1"/>
        <charset val="186"/>
      </rPr>
      <t>euro</t>
    </r>
    <r>
      <rPr>
        <sz val="12"/>
        <color theme="1"/>
        <rFont val="Times New Roman"/>
        <family val="1"/>
        <charset val="186"/>
      </rPr>
      <t xml:space="preserve">, Sētnieks (109,57 </t>
    </r>
    <r>
      <rPr>
        <i/>
        <sz val="12"/>
        <color theme="1"/>
        <rFont val="Times New Roman"/>
        <family val="1"/>
        <charset val="186"/>
      </rPr>
      <t>euro</t>
    </r>
    <r>
      <rPr>
        <sz val="12"/>
        <color theme="1"/>
        <rFont val="Times New Roman"/>
        <family val="1"/>
        <charset val="186"/>
      </rPr>
      <t xml:space="preserve"> * 5%) = 5,48 </t>
    </r>
    <r>
      <rPr>
        <i/>
        <sz val="12"/>
        <color theme="1"/>
        <rFont val="Times New Roman"/>
        <family val="1"/>
        <charset val="186"/>
      </rPr>
      <t>euro</t>
    </r>
    <r>
      <rPr>
        <sz val="12"/>
        <color theme="1"/>
        <rFont val="Times New Roman"/>
        <family val="1"/>
        <charset val="186"/>
      </rPr>
      <t xml:space="preserve">. Kopā (9,63 </t>
    </r>
    <r>
      <rPr>
        <i/>
        <sz val="12"/>
        <color theme="1"/>
        <rFont val="Times New Roman"/>
        <family val="1"/>
        <charset val="186"/>
      </rPr>
      <t>euro</t>
    </r>
    <r>
      <rPr>
        <sz val="12"/>
        <color theme="1"/>
        <rFont val="Times New Roman"/>
        <family val="1"/>
        <charset val="186"/>
      </rPr>
      <t xml:space="preserve"> + 12,15 </t>
    </r>
    <r>
      <rPr>
        <i/>
        <sz val="12"/>
        <color theme="1"/>
        <rFont val="Times New Roman"/>
        <family val="1"/>
        <charset val="186"/>
      </rPr>
      <t>euro</t>
    </r>
    <r>
      <rPr>
        <sz val="12"/>
        <color theme="1"/>
        <rFont val="Times New Roman"/>
        <family val="1"/>
        <charset val="186"/>
      </rPr>
      <t xml:space="preserve"> + 11,37 </t>
    </r>
    <r>
      <rPr>
        <i/>
        <sz val="12"/>
        <color theme="1"/>
        <rFont val="Times New Roman"/>
        <family val="1"/>
        <charset val="186"/>
      </rPr>
      <t>euro</t>
    </r>
    <r>
      <rPr>
        <sz val="12"/>
        <color theme="1"/>
        <rFont val="Times New Roman"/>
        <family val="1"/>
        <charset val="186"/>
      </rPr>
      <t xml:space="preserve"> + 10,23 </t>
    </r>
    <r>
      <rPr>
        <i/>
        <sz val="12"/>
        <color theme="1"/>
        <rFont val="Times New Roman"/>
        <family val="1"/>
        <charset val="186"/>
      </rPr>
      <t>euro</t>
    </r>
    <r>
      <rPr>
        <sz val="12"/>
        <color theme="1"/>
        <rFont val="Times New Roman"/>
        <family val="1"/>
        <charset val="186"/>
      </rPr>
      <t xml:space="preserve"> + 5,48 </t>
    </r>
    <r>
      <rPr>
        <i/>
        <sz val="12"/>
        <color theme="1"/>
        <rFont val="Times New Roman"/>
        <family val="1"/>
        <charset val="186"/>
      </rPr>
      <t>euro</t>
    </r>
    <r>
      <rPr>
        <sz val="12"/>
        <color theme="1"/>
        <rFont val="Times New Roman"/>
        <family val="1"/>
        <charset val="186"/>
      </rPr>
      <t xml:space="preserve">) = 48,86 </t>
    </r>
    <r>
      <rPr>
        <i/>
        <sz val="12"/>
        <color theme="1"/>
        <rFont val="Times New Roman"/>
        <family val="1"/>
        <charset val="186"/>
      </rPr>
      <t>euro</t>
    </r>
    <r>
      <rPr>
        <sz val="12"/>
        <color theme="1"/>
        <rFont val="Times New Roman"/>
        <family val="1"/>
        <charset val="186"/>
      </rPr>
      <t>.</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</si>
  <si>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 xml:space="preserve">/mēn. * 12 mēn. = 3 320,40 </t>
    </r>
    <r>
      <rPr>
        <i/>
        <sz val="12"/>
        <color theme="1"/>
        <rFont val="Times New Roman"/>
        <family val="1"/>
        <charset val="186"/>
      </rPr>
      <t>euro</t>
    </r>
    <r>
      <rPr>
        <sz val="12"/>
        <color theme="1"/>
        <rFont val="Times New Roman"/>
        <family val="1"/>
        <charset val="186"/>
      </rPr>
      <t xml:space="preserve"> * 0.033 (iznomātās platības koeficients) = 109,57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</si>
  <si>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 xml:space="preserve">/mēn. * 12 mēn. = 3 320,40 </t>
    </r>
    <r>
      <rPr>
        <i/>
        <sz val="12"/>
        <color theme="1"/>
        <rFont val="Times New Roman"/>
        <family val="1"/>
        <charset val="186"/>
      </rPr>
      <t>euro</t>
    </r>
    <r>
      <rPr>
        <sz val="12"/>
        <color theme="1"/>
        <rFont val="Times New Roman"/>
        <family val="1"/>
        <charset val="186"/>
      </rPr>
      <t xml:space="preserve"> * 0.0115 (iznomātās platības koeficients) = 38,18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</si>
  <si>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 xml:space="preserve">/mēn. * 12 mēn. = 3 320,40 </t>
    </r>
    <r>
      <rPr>
        <i/>
        <sz val="12"/>
        <color theme="1"/>
        <rFont val="Times New Roman"/>
        <family val="1"/>
        <charset val="186"/>
      </rPr>
      <t>euro</t>
    </r>
    <r>
      <rPr>
        <sz val="12"/>
        <color theme="1"/>
        <rFont val="Times New Roman"/>
        <family val="1"/>
        <charset val="186"/>
      </rPr>
      <t xml:space="preserve"> * 0.0217 (iznomātās platības koeficients) = 72,05 </t>
    </r>
    <r>
      <rPr>
        <i/>
        <sz val="12"/>
        <color theme="1"/>
        <rFont val="Times New Roman"/>
        <family val="1"/>
        <charset val="186"/>
      </rPr>
      <t>euro</t>
    </r>
    <r>
      <rPr>
        <sz val="12"/>
        <color theme="1"/>
        <rFont val="Times New Roman"/>
        <family val="1"/>
        <charset val="186"/>
      </rPr>
      <t xml:space="preserve">. </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</si>
  <si>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15,03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166.92 (vid. d. stundu sk. mēnesī). Vid. mēn. noslogojums 1.24 stundas, (15,03 </t>
    </r>
    <r>
      <rPr>
        <i/>
        <sz val="12"/>
        <color theme="1"/>
        <rFont val="Times New Roman"/>
        <family val="1"/>
        <charset val="186"/>
      </rPr>
      <t>euro</t>
    </r>
    <r>
      <rPr>
        <sz val="12"/>
        <color theme="1"/>
        <rFont val="Times New Roman"/>
        <family val="1"/>
        <charset val="186"/>
      </rPr>
      <t xml:space="preserve"> * 1.24 h) = 18,64 </t>
    </r>
    <r>
      <rPr>
        <i/>
        <sz val="12"/>
        <color theme="1"/>
        <rFont val="Times New Roman"/>
        <family val="1"/>
        <charset val="186"/>
      </rPr>
      <t>euro</t>
    </r>
    <r>
      <rPr>
        <sz val="12"/>
        <color theme="1"/>
        <rFont val="Times New Roman"/>
        <family val="1"/>
        <charset val="186"/>
      </rPr>
      <t xml:space="preserve">/mēn. * 12. mēn. = 223,68 </t>
    </r>
    <r>
      <rPr>
        <i/>
        <sz val="12"/>
        <color theme="1"/>
        <rFont val="Times New Roman"/>
        <family val="1"/>
        <charset val="186"/>
      </rPr>
      <t>euro</t>
    </r>
    <r>
      <rPr>
        <sz val="12"/>
        <color theme="1"/>
        <rFont val="Times New Roman"/>
        <family val="1"/>
        <charset val="186"/>
      </rPr>
      <t xml:space="preserve"> * 0.0562 (iznomātās platības koeficients) = 12,57 </t>
    </r>
    <r>
      <rPr>
        <i/>
        <sz val="12"/>
        <color theme="1"/>
        <rFont val="Times New Roman"/>
        <family val="1"/>
        <charset val="186"/>
      </rPr>
      <t>euro</t>
    </r>
    <r>
      <rPr>
        <sz val="12"/>
        <color theme="1"/>
        <rFont val="Times New Roman"/>
        <family val="1"/>
        <charset val="186"/>
      </rPr>
      <t>.</t>
    </r>
  </si>
  <si>
    <r>
      <t xml:space="preserve">Galv. nekust. īpaš. pārvaldnieks (327,89 </t>
    </r>
    <r>
      <rPr>
        <i/>
        <sz val="12"/>
        <color theme="1"/>
        <rFont val="Times New Roman"/>
        <family val="1"/>
        <charset val="186"/>
      </rPr>
      <t>euro</t>
    </r>
    <r>
      <rPr>
        <sz val="12"/>
        <color theme="1"/>
        <rFont val="Times New Roman"/>
        <family val="1"/>
        <charset val="186"/>
      </rPr>
      <t xml:space="preserve"> * 5%) = 16,40 </t>
    </r>
    <r>
      <rPr>
        <i/>
        <sz val="12"/>
        <color theme="1"/>
        <rFont val="Times New Roman"/>
        <family val="1"/>
        <charset val="186"/>
      </rPr>
      <t>euro</t>
    </r>
    <r>
      <rPr>
        <sz val="12"/>
        <color theme="1"/>
        <rFont val="Times New Roman"/>
        <family val="1"/>
        <charset val="186"/>
      </rPr>
      <t xml:space="preserve">, Saimniecības pārzinis (413,69 </t>
    </r>
    <r>
      <rPr>
        <i/>
        <sz val="12"/>
        <color theme="1"/>
        <rFont val="Times New Roman"/>
        <family val="1"/>
        <charset val="186"/>
      </rPr>
      <t>euro</t>
    </r>
    <r>
      <rPr>
        <sz val="12"/>
        <color theme="1"/>
        <rFont val="Times New Roman"/>
        <family val="1"/>
        <charset val="186"/>
      </rPr>
      <t xml:space="preserve"> * 5%) = 20,68 </t>
    </r>
    <r>
      <rPr>
        <i/>
        <sz val="12"/>
        <color theme="1"/>
        <rFont val="Times New Roman"/>
        <family val="1"/>
        <charset val="186"/>
      </rPr>
      <t>euro</t>
    </r>
    <r>
      <rPr>
        <sz val="12"/>
        <color theme="1"/>
        <rFont val="Times New Roman"/>
        <family val="1"/>
        <charset val="186"/>
      </rPr>
      <t xml:space="preserve">, Istabene (387,43 </t>
    </r>
    <r>
      <rPr>
        <i/>
        <sz val="12"/>
        <color theme="1"/>
        <rFont val="Times New Roman"/>
        <family val="1"/>
        <charset val="186"/>
      </rPr>
      <t>euro</t>
    </r>
    <r>
      <rPr>
        <sz val="12"/>
        <color theme="1"/>
        <rFont val="Times New Roman"/>
        <family val="1"/>
        <charset val="186"/>
      </rPr>
      <t xml:space="preserve"> * 5%) = 19,37 </t>
    </r>
    <r>
      <rPr>
        <i/>
        <sz val="12"/>
        <color theme="1"/>
        <rFont val="Times New Roman"/>
        <family val="1"/>
        <charset val="186"/>
      </rPr>
      <t>euro</t>
    </r>
    <r>
      <rPr>
        <sz val="12"/>
        <color theme="1"/>
        <rFont val="Times New Roman"/>
        <family val="1"/>
        <charset val="186"/>
      </rPr>
      <t xml:space="preserve">, Apkopēja (348,56 </t>
    </r>
    <r>
      <rPr>
        <i/>
        <sz val="12"/>
        <color theme="1"/>
        <rFont val="Times New Roman"/>
        <family val="1"/>
        <charset val="186"/>
      </rPr>
      <t>euro</t>
    </r>
    <r>
      <rPr>
        <sz val="12"/>
        <color theme="1"/>
        <rFont val="Times New Roman"/>
        <family val="1"/>
        <charset val="186"/>
      </rPr>
      <t xml:space="preserve"> * 5%) = 17,43 </t>
    </r>
    <r>
      <rPr>
        <i/>
        <sz val="12"/>
        <color theme="1"/>
        <rFont val="Times New Roman"/>
        <family val="1"/>
        <charset val="186"/>
      </rPr>
      <t>euro</t>
    </r>
    <r>
      <rPr>
        <sz val="12"/>
        <color theme="1"/>
        <rFont val="Times New Roman"/>
        <family val="1"/>
        <charset val="186"/>
      </rPr>
      <t xml:space="preserve">, Sētnieks (186,61 </t>
    </r>
    <r>
      <rPr>
        <i/>
        <sz val="12"/>
        <color theme="1"/>
        <rFont val="Times New Roman"/>
        <family val="1"/>
        <charset val="186"/>
      </rPr>
      <t>euro</t>
    </r>
    <r>
      <rPr>
        <sz val="12"/>
        <color theme="1"/>
        <rFont val="Times New Roman"/>
        <family val="1"/>
        <charset val="186"/>
      </rPr>
      <t xml:space="preserve"> * 5%) = 9,33 </t>
    </r>
    <r>
      <rPr>
        <i/>
        <sz val="12"/>
        <color theme="1"/>
        <rFont val="Times New Roman"/>
        <family val="1"/>
        <charset val="186"/>
      </rPr>
      <t>euro</t>
    </r>
    <r>
      <rPr>
        <sz val="12"/>
        <color theme="1"/>
        <rFont val="Times New Roman"/>
        <family val="1"/>
        <charset val="186"/>
      </rPr>
      <t xml:space="preserve">. Kopā (16,40 </t>
    </r>
    <r>
      <rPr>
        <i/>
        <sz val="12"/>
        <color theme="1"/>
        <rFont val="Times New Roman"/>
        <family val="1"/>
        <charset val="186"/>
      </rPr>
      <t>euro</t>
    </r>
    <r>
      <rPr>
        <sz val="12"/>
        <color theme="1"/>
        <rFont val="Times New Roman"/>
        <family val="1"/>
        <charset val="186"/>
      </rPr>
      <t xml:space="preserve"> + 20,68 </t>
    </r>
    <r>
      <rPr>
        <i/>
        <sz val="12"/>
        <color theme="1"/>
        <rFont val="Times New Roman"/>
        <family val="1"/>
        <charset val="186"/>
      </rPr>
      <t>euro</t>
    </r>
    <r>
      <rPr>
        <sz val="12"/>
        <color theme="1"/>
        <rFont val="Times New Roman"/>
        <family val="1"/>
        <charset val="186"/>
      </rPr>
      <t xml:space="preserve"> + 19,37 </t>
    </r>
    <r>
      <rPr>
        <i/>
        <sz val="12"/>
        <color theme="1"/>
        <rFont val="Times New Roman"/>
        <family val="1"/>
        <charset val="186"/>
      </rPr>
      <t>euro</t>
    </r>
    <r>
      <rPr>
        <sz val="12"/>
        <color theme="1"/>
        <rFont val="Times New Roman"/>
        <family val="1"/>
        <charset val="186"/>
      </rPr>
      <t xml:space="preserve"> + 17,43 </t>
    </r>
    <r>
      <rPr>
        <i/>
        <sz val="12"/>
        <color theme="1"/>
        <rFont val="Times New Roman"/>
        <family val="1"/>
        <charset val="186"/>
      </rPr>
      <t>euro</t>
    </r>
    <r>
      <rPr>
        <sz val="12"/>
        <color theme="1"/>
        <rFont val="Times New Roman"/>
        <family val="1"/>
        <charset val="186"/>
      </rPr>
      <t xml:space="preserve"> + 9,33 </t>
    </r>
    <r>
      <rPr>
        <i/>
        <sz val="12"/>
        <color theme="1"/>
        <rFont val="Times New Roman"/>
        <family val="1"/>
        <charset val="186"/>
      </rPr>
      <t>euro</t>
    </r>
    <r>
      <rPr>
        <sz val="12"/>
        <color theme="1"/>
        <rFont val="Times New Roman"/>
        <family val="1"/>
        <charset val="186"/>
      </rPr>
      <t xml:space="preserve">) = 83,21 </t>
    </r>
    <r>
      <rPr>
        <i/>
        <sz val="12"/>
        <color theme="1"/>
        <rFont val="Times New Roman"/>
        <family val="1"/>
        <charset val="186"/>
      </rPr>
      <t>euro</t>
    </r>
    <r>
      <rPr>
        <sz val="12"/>
        <color theme="1"/>
        <rFont val="Times New Roman"/>
        <family val="1"/>
        <charset val="186"/>
      </rPr>
      <t>.</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</si>
  <si>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 xml:space="preserve">/mēn. * 12 mēn. = 3 320,40 </t>
    </r>
    <r>
      <rPr>
        <i/>
        <sz val="12"/>
        <color theme="1"/>
        <rFont val="Times New Roman"/>
        <family val="1"/>
        <charset val="186"/>
      </rPr>
      <t>euro</t>
    </r>
    <r>
      <rPr>
        <sz val="12"/>
        <color theme="1"/>
        <rFont val="Times New Roman"/>
        <family val="1"/>
        <charset val="186"/>
      </rPr>
      <t xml:space="preserve"> * 0.0562 (iznomātās platības koeficients) = 186,61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</si>
  <si>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 xml:space="preserve">/mēn. * 12 mēn. = 3 320,40 </t>
    </r>
    <r>
      <rPr>
        <i/>
        <sz val="12"/>
        <color theme="1"/>
        <rFont val="Times New Roman"/>
        <family val="1"/>
        <charset val="186"/>
      </rPr>
      <t>euro</t>
    </r>
    <r>
      <rPr>
        <sz val="12"/>
        <color theme="1"/>
        <rFont val="Times New Roman"/>
        <family val="1"/>
        <charset val="186"/>
      </rPr>
      <t xml:space="preserve">  * 0.159 (iznomātās platības koeficients) = 527,94 </t>
    </r>
    <r>
      <rPr>
        <i/>
        <sz val="12"/>
        <color theme="1"/>
        <rFont val="Times New Roman"/>
        <family val="1"/>
        <charset val="186"/>
      </rPr>
      <t>euro</t>
    </r>
    <r>
      <rPr>
        <sz val="12"/>
        <color theme="1"/>
        <rFont val="Times New Roman"/>
        <family val="1"/>
        <charset val="186"/>
      </rPr>
      <t xml:space="preserve">. </t>
    </r>
  </si>
  <si>
    <r>
      <t xml:space="preserve">Galv. nekust. īpaš. pārvaldnieks (927,67 </t>
    </r>
    <r>
      <rPr>
        <i/>
        <sz val="12"/>
        <color theme="1"/>
        <rFont val="Times New Roman"/>
        <family val="1"/>
        <charset val="186"/>
      </rPr>
      <t>euro</t>
    </r>
    <r>
      <rPr>
        <sz val="12"/>
        <color theme="1"/>
        <rFont val="Times New Roman"/>
        <family val="1"/>
        <charset val="186"/>
      </rPr>
      <t xml:space="preserve"> * 10%) = 92,77 </t>
    </r>
    <r>
      <rPr>
        <i/>
        <sz val="12"/>
        <color theme="1"/>
        <rFont val="Times New Roman"/>
        <family val="1"/>
        <charset val="186"/>
      </rPr>
      <t>euro</t>
    </r>
    <r>
      <rPr>
        <sz val="12"/>
        <color theme="1"/>
        <rFont val="Times New Roman"/>
        <family val="1"/>
        <charset val="186"/>
      </rPr>
      <t xml:space="preserve">, Saimniecības pārzinis (1 170,41 </t>
    </r>
    <r>
      <rPr>
        <i/>
        <sz val="12"/>
        <color theme="1"/>
        <rFont val="Times New Roman"/>
        <family val="1"/>
        <charset val="186"/>
      </rPr>
      <t>euro</t>
    </r>
    <r>
      <rPr>
        <sz val="12"/>
        <color theme="1"/>
        <rFont val="Times New Roman"/>
        <family val="1"/>
        <charset val="186"/>
      </rPr>
      <t xml:space="preserve"> * 10%) = 117,04 </t>
    </r>
    <r>
      <rPr>
        <i/>
        <sz val="12"/>
        <color theme="1"/>
        <rFont val="Times New Roman"/>
        <family val="1"/>
        <charset val="186"/>
      </rPr>
      <t>euro</t>
    </r>
    <r>
      <rPr>
        <sz val="12"/>
        <color theme="1"/>
        <rFont val="Times New Roman"/>
        <family val="1"/>
        <charset val="186"/>
      </rPr>
      <t xml:space="preserve">, Istabene (1 096,11 </t>
    </r>
    <r>
      <rPr>
        <i/>
        <sz val="12"/>
        <color theme="1"/>
        <rFont val="Times New Roman"/>
        <family val="1"/>
        <charset val="186"/>
      </rPr>
      <t>euro</t>
    </r>
    <r>
      <rPr>
        <sz val="12"/>
        <color theme="1"/>
        <rFont val="Times New Roman"/>
        <family val="1"/>
        <charset val="186"/>
      </rPr>
      <t xml:space="preserve"> * 10%) = 109,61 </t>
    </r>
    <r>
      <rPr>
        <i/>
        <sz val="12"/>
        <color theme="1"/>
        <rFont val="Times New Roman"/>
        <family val="1"/>
        <charset val="186"/>
      </rPr>
      <t>euro</t>
    </r>
    <r>
      <rPr>
        <sz val="12"/>
        <color theme="1"/>
        <rFont val="Times New Roman"/>
        <family val="1"/>
        <charset val="186"/>
      </rPr>
      <t xml:space="preserve">, Apkopēja (986,15 </t>
    </r>
    <r>
      <rPr>
        <i/>
        <sz val="12"/>
        <color theme="1"/>
        <rFont val="Times New Roman"/>
        <family val="1"/>
        <charset val="186"/>
      </rPr>
      <t>euro</t>
    </r>
    <r>
      <rPr>
        <sz val="12"/>
        <color theme="1"/>
        <rFont val="Times New Roman"/>
        <family val="1"/>
        <charset val="186"/>
      </rPr>
      <t xml:space="preserve"> * 10%) = 98,62 </t>
    </r>
    <r>
      <rPr>
        <i/>
        <sz val="12"/>
        <color theme="1"/>
        <rFont val="Times New Roman"/>
        <family val="1"/>
        <charset val="186"/>
      </rPr>
      <t>euro</t>
    </r>
    <r>
      <rPr>
        <sz val="12"/>
        <color theme="1"/>
        <rFont val="Times New Roman"/>
        <family val="1"/>
        <charset val="186"/>
      </rPr>
      <t xml:space="preserve">, Sētnieks (527,94 </t>
    </r>
    <r>
      <rPr>
        <i/>
        <sz val="12"/>
        <color theme="1"/>
        <rFont val="Times New Roman"/>
        <family val="1"/>
        <charset val="186"/>
      </rPr>
      <t>euro</t>
    </r>
    <r>
      <rPr>
        <sz val="12"/>
        <color theme="1"/>
        <rFont val="Times New Roman"/>
        <family val="1"/>
        <charset val="186"/>
      </rPr>
      <t xml:space="preserve"> * 10%) = 52,79 </t>
    </r>
    <r>
      <rPr>
        <i/>
        <sz val="12"/>
        <color theme="1"/>
        <rFont val="Times New Roman"/>
        <family val="1"/>
        <charset val="186"/>
      </rPr>
      <t>euro</t>
    </r>
    <r>
      <rPr>
        <sz val="12"/>
        <color theme="1"/>
        <rFont val="Times New Roman"/>
        <family val="1"/>
        <charset val="186"/>
      </rPr>
      <t xml:space="preserve">. Kopā (92,77 euro +  117,04 </t>
    </r>
    <r>
      <rPr>
        <i/>
        <sz val="12"/>
        <color theme="1"/>
        <rFont val="Times New Roman"/>
        <family val="1"/>
        <charset val="186"/>
      </rPr>
      <t>euro</t>
    </r>
    <r>
      <rPr>
        <sz val="12"/>
        <color theme="1"/>
        <rFont val="Times New Roman"/>
        <family val="1"/>
        <charset val="186"/>
      </rPr>
      <t xml:space="preserve"> + 109,61 </t>
    </r>
    <r>
      <rPr>
        <i/>
        <sz val="12"/>
        <color theme="1"/>
        <rFont val="Times New Roman"/>
        <family val="1"/>
        <charset val="186"/>
      </rPr>
      <t>euro</t>
    </r>
    <r>
      <rPr>
        <sz val="12"/>
        <color theme="1"/>
        <rFont val="Times New Roman"/>
        <family val="1"/>
        <charset val="186"/>
      </rPr>
      <t xml:space="preserve"> + 98,62 </t>
    </r>
    <r>
      <rPr>
        <i/>
        <sz val="12"/>
        <color theme="1"/>
        <rFont val="Times New Roman"/>
        <family val="1"/>
        <charset val="186"/>
      </rPr>
      <t>euro</t>
    </r>
    <r>
      <rPr>
        <sz val="12"/>
        <color theme="1"/>
        <rFont val="Times New Roman"/>
        <family val="1"/>
        <charset val="186"/>
      </rPr>
      <t xml:space="preserve"> + 52,79 </t>
    </r>
    <r>
      <rPr>
        <i/>
        <sz val="12"/>
        <color theme="1"/>
        <rFont val="Times New Roman"/>
        <family val="1"/>
        <charset val="186"/>
      </rPr>
      <t>euro</t>
    </r>
    <r>
      <rPr>
        <sz val="12"/>
        <color theme="1"/>
        <rFont val="Times New Roman"/>
        <family val="1"/>
        <charset val="186"/>
      </rPr>
      <t xml:space="preserve">) = 470,83 </t>
    </r>
    <r>
      <rPr>
        <i/>
        <sz val="12"/>
        <color theme="1"/>
        <rFont val="Times New Roman"/>
        <family val="1"/>
        <charset val="186"/>
      </rPr>
      <t>euro</t>
    </r>
    <r>
      <rPr>
        <sz val="12"/>
        <color theme="1"/>
        <rFont val="Times New Roman"/>
        <family val="1"/>
        <charset val="186"/>
      </rPr>
      <t>.</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</si>
  <si>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 xml:space="preserve">/mēn. * 12 mēn. = 3 320,40 </t>
    </r>
    <r>
      <rPr>
        <i/>
        <sz val="12"/>
        <color theme="1"/>
        <rFont val="Times New Roman"/>
        <family val="1"/>
        <charset val="186"/>
      </rPr>
      <t>euro</t>
    </r>
    <r>
      <rPr>
        <sz val="12"/>
        <color theme="1"/>
        <rFont val="Times New Roman"/>
        <family val="1"/>
        <charset val="186"/>
      </rPr>
      <t xml:space="preserve"> * 0.0012 (iznomātās platības koeficients) = 3,98 </t>
    </r>
    <r>
      <rPr>
        <i/>
        <sz val="12"/>
        <color theme="1"/>
        <rFont val="Times New Roman"/>
        <family val="1"/>
        <charset val="186"/>
      </rPr>
      <t>euro</t>
    </r>
    <r>
      <rPr>
        <sz val="12"/>
        <color theme="1"/>
        <rFont val="Times New Roman"/>
        <family val="1"/>
        <charset val="186"/>
      </rPr>
      <t xml:space="preserve">. </t>
    </r>
  </si>
  <si>
    <r>
      <t xml:space="preserve">Galv. nekust. īpaš. pārvaldnieks (31,02 </t>
    </r>
    <r>
      <rPr>
        <i/>
        <sz val="12"/>
        <color theme="1"/>
        <rFont val="Times New Roman"/>
        <family val="1"/>
        <charset val="186"/>
      </rPr>
      <t>euro</t>
    </r>
    <r>
      <rPr>
        <sz val="12"/>
        <color theme="1"/>
        <rFont val="Times New Roman"/>
        <family val="1"/>
        <charset val="186"/>
      </rPr>
      <t xml:space="preserve"> * 5%) = 1,55 </t>
    </r>
    <r>
      <rPr>
        <i/>
        <sz val="12"/>
        <color theme="1"/>
        <rFont val="Times New Roman"/>
        <family val="1"/>
        <charset val="186"/>
      </rPr>
      <t>euro</t>
    </r>
    <r>
      <rPr>
        <sz val="12"/>
        <color theme="1"/>
        <rFont val="Times New Roman"/>
        <family val="1"/>
        <charset val="186"/>
      </rPr>
      <t xml:space="preserve">, Dienesta viesnīcas vadīotājs (706,33 </t>
    </r>
    <r>
      <rPr>
        <i/>
        <sz val="12"/>
        <color theme="1"/>
        <rFont val="Times New Roman"/>
        <family val="1"/>
        <charset val="186"/>
      </rPr>
      <t>euro</t>
    </r>
    <r>
      <rPr>
        <sz val="12"/>
        <color theme="1"/>
        <rFont val="Times New Roman"/>
        <family val="1"/>
        <charset val="186"/>
      </rPr>
      <t xml:space="preserve"> * 5%) = 35,32 </t>
    </r>
    <r>
      <rPr>
        <i/>
        <sz val="12"/>
        <color theme="1"/>
        <rFont val="Times New Roman"/>
        <family val="1"/>
        <charset val="186"/>
      </rPr>
      <t>euro</t>
    </r>
    <r>
      <rPr>
        <sz val="12"/>
        <color theme="1"/>
        <rFont val="Times New Roman"/>
        <family val="1"/>
        <charset val="186"/>
      </rPr>
      <t xml:space="preserve">. Saimniecības pārzinis (34,13 </t>
    </r>
    <r>
      <rPr>
        <i/>
        <sz val="12"/>
        <color theme="1"/>
        <rFont val="Times New Roman"/>
        <family val="1"/>
        <charset val="186"/>
      </rPr>
      <t>euro</t>
    </r>
    <r>
      <rPr>
        <sz val="12"/>
        <color theme="1"/>
        <rFont val="Times New Roman"/>
        <family val="1"/>
        <charset val="186"/>
      </rPr>
      <t xml:space="preserve"> * 5%) = 1,71 </t>
    </r>
    <r>
      <rPr>
        <i/>
        <sz val="12"/>
        <color theme="1"/>
        <rFont val="Times New Roman"/>
        <family val="1"/>
        <charset val="186"/>
      </rPr>
      <t>euro.</t>
    </r>
    <r>
      <rPr>
        <sz val="12"/>
        <color theme="1"/>
        <rFont val="Times New Roman"/>
        <family val="1"/>
        <charset val="186"/>
      </rPr>
      <t xml:space="preserve"> Kopā (1,55 </t>
    </r>
    <r>
      <rPr>
        <i/>
        <sz val="12"/>
        <color theme="1"/>
        <rFont val="Times New Roman"/>
        <family val="1"/>
        <charset val="186"/>
      </rPr>
      <t>euro</t>
    </r>
    <r>
      <rPr>
        <sz val="12"/>
        <color theme="1"/>
        <rFont val="Times New Roman"/>
        <family val="1"/>
        <charset val="186"/>
      </rPr>
      <t xml:space="preserve"> + 35,32 </t>
    </r>
    <r>
      <rPr>
        <i/>
        <sz val="12"/>
        <color theme="1"/>
        <rFont val="Times New Roman"/>
        <family val="1"/>
        <charset val="186"/>
      </rPr>
      <t>euro</t>
    </r>
    <r>
      <rPr>
        <sz val="12"/>
        <color theme="1"/>
        <rFont val="Times New Roman"/>
        <family val="1"/>
        <charset val="186"/>
      </rPr>
      <t xml:space="preserve"> +1,71 </t>
    </r>
    <r>
      <rPr>
        <i/>
        <sz val="12"/>
        <color theme="1"/>
        <rFont val="Times New Roman"/>
        <family val="1"/>
        <charset val="186"/>
      </rPr>
      <t>euro</t>
    </r>
    <r>
      <rPr>
        <sz val="12"/>
        <color theme="1"/>
        <rFont val="Times New Roman"/>
        <family val="1"/>
        <charset val="186"/>
      </rPr>
      <t xml:space="preserve">) = 38,58 </t>
    </r>
    <r>
      <rPr>
        <i/>
        <sz val="12"/>
        <color theme="1"/>
        <rFont val="Times New Roman"/>
        <family val="1"/>
        <charset val="186"/>
      </rPr>
      <t>euro</t>
    </r>
    <r>
      <rPr>
        <sz val="12"/>
        <color theme="1"/>
        <rFont val="Times New Roman"/>
        <family val="1"/>
        <charset val="186"/>
      </rPr>
      <t>.</t>
    </r>
  </si>
  <si>
    <r>
      <t xml:space="preserve">Galv. nekust. īpaš. pārvaldnieks (1,59 </t>
    </r>
    <r>
      <rPr>
        <i/>
        <sz val="12"/>
        <color theme="1"/>
        <rFont val="Times New Roman"/>
        <family val="1"/>
        <charset val="186"/>
      </rPr>
      <t>euro</t>
    </r>
    <r>
      <rPr>
        <sz val="12"/>
        <color theme="1"/>
        <rFont val="Times New Roman"/>
        <family val="1"/>
        <charset val="186"/>
      </rPr>
      <t xml:space="preserve"> * 5%) = 0,08 </t>
    </r>
    <r>
      <rPr>
        <i/>
        <sz val="12"/>
        <color theme="1"/>
        <rFont val="Times New Roman"/>
        <family val="1"/>
        <charset val="186"/>
      </rPr>
      <t>euro</t>
    </r>
    <r>
      <rPr>
        <sz val="12"/>
        <color theme="1"/>
        <rFont val="Times New Roman"/>
        <family val="1"/>
        <charset val="186"/>
      </rPr>
      <t xml:space="preserve">, Dienesta viesnīcas vadīotājs (36,20 </t>
    </r>
    <r>
      <rPr>
        <i/>
        <sz val="12"/>
        <color theme="1"/>
        <rFont val="Times New Roman"/>
        <family val="1"/>
        <charset val="186"/>
      </rPr>
      <t>euro</t>
    </r>
    <r>
      <rPr>
        <sz val="12"/>
        <color theme="1"/>
        <rFont val="Times New Roman"/>
        <family val="1"/>
        <charset val="186"/>
      </rPr>
      <t xml:space="preserve"> * 5%) = 1,81 </t>
    </r>
    <r>
      <rPr>
        <i/>
        <sz val="12"/>
        <color theme="1"/>
        <rFont val="Times New Roman"/>
        <family val="1"/>
        <charset val="186"/>
      </rPr>
      <t>euro</t>
    </r>
    <r>
      <rPr>
        <sz val="12"/>
        <color theme="1"/>
        <rFont val="Times New Roman"/>
        <family val="1"/>
        <charset val="186"/>
      </rPr>
      <t xml:space="preserve">. Saimniecības pārzinis (1,75 </t>
    </r>
    <r>
      <rPr>
        <i/>
        <sz val="12"/>
        <color theme="1"/>
        <rFont val="Times New Roman"/>
        <family val="1"/>
        <charset val="186"/>
      </rPr>
      <t>euro</t>
    </r>
    <r>
      <rPr>
        <sz val="12"/>
        <color theme="1"/>
        <rFont val="Times New Roman"/>
        <family val="1"/>
        <charset val="186"/>
      </rPr>
      <t xml:space="preserve"> * 5%) = 0,09 </t>
    </r>
    <r>
      <rPr>
        <i/>
        <sz val="12"/>
        <color theme="1"/>
        <rFont val="Times New Roman"/>
        <family val="1"/>
        <charset val="186"/>
      </rPr>
      <t>euro.</t>
    </r>
    <r>
      <rPr>
        <sz val="12"/>
        <color theme="1"/>
        <rFont val="Times New Roman"/>
        <family val="1"/>
        <charset val="186"/>
      </rPr>
      <t xml:space="preserve"> Kopā (0,08 </t>
    </r>
    <r>
      <rPr>
        <i/>
        <sz val="12"/>
        <color theme="1"/>
        <rFont val="Times New Roman"/>
        <family val="1"/>
        <charset val="186"/>
      </rPr>
      <t>euro</t>
    </r>
    <r>
      <rPr>
        <sz val="12"/>
        <color theme="1"/>
        <rFont val="Times New Roman"/>
        <family val="1"/>
        <charset val="186"/>
      </rPr>
      <t xml:space="preserve"> + 1,81 </t>
    </r>
    <r>
      <rPr>
        <i/>
        <sz val="12"/>
        <color theme="1"/>
        <rFont val="Times New Roman"/>
        <family val="1"/>
        <charset val="186"/>
      </rPr>
      <t>euro</t>
    </r>
    <r>
      <rPr>
        <sz val="12"/>
        <color theme="1"/>
        <rFont val="Times New Roman"/>
        <family val="1"/>
        <charset val="186"/>
      </rPr>
      <t xml:space="preserve"> + 0,09 </t>
    </r>
    <r>
      <rPr>
        <i/>
        <sz val="12"/>
        <color theme="1"/>
        <rFont val="Times New Roman"/>
        <family val="1"/>
        <charset val="186"/>
      </rPr>
      <t>euro</t>
    </r>
    <r>
      <rPr>
        <sz val="12"/>
        <color theme="1"/>
        <rFont val="Times New Roman"/>
        <family val="1"/>
        <charset val="186"/>
      </rPr>
      <t xml:space="preserve">) = 1,98 </t>
    </r>
    <r>
      <rPr>
        <i/>
        <sz val="12"/>
        <color theme="1"/>
        <rFont val="Times New Roman"/>
        <family val="1"/>
        <charset val="186"/>
      </rPr>
      <t>euro</t>
    </r>
    <r>
      <rPr>
        <sz val="12"/>
        <color theme="1"/>
        <rFont val="Times New Roman"/>
        <family val="1"/>
        <charset val="186"/>
      </rPr>
      <t>.</t>
    </r>
  </si>
  <si>
    <r>
      <t xml:space="preserve">Galv. nekust. īpaš. pārvaldnieks (149,46 </t>
    </r>
    <r>
      <rPr>
        <i/>
        <sz val="12"/>
        <color theme="1"/>
        <rFont val="Times New Roman"/>
        <family val="1"/>
        <charset val="186"/>
      </rPr>
      <t>euro</t>
    </r>
    <r>
      <rPr>
        <sz val="12"/>
        <color theme="1"/>
        <rFont val="Times New Roman"/>
        <family val="1"/>
        <charset val="186"/>
      </rPr>
      <t xml:space="preserve"> * 5%) = 7,47 </t>
    </r>
    <r>
      <rPr>
        <i/>
        <sz val="12"/>
        <color theme="1"/>
        <rFont val="Times New Roman"/>
        <family val="1"/>
        <charset val="186"/>
      </rPr>
      <t>euro</t>
    </r>
    <r>
      <rPr>
        <sz val="12"/>
        <color theme="1"/>
        <rFont val="Times New Roman"/>
        <family val="1"/>
        <charset val="186"/>
      </rPr>
      <t xml:space="preserve">, Dienesta viesnīcas vadīotājs (3 402,87 </t>
    </r>
    <r>
      <rPr>
        <i/>
        <sz val="12"/>
        <color theme="1"/>
        <rFont val="Times New Roman"/>
        <family val="1"/>
        <charset val="186"/>
      </rPr>
      <t>euro</t>
    </r>
    <r>
      <rPr>
        <sz val="12"/>
        <color theme="1"/>
        <rFont val="Times New Roman"/>
        <family val="1"/>
        <charset val="186"/>
      </rPr>
      <t xml:space="preserve"> * 5%) = 170,14 </t>
    </r>
    <r>
      <rPr>
        <i/>
        <sz val="12"/>
        <color theme="1"/>
        <rFont val="Times New Roman"/>
        <family val="1"/>
        <charset val="186"/>
      </rPr>
      <t>euro</t>
    </r>
    <r>
      <rPr>
        <sz val="12"/>
        <color theme="1"/>
        <rFont val="Times New Roman"/>
        <family val="1"/>
        <charset val="186"/>
      </rPr>
      <t xml:space="preserve">. Saimniecības pārzinis (164,41 </t>
    </r>
    <r>
      <rPr>
        <i/>
        <sz val="12"/>
        <color theme="1"/>
        <rFont val="Times New Roman"/>
        <family val="1"/>
        <charset val="186"/>
      </rPr>
      <t>euro</t>
    </r>
    <r>
      <rPr>
        <sz val="12"/>
        <color theme="1"/>
        <rFont val="Times New Roman"/>
        <family val="1"/>
        <charset val="186"/>
      </rPr>
      <t xml:space="preserve"> * 5%) = 8,22 </t>
    </r>
    <r>
      <rPr>
        <i/>
        <sz val="12"/>
        <color theme="1"/>
        <rFont val="Times New Roman"/>
        <family val="1"/>
        <charset val="186"/>
      </rPr>
      <t>euro.</t>
    </r>
    <r>
      <rPr>
        <sz val="12"/>
        <color theme="1"/>
        <rFont val="Times New Roman"/>
        <family val="1"/>
        <charset val="186"/>
      </rPr>
      <t xml:space="preserve"> Kopā (7,47 </t>
    </r>
    <r>
      <rPr>
        <i/>
        <sz val="12"/>
        <color theme="1"/>
        <rFont val="Times New Roman"/>
        <family val="1"/>
        <charset val="186"/>
      </rPr>
      <t>euro</t>
    </r>
    <r>
      <rPr>
        <sz val="12"/>
        <color theme="1"/>
        <rFont val="Times New Roman"/>
        <family val="1"/>
        <charset val="186"/>
      </rPr>
      <t xml:space="preserve"> + 170,14 </t>
    </r>
    <r>
      <rPr>
        <i/>
        <sz val="12"/>
        <color theme="1"/>
        <rFont val="Times New Roman"/>
        <family val="1"/>
        <charset val="186"/>
      </rPr>
      <t>euro</t>
    </r>
    <r>
      <rPr>
        <sz val="12"/>
        <color theme="1"/>
        <rFont val="Times New Roman"/>
        <family val="1"/>
        <charset val="186"/>
      </rPr>
      <t xml:space="preserve"> + 8,22 </t>
    </r>
    <r>
      <rPr>
        <i/>
        <sz val="12"/>
        <color theme="1"/>
        <rFont val="Times New Roman"/>
        <family val="1"/>
        <charset val="186"/>
      </rPr>
      <t>euro</t>
    </r>
    <r>
      <rPr>
        <sz val="12"/>
        <color theme="1"/>
        <rFont val="Times New Roman"/>
        <family val="1"/>
        <charset val="186"/>
      </rPr>
      <t xml:space="preserve">) = 185,83 </t>
    </r>
    <r>
      <rPr>
        <i/>
        <sz val="12"/>
        <color theme="1"/>
        <rFont val="Times New Roman"/>
        <family val="1"/>
        <charset val="186"/>
      </rPr>
      <t>euro</t>
    </r>
    <r>
      <rPr>
        <sz val="12"/>
        <color theme="1"/>
        <rFont val="Times New Roman"/>
        <family val="1"/>
        <charset val="186"/>
      </rPr>
      <t>.</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</si>
  <si>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 xml:space="preserve">/mēn. * 12 mēn. = 3 320,40 </t>
    </r>
    <r>
      <rPr>
        <i/>
        <sz val="12"/>
        <color theme="1"/>
        <rFont val="Times New Roman"/>
        <family val="1"/>
        <charset val="186"/>
      </rPr>
      <t>euro</t>
    </r>
    <r>
      <rPr>
        <sz val="12"/>
        <color theme="1"/>
        <rFont val="Times New Roman"/>
        <family val="1"/>
        <charset val="186"/>
      </rPr>
      <t xml:space="preserve"> * 0.0342 (iznomātās platības koeficients) = 113,56 </t>
    </r>
    <r>
      <rPr>
        <i/>
        <sz val="12"/>
        <color theme="1"/>
        <rFont val="Times New Roman"/>
        <family val="1"/>
        <charset val="186"/>
      </rPr>
      <t>euro</t>
    </r>
    <r>
      <rPr>
        <sz val="12"/>
        <color theme="1"/>
        <rFont val="Times New Roman"/>
        <family val="1"/>
        <charset val="186"/>
      </rPr>
      <t xml:space="preserve">. </t>
    </r>
  </si>
  <si>
    <r>
      <t xml:space="preserve">Darba devēja valsts sociālās apdrošināšanas obligātās iemaksas 262,80 </t>
    </r>
    <r>
      <rPr>
        <i/>
        <sz val="12"/>
        <color theme="1"/>
        <rFont val="Times New Roman"/>
        <family val="1"/>
        <charset val="186"/>
      </rPr>
      <t>euro</t>
    </r>
    <r>
      <rPr>
        <sz val="12"/>
        <color theme="1"/>
        <rFont val="Times New Roman"/>
        <family val="1"/>
        <charset val="186"/>
      </rPr>
      <t xml:space="preserve">. Veselības apdrošināšana 50,65 </t>
    </r>
    <r>
      <rPr>
        <i/>
        <sz val="12"/>
        <color theme="1"/>
        <rFont val="Times New Roman"/>
        <family val="1"/>
        <charset val="186"/>
      </rPr>
      <t>euro</t>
    </r>
    <r>
      <rPr>
        <sz val="12"/>
        <color theme="1"/>
        <rFont val="Times New Roman"/>
        <family val="1"/>
        <charset val="186"/>
      </rPr>
      <t xml:space="preserve">. Kopā 313,45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</si>
  <si>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253,57 </t>
    </r>
    <r>
      <rPr>
        <i/>
        <sz val="12"/>
        <color theme="1"/>
        <rFont val="Times New Roman"/>
        <family val="1"/>
        <charset val="186"/>
      </rPr>
      <t>euro</t>
    </r>
    <r>
      <rPr>
        <sz val="12"/>
        <color theme="1"/>
        <rFont val="Times New Roman"/>
        <family val="1"/>
        <charset val="186"/>
      </rPr>
      <t xml:space="preserve">. Veselības apdrošināšana 48,86 </t>
    </r>
    <r>
      <rPr>
        <i/>
        <sz val="12"/>
        <color theme="1"/>
        <rFont val="Times New Roman"/>
        <family val="1"/>
        <charset val="186"/>
      </rPr>
      <t>euro</t>
    </r>
    <r>
      <rPr>
        <sz val="12"/>
        <color theme="1"/>
        <rFont val="Times New Roman"/>
        <family val="1"/>
        <charset val="186"/>
      </rPr>
      <t xml:space="preserve">. Kopā 302,43 </t>
    </r>
    <r>
      <rPr>
        <i/>
        <sz val="12"/>
        <color theme="1"/>
        <rFont val="Times New Roman"/>
        <family val="1"/>
        <charset val="186"/>
      </rPr>
      <t>euro</t>
    </r>
    <r>
      <rPr>
        <sz val="12"/>
        <color theme="1"/>
        <rFont val="Times New Roman"/>
        <family val="1"/>
        <charset val="186"/>
      </rPr>
      <t>.</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</si>
  <si>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 xml:space="preserve">/mēn. * 12 mēn. = 3 320,40 </t>
    </r>
    <r>
      <rPr>
        <i/>
        <sz val="12"/>
        <color theme="1"/>
        <rFont val="Times New Roman"/>
        <family val="1"/>
        <charset val="186"/>
      </rPr>
      <t>euro</t>
    </r>
    <r>
      <rPr>
        <sz val="12"/>
        <color theme="1"/>
        <rFont val="Times New Roman"/>
        <family val="1"/>
        <charset val="186"/>
      </rPr>
      <t xml:space="preserve"> * 0.3646 (iznomātās platības koeficients) = 1 210,62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</si>
  <si>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 xml:space="preserve">/mēn. * 12 mēn. = 3 320,40 </t>
    </r>
    <r>
      <rPr>
        <i/>
        <sz val="12"/>
        <color theme="1"/>
        <rFont val="Times New Roman"/>
        <family val="1"/>
        <charset val="186"/>
      </rPr>
      <t>euro</t>
    </r>
    <r>
      <rPr>
        <sz val="12"/>
        <color theme="1"/>
        <rFont val="Times New Roman"/>
        <family val="1"/>
        <charset val="186"/>
      </rPr>
      <t xml:space="preserve"> * 0.0553 (iznomātās platības koeficients) = 183,62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</si>
  <si>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 xml:space="preserve">/mēn. * 12 mēn. = 3 320,40 </t>
    </r>
    <r>
      <rPr>
        <i/>
        <sz val="12"/>
        <color theme="1"/>
        <rFont val="Times New Roman"/>
        <family val="1"/>
        <charset val="186"/>
      </rPr>
      <t>euro</t>
    </r>
    <r>
      <rPr>
        <sz val="12"/>
        <color theme="1"/>
        <rFont val="Times New Roman"/>
        <family val="1"/>
        <charset val="186"/>
      </rPr>
      <t xml:space="preserve"> * 0.0263 (iznomātās platības koeficients)  = 87,33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</si>
  <si>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 xml:space="preserve">/mēn. * 12 mēn. = 3 320,40 </t>
    </r>
    <r>
      <rPr>
        <i/>
        <sz val="12"/>
        <color theme="1"/>
        <rFont val="Times New Roman"/>
        <family val="1"/>
        <charset val="186"/>
      </rPr>
      <t>euro</t>
    </r>
    <r>
      <rPr>
        <sz val="12"/>
        <color theme="1"/>
        <rFont val="Times New Roman"/>
        <family val="1"/>
        <charset val="186"/>
      </rPr>
      <t xml:space="preserve"> * 0.051 (iznomātās platības koeficients) = 169,34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</si>
  <si>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3 320,40 </t>
    </r>
    <r>
      <rPr>
        <i/>
        <sz val="12"/>
        <color theme="1"/>
        <rFont val="Times New Roman"/>
        <family val="1"/>
        <charset val="186"/>
      </rPr>
      <t>euro</t>
    </r>
    <r>
      <rPr>
        <sz val="12"/>
        <color theme="1"/>
        <rFont val="Times New Roman"/>
        <family val="1"/>
        <charset val="186"/>
      </rPr>
      <t xml:space="preserve"> * 0.009 (iznomātās platības koeficients) = 29,88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</si>
  <si>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3 320,40 </t>
    </r>
    <r>
      <rPr>
        <i/>
        <sz val="12"/>
        <color theme="1"/>
        <rFont val="Times New Roman"/>
        <family val="1"/>
        <charset val="186"/>
      </rPr>
      <t>euro</t>
    </r>
    <r>
      <rPr>
        <sz val="12"/>
        <color theme="1"/>
        <rFont val="Times New Roman"/>
        <family val="1"/>
        <charset val="186"/>
      </rPr>
      <t xml:space="preserve"> * 0.0813 (iznomātās platības koeficients) = 269,95 </t>
    </r>
    <r>
      <rPr>
        <i/>
        <sz val="12"/>
        <color theme="1"/>
        <rFont val="Times New Roman"/>
        <family val="1"/>
        <charset val="186"/>
      </rPr>
      <t>euro</t>
    </r>
    <r>
      <rPr>
        <sz val="12"/>
        <color theme="1"/>
        <rFont val="Times New Roman"/>
        <family val="1"/>
        <charset val="186"/>
      </rPr>
      <t xml:space="preserve">. </t>
    </r>
  </si>
  <si>
    <r>
      <t xml:space="preserve">Ugunsdzēsības aparātu pārbaude, Apkures sistēmas apkope, uzturēšana, ventilācijas iekārtu apkope, uzturēšana un citu iekārtu apkope un remonts, avāriju bojājumu novēršanas izdevumi 151,11 </t>
    </r>
    <r>
      <rPr>
        <i/>
        <sz val="12"/>
        <color theme="1"/>
        <rFont val="Times New Roman"/>
        <family val="1"/>
        <charset val="186"/>
      </rPr>
      <t>euro</t>
    </r>
    <r>
      <rPr>
        <sz val="12"/>
        <color theme="1"/>
        <rFont val="Times New Roman"/>
        <family val="1"/>
        <charset val="186"/>
      </rPr>
      <t xml:space="preserve"> gadā * 0.056 (iznomātās platības koeficients) = 8,46 </t>
    </r>
    <r>
      <rPr>
        <i/>
        <sz val="12"/>
        <color theme="1"/>
        <rFont val="Times New Roman"/>
        <family val="1"/>
        <charset val="186"/>
      </rPr>
      <t>euro</t>
    </r>
    <r>
      <rPr>
        <sz val="12"/>
        <color theme="1"/>
        <rFont val="Times New Roman"/>
        <family val="1"/>
        <charset val="186"/>
      </rPr>
      <t>.</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</si>
  <si>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 xml:space="preserve">/mēn. * 12 mēn. = 3 320,40 </t>
    </r>
    <r>
      <rPr>
        <i/>
        <sz val="12"/>
        <color theme="1"/>
        <rFont val="Times New Roman"/>
        <family val="1"/>
        <charset val="186"/>
      </rPr>
      <t>euro</t>
    </r>
    <r>
      <rPr>
        <sz val="12"/>
        <color theme="1"/>
        <rFont val="Times New Roman"/>
        <family val="1"/>
        <charset val="186"/>
      </rPr>
      <t xml:space="preserve"> * 0.0085 (iznomātās platības koeficients) = 28,22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</si>
  <si>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739 </t>
    </r>
    <r>
      <rPr>
        <i/>
        <sz val="12"/>
        <color theme="1"/>
        <rFont val="Times New Roman"/>
        <family val="1"/>
        <charset val="186"/>
      </rPr>
      <t>euro</t>
    </r>
    <r>
      <rPr>
        <sz val="12"/>
        <color theme="1"/>
        <rFont val="Times New Roman"/>
        <family val="1"/>
        <charset val="186"/>
      </rPr>
      <t xml:space="preserve">). Stundas tarifa likme 4,43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166.92 (vid. d. stundu sk. mēnesī). Vid. mēn. noslogojums 62.46 stundas, (4,43 </t>
    </r>
    <r>
      <rPr>
        <i/>
        <sz val="12"/>
        <color theme="1"/>
        <rFont val="Times New Roman"/>
        <family val="1"/>
        <charset val="186"/>
      </rPr>
      <t>euro</t>
    </r>
    <r>
      <rPr>
        <sz val="12"/>
        <color theme="1"/>
        <rFont val="Times New Roman"/>
        <family val="1"/>
        <charset val="186"/>
      </rPr>
      <t xml:space="preserve"> * 62.46 h) = 276,70 </t>
    </r>
    <r>
      <rPr>
        <i/>
        <sz val="12"/>
        <color theme="1"/>
        <rFont val="Times New Roman"/>
        <family val="1"/>
        <charset val="186"/>
      </rPr>
      <t>euro</t>
    </r>
    <r>
      <rPr>
        <sz val="12"/>
        <color theme="1"/>
        <rFont val="Times New Roman"/>
        <family val="1"/>
        <charset val="186"/>
      </rPr>
      <t xml:space="preserve">/mēn. * 12 mēn. = 3 320,40 </t>
    </r>
    <r>
      <rPr>
        <i/>
        <sz val="12"/>
        <color theme="1"/>
        <rFont val="Times New Roman"/>
        <family val="1"/>
        <charset val="186"/>
      </rPr>
      <t>euro</t>
    </r>
    <r>
      <rPr>
        <sz val="12"/>
        <color theme="1"/>
        <rFont val="Times New Roman"/>
        <family val="1"/>
        <charset val="186"/>
      </rPr>
      <t xml:space="preserve"> * 0.072 (iznomātās platības koeficients) = 239,07 </t>
    </r>
    <r>
      <rPr>
        <i/>
        <sz val="12"/>
        <color theme="1"/>
        <rFont val="Times New Roman"/>
        <family val="1"/>
        <charset val="186"/>
      </rPr>
      <t>euro</t>
    </r>
    <r>
      <rPr>
        <sz val="12"/>
        <color theme="1"/>
        <rFont val="Times New Roman"/>
        <family val="1"/>
        <charset val="186"/>
      </rPr>
      <t xml:space="preserve">. </t>
    </r>
  </si>
  <si>
    <t>Papildu vieta viesnīcā Piestātnes ielā 14, Jūrmalā</t>
  </si>
  <si>
    <t>1.2.2. sporta zāles noma grupai no 16 cilvēkiem</t>
  </si>
  <si>
    <t>Maksas pakalpojuma vienību skaits noteiktā laikposmā (3 numuri x 14 diennaktis gadā)</t>
  </si>
  <si>
    <t>2.1.2. vienistabas divvietīgs numurs (telpa Nr. 9, 33, 46)</t>
  </si>
  <si>
    <t>2.1.1. liels vienistabas divvietīgs numurs (telpa Nr. 7, 8, 10)</t>
  </si>
  <si>
    <t xml:space="preserve">2.6. Dienesta viesnīcas pakalpojumi Ezermalas ielā 8A, Rīgā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</si>
</sst>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0"/>
    <numFmt numFmtId="165" formatCode="0.0000"/>
    <numFmt numFmtId="166" formatCode="#,##0.0000"/>
    <numFmt numFmtId="167" formatCode="#,##0.000"/>
    <numFmt numFmtId="168" formatCode="0.00000"/>
    <numFmt numFmtId="169" formatCode="#,##0.00000"/>
    <numFmt numFmtId="170" formatCode="0.000000"/>
  </numFmts>
  <fonts count="24" x14ac:knownFonts="1">
    <font>
      <sz val="11"/>
      <color theme="1"/>
      <name val="Calibri"/>
      <family val="2"/>
      <charset val="186"/>
      <scheme val="minor"/>
    </font>
    <font>
      <sz val="12"/>
      <color theme="1"/>
      <name val="Times New Roman"/>
      <family val="1"/>
      <charset val="186"/>
    </font>
    <font>
      <sz val="14"/>
      <color theme="1"/>
      <name val="Times New Roman"/>
      <family val="1"/>
      <charset val="186"/>
    </font>
    <font>
      <b/>
      <u/>
      <sz val="14"/>
      <color theme="1"/>
      <name val="Times New Roman"/>
      <family val="1"/>
      <charset val="186"/>
    </font>
    <font>
      <b/>
      <sz val="14"/>
      <color theme="1"/>
      <name val="Times New Roman"/>
      <family val="1"/>
      <charset val="186"/>
    </font>
    <font>
      <b/>
      <sz val="12"/>
      <color theme="1"/>
      <name val="Times New Roman"/>
      <family val="1"/>
      <charset val="186"/>
    </font>
    <font>
      <i/>
      <sz val="12"/>
      <color theme="1"/>
      <name val="Times New Roman"/>
      <family val="1"/>
      <charset val="186"/>
    </font>
    <font>
      <sz val="12"/>
      <color rgb="FF000000"/>
      <name val="Times New Roman"/>
      <family val="1"/>
      <charset val="186"/>
    </font>
    <font>
      <sz val="11"/>
      <color theme="1"/>
      <name val="Times New Roman"/>
      <family val="1"/>
      <charset val="186"/>
    </font>
    <font>
      <b/>
      <sz val="12"/>
      <color rgb="FF000000"/>
      <name val="Times New Roman"/>
      <family val="1"/>
      <charset val="186"/>
    </font>
    <font>
      <sz val="12"/>
      <name val="Times New Roman"/>
      <family val="1"/>
      <charset val="186"/>
    </font>
    <font>
      <b/>
      <i/>
      <sz val="12"/>
      <color rgb="FF000000"/>
      <name val="Times New Roman"/>
      <family val="1"/>
      <charset val="186"/>
    </font>
    <font>
      <sz val="12"/>
      <color rgb="FFFF0000"/>
      <name val="Times New Roman"/>
      <family val="1"/>
      <charset val="186"/>
    </font>
    <font>
      <sz val="11"/>
      <color rgb="FFFF0000"/>
      <name val="Calibri"/>
      <family val="2"/>
      <charset val="186"/>
      <scheme val="minor"/>
    </font>
    <font>
      <b/>
      <sz val="11"/>
      <color theme="1"/>
      <name val="Calibri"/>
      <family val="2"/>
      <charset val="186"/>
      <scheme val="minor"/>
    </font>
    <font>
      <b/>
      <sz val="12"/>
      <color theme="1"/>
      <name val="Calibri"/>
      <family val="2"/>
      <charset val="186"/>
      <scheme val="minor"/>
    </font>
    <font>
      <b/>
      <sz val="11"/>
      <color rgb="FFFF0000"/>
      <name val="Calibri"/>
      <family val="2"/>
      <charset val="186"/>
      <scheme val="minor"/>
    </font>
    <font>
      <sz val="14"/>
      <color theme="1"/>
      <name val="Calibri"/>
      <family val="2"/>
      <charset val="186"/>
      <scheme val="minor"/>
    </font>
    <font>
      <b/>
      <sz val="11"/>
      <color theme="1"/>
      <name val="Times New Roman"/>
      <family val="1"/>
      <charset val="186"/>
    </font>
    <font>
      <b/>
      <sz val="12"/>
      <color rgb="FF414142"/>
      <name val="Times New Roman"/>
      <family val="1"/>
      <charset val="186"/>
    </font>
    <font>
      <sz val="12"/>
      <color rgb="FF414142"/>
      <name val="Times New Roman"/>
      <family val="1"/>
      <charset val="186"/>
    </font>
    <font>
      <i/>
      <sz val="12"/>
      <name val="Times New Roman"/>
      <family val="1"/>
      <charset val="186"/>
    </font>
    <font>
      <b/>
      <i/>
      <sz val="12"/>
      <color theme="1"/>
      <name val="Times New Roman"/>
      <family val="1"/>
      <charset val="186"/>
    </font>
    <font>
      <b/>
      <i/>
      <sz val="11"/>
      <color theme="1"/>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369">
    <xf numFmtId="0" fontId="0" fillId="0" borderId="0" xfId="0"/>
    <xf numFmtId="0" fontId="1" fillId="0" borderId="0" xfId="0" applyFont="1"/>
    <xf numFmtId="0" fontId="2" fillId="0" borderId="0" xfId="0" applyFont="1"/>
    <xf numFmtId="0" fontId="4" fillId="0" borderId="0" xfId="0" applyFont="1" applyAlignment="1">
      <alignment horizontal="left" vertical="center"/>
    </xf>
    <xf numFmtId="0" fontId="1" fillId="0" borderId="1" xfId="0" applyFont="1" applyBorder="1"/>
    <xf numFmtId="0" fontId="1" fillId="0" borderId="1" xfId="0" applyFont="1" applyBorder="1" applyAlignment="1">
      <alignment wrapText="1"/>
    </xf>
    <xf numFmtId="0" fontId="1" fillId="0" borderId="2" xfId="0" applyFont="1" applyBorder="1"/>
    <xf numFmtId="0" fontId="5" fillId="0" borderId="1" xfId="0" applyFont="1" applyBorder="1"/>
    <xf numFmtId="0" fontId="5" fillId="0" borderId="1" xfId="0" applyFont="1" applyBorder="1" applyAlignment="1">
      <alignment horizontal="center"/>
    </xf>
    <xf numFmtId="0" fontId="5" fillId="0" borderId="1" xfId="0" applyFont="1" applyBorder="1" applyAlignment="1">
      <alignment vertical="center" wrapText="1"/>
    </xf>
    <xf numFmtId="0" fontId="5" fillId="0" borderId="1" xfId="0" applyFont="1" applyBorder="1" applyAlignment="1">
      <alignment horizontal="left"/>
    </xf>
    <xf numFmtId="0" fontId="5"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9" fillId="2" borderId="1" xfId="0" applyFont="1" applyFill="1" applyBorder="1" applyAlignment="1">
      <alignment vertical="top"/>
    </xf>
    <xf numFmtId="4" fontId="0" fillId="0" borderId="0" xfId="0" applyNumberFormat="1"/>
    <xf numFmtId="0" fontId="0" fillId="0" borderId="0" xfId="0" applyAlignment="1">
      <alignment vertical="top"/>
    </xf>
    <xf numFmtId="0" fontId="1" fillId="0" borderId="1" xfId="0" applyFont="1" applyBorder="1" applyAlignment="1">
      <alignment vertical="top"/>
    </xf>
    <xf numFmtId="0" fontId="1" fillId="0" borderId="1" xfId="0" applyFont="1" applyBorder="1" applyAlignment="1">
      <alignment horizontal="center"/>
    </xf>
    <xf numFmtId="0" fontId="1" fillId="0" borderId="1" xfId="0" applyFont="1" applyBorder="1" applyAlignment="1">
      <alignment horizontal="left" wrapText="1"/>
    </xf>
    <xf numFmtId="0" fontId="1" fillId="0" borderId="1" xfId="0" applyFont="1" applyBorder="1" applyAlignment="1">
      <alignment horizontal="right"/>
    </xf>
    <xf numFmtId="49" fontId="12" fillId="0" borderId="0" xfId="0" applyNumberFormat="1" applyFont="1" applyBorder="1" applyAlignment="1">
      <alignment horizontal="left" wrapText="1"/>
    </xf>
    <xf numFmtId="0" fontId="1" fillId="0" borderId="0" xfId="0" applyFont="1" applyBorder="1"/>
    <xf numFmtId="0" fontId="9" fillId="2" borderId="1" xfId="0" applyFont="1" applyFill="1" applyBorder="1" applyAlignment="1">
      <alignment vertical="top" wrapText="1"/>
    </xf>
    <xf numFmtId="0" fontId="0" fillId="0" borderId="1" xfId="0" applyBorder="1"/>
    <xf numFmtId="0" fontId="14" fillId="0" borderId="1" xfId="0" applyFont="1" applyBorder="1"/>
    <xf numFmtId="2" fontId="0" fillId="0" borderId="1" xfId="0" applyNumberFormat="1" applyBorder="1"/>
    <xf numFmtId="2" fontId="14" fillId="0" borderId="1" xfId="0" applyNumberFormat="1" applyFont="1" applyBorder="1"/>
    <xf numFmtId="2" fontId="15" fillId="0" borderId="1" xfId="0" applyNumberFormat="1" applyFont="1" applyBorder="1"/>
    <xf numFmtId="0" fontId="0" fillId="0" borderId="1" xfId="0" applyBorder="1" applyAlignment="1">
      <alignment horizontal="center"/>
    </xf>
    <xf numFmtId="0" fontId="1" fillId="0" borderId="1" xfId="0" applyFont="1" applyBorder="1" applyAlignment="1">
      <alignment horizontal="center" wrapText="1"/>
    </xf>
    <xf numFmtId="0" fontId="1" fillId="0" borderId="1" xfId="0" applyFont="1" applyBorder="1" applyAlignment="1">
      <alignment horizontal="center"/>
    </xf>
    <xf numFmtId="0" fontId="6" fillId="0" borderId="1" xfId="0" applyFont="1" applyBorder="1" applyAlignment="1">
      <alignment horizontal="center"/>
    </xf>
    <xf numFmtId="0" fontId="1" fillId="0" borderId="1" xfId="0" applyFont="1" applyBorder="1" applyAlignment="1">
      <alignment horizontal="left" wrapText="1"/>
    </xf>
    <xf numFmtId="0" fontId="1" fillId="0" borderId="1" xfId="0" applyFont="1" applyBorder="1" applyAlignment="1">
      <alignment vertical="top" wrapText="1"/>
    </xf>
    <xf numFmtId="0" fontId="1" fillId="0" borderId="1" xfId="0" applyFont="1" applyBorder="1" applyAlignment="1">
      <alignment horizontal="center"/>
    </xf>
    <xf numFmtId="0" fontId="6" fillId="0" borderId="1" xfId="0" applyFont="1" applyBorder="1" applyAlignment="1">
      <alignment horizontal="center"/>
    </xf>
    <xf numFmtId="0" fontId="1" fillId="0" borderId="1" xfId="0" applyFont="1" applyBorder="1" applyAlignment="1">
      <alignment horizontal="center" wrapText="1"/>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left" vertical="top" wrapText="1"/>
    </xf>
    <xf numFmtId="2" fontId="0" fillId="0" borderId="0" xfId="0" applyNumberFormat="1"/>
    <xf numFmtId="4" fontId="14" fillId="0" borderId="1" xfId="0" applyNumberFormat="1" applyFont="1" applyBorder="1" applyAlignment="1"/>
    <xf numFmtId="4" fontId="15" fillId="0" borderId="1" xfId="0" applyNumberFormat="1" applyFont="1" applyBorder="1" applyAlignment="1"/>
    <xf numFmtId="4" fontId="0" fillId="0" borderId="1" xfId="0" applyNumberFormat="1" applyBorder="1"/>
    <xf numFmtId="4" fontId="14" fillId="0" borderId="1" xfId="0" applyNumberFormat="1" applyFont="1" applyBorder="1"/>
    <xf numFmtId="4" fontId="0" fillId="0" borderId="1" xfId="0" applyNumberFormat="1" applyBorder="1" applyAlignment="1">
      <alignment horizontal="center"/>
    </xf>
    <xf numFmtId="2" fontId="0" fillId="0" borderId="1" xfId="0" applyNumberFormat="1" applyBorder="1" applyAlignment="1">
      <alignment horizontal="center"/>
    </xf>
    <xf numFmtId="0" fontId="0" fillId="0" borderId="1" xfId="0" applyFont="1" applyBorder="1" applyAlignment="1">
      <alignment horizontal="center"/>
    </xf>
    <xf numFmtId="0" fontId="1"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164" fontId="0" fillId="0" borderId="0" xfId="0" applyNumberFormat="1"/>
    <xf numFmtId="0" fontId="0" fillId="0" borderId="0" xfId="0" applyBorder="1"/>
    <xf numFmtId="0" fontId="7" fillId="0" borderId="1" xfId="0" applyFont="1" applyBorder="1" applyAlignment="1">
      <alignment horizontal="center" vertical="top" wrapText="1"/>
    </xf>
    <xf numFmtId="0" fontId="4" fillId="0" borderId="0" xfId="0" applyFont="1" applyAlignment="1"/>
    <xf numFmtId="0" fontId="1" fillId="0" borderId="1" xfId="0" applyFont="1" applyBorder="1" applyAlignment="1">
      <alignment horizontal="left" wrapText="1"/>
    </xf>
    <xf numFmtId="0" fontId="3" fillId="0" borderId="0" xfId="0" applyFont="1"/>
    <xf numFmtId="0" fontId="1" fillId="0" borderId="1" xfId="0" applyFont="1" applyBorder="1" applyAlignment="1">
      <alignment horizontal="left" wrapText="1"/>
    </xf>
    <xf numFmtId="0" fontId="1" fillId="0" borderId="6" xfId="0" applyFont="1" applyFill="1" applyBorder="1" applyAlignment="1">
      <alignment horizontal="left" wrapText="1"/>
    </xf>
    <xf numFmtId="0" fontId="1" fillId="0" borderId="1" xfId="0" applyFont="1" applyBorder="1" applyAlignment="1">
      <alignment horizontal="center"/>
    </xf>
    <xf numFmtId="0" fontId="6" fillId="0" borderId="1" xfId="0" applyFont="1" applyBorder="1" applyAlignment="1">
      <alignment horizontal="center"/>
    </xf>
    <xf numFmtId="0" fontId="1" fillId="0" borderId="1" xfId="0" applyFont="1" applyBorder="1" applyAlignment="1">
      <alignment horizontal="left" wrapText="1"/>
    </xf>
    <xf numFmtId="2" fontId="0" fillId="0" borderId="1" xfId="0" applyNumberFormat="1" applyFont="1" applyBorder="1" applyAlignment="1">
      <alignment horizontal="center"/>
    </xf>
    <xf numFmtId="0" fontId="5" fillId="0" borderId="0" xfId="0" applyFont="1"/>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left" vertical="top"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4" fillId="0" borderId="0" xfId="0" applyFont="1"/>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165" fontId="0" fillId="0" borderId="0" xfId="0" applyNumberFormat="1"/>
    <xf numFmtId="2" fontId="14" fillId="0" borderId="1" xfId="0" applyNumberFormat="1" applyFont="1" applyBorder="1" applyAlignment="1">
      <alignment horizontal="right"/>
    </xf>
    <xf numFmtId="0" fontId="10" fillId="0" borderId="1" xfId="0" applyFont="1" applyFill="1" applyBorder="1" applyAlignment="1">
      <alignment horizontal="left" wrapText="1"/>
    </xf>
    <xf numFmtId="0" fontId="1" fillId="0" borderId="1" xfId="0" applyFont="1" applyFill="1" applyBorder="1" applyAlignment="1">
      <alignment horizontal="left" wrapText="1"/>
    </xf>
    <xf numFmtId="4" fontId="7" fillId="0" borderId="1" xfId="0" applyNumberFormat="1" applyFont="1" applyBorder="1" applyAlignment="1">
      <alignment horizontal="center" vertical="top" wrapText="1"/>
    </xf>
    <xf numFmtId="4" fontId="14" fillId="0" borderId="1" xfId="0" applyNumberFormat="1" applyFont="1" applyBorder="1" applyAlignment="1">
      <alignment horizontal="right"/>
    </xf>
    <xf numFmtId="4" fontId="15" fillId="0" borderId="1" xfId="0" applyNumberFormat="1" applyFont="1" applyBorder="1"/>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left" vertical="top"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vertical="top" wrapText="1"/>
    </xf>
    <xf numFmtId="0" fontId="1" fillId="0" borderId="1" xfId="0" applyFont="1" applyBorder="1" applyAlignment="1">
      <alignment horizontal="left" wrapText="1"/>
    </xf>
    <xf numFmtId="0" fontId="3" fillId="0" borderId="0" xfId="0" applyFont="1" applyAlignment="1">
      <alignment horizontal="left" vertical="center"/>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4" fillId="0" borderId="0" xfId="0" applyFont="1" applyAlignment="1">
      <alignment horizontal="left" vertical="center"/>
    </xf>
    <xf numFmtId="4" fontId="0" fillId="0" borderId="1" xfId="0" applyNumberFormat="1" applyFont="1" applyBorder="1" applyAlignment="1">
      <alignment horizontal="center"/>
    </xf>
    <xf numFmtId="0" fontId="1" fillId="0" borderId="1" xfId="0" applyFont="1" applyBorder="1" applyAlignment="1">
      <alignment horizontal="center"/>
    </xf>
    <xf numFmtId="0" fontId="6" fillId="0" borderId="1" xfId="0" applyFont="1" applyBorder="1" applyAlignment="1">
      <alignment horizontal="center"/>
    </xf>
    <xf numFmtId="0" fontId="3" fillId="0" borderId="0" xfId="0" applyFont="1" applyAlignment="1">
      <alignment horizontal="left" vertical="center"/>
    </xf>
    <xf numFmtId="0" fontId="1" fillId="0" borderId="1" xfId="0" applyFont="1" applyBorder="1" applyAlignment="1">
      <alignment horizontal="center" wrapText="1"/>
    </xf>
    <xf numFmtId="49" fontId="1" fillId="0" borderId="1" xfId="0" applyNumberFormat="1" applyFont="1" applyBorder="1" applyAlignment="1">
      <alignment horizontal="left" wrapText="1"/>
    </xf>
    <xf numFmtId="0" fontId="1" fillId="0" borderId="1" xfId="0" applyFont="1" applyBorder="1" applyAlignment="1">
      <alignment horizontal="left" vertical="top" wrapText="1"/>
    </xf>
    <xf numFmtId="0" fontId="1" fillId="0" borderId="1" xfId="0" applyFont="1" applyBorder="1" applyAlignment="1">
      <alignment horizontal="left" wrapText="1"/>
    </xf>
    <xf numFmtId="0" fontId="10" fillId="0" borderId="1" xfId="0" applyFont="1" applyBorder="1" applyAlignment="1">
      <alignment horizontal="left" wrapText="1"/>
    </xf>
    <xf numFmtId="0" fontId="1" fillId="0" borderId="1" xfId="0" applyFont="1" applyFill="1" applyBorder="1" applyAlignment="1">
      <alignment vertical="center" wrapText="1"/>
    </xf>
    <xf numFmtId="0" fontId="1" fillId="0" borderId="1" xfId="0" applyFont="1" applyFill="1" applyBorder="1" applyAlignment="1">
      <alignment horizontal="left" vertical="top" wrapText="1"/>
    </xf>
    <xf numFmtId="0" fontId="10" fillId="0" borderId="1" xfId="0" applyFont="1" applyFill="1" applyBorder="1" applyAlignment="1">
      <alignment wrapText="1"/>
    </xf>
    <xf numFmtId="0" fontId="1" fillId="0" borderId="1" xfId="0" applyFont="1" applyFill="1" applyBorder="1" applyAlignment="1">
      <alignment wrapText="1"/>
    </xf>
    <xf numFmtId="0" fontId="1" fillId="0" borderId="6" xfId="0" applyFont="1" applyFill="1" applyBorder="1" applyAlignment="1">
      <alignment wrapText="1"/>
    </xf>
    <xf numFmtId="0" fontId="9" fillId="0" borderId="1" xfId="0" applyFont="1" applyBorder="1"/>
    <xf numFmtId="49" fontId="10" fillId="0" borderId="1" xfId="0" applyNumberFormat="1" applyFont="1" applyBorder="1" applyAlignment="1">
      <alignment horizontal="left" wrapText="1"/>
    </xf>
    <xf numFmtId="49" fontId="1" fillId="0" borderId="1" xfId="0" applyNumberFormat="1" applyFont="1" applyBorder="1" applyAlignment="1">
      <alignment horizontal="left" wrapText="1"/>
    </xf>
    <xf numFmtId="0" fontId="1" fillId="0" borderId="1" xfId="0" applyFont="1" applyBorder="1" applyAlignment="1"/>
    <xf numFmtId="49" fontId="1" fillId="0" borderId="1" xfId="0" applyNumberFormat="1" applyFont="1" applyBorder="1" applyAlignment="1">
      <alignment wrapText="1"/>
    </xf>
    <xf numFmtId="0" fontId="0" fillId="0" borderId="1" xfId="0" applyFont="1" applyFill="1" applyBorder="1" applyAlignment="1">
      <alignment horizontal="center"/>
    </xf>
    <xf numFmtId="0" fontId="1" fillId="0" borderId="4" xfId="0" applyFont="1" applyBorder="1" applyAlignment="1">
      <alignment horizontal="left" wrapText="1"/>
    </xf>
    <xf numFmtId="0" fontId="1" fillId="0" borderId="4" xfId="0" applyFont="1" applyBorder="1" applyAlignment="1">
      <alignment wrapText="1"/>
    </xf>
    <xf numFmtId="0" fontId="1" fillId="0" borderId="7" xfId="0" applyFont="1" applyBorder="1" applyAlignment="1">
      <alignment vertical="top"/>
    </xf>
    <xf numFmtId="0" fontId="1" fillId="0" borderId="9" xfId="0" applyFont="1" applyBorder="1" applyAlignment="1">
      <alignment vertical="top"/>
    </xf>
    <xf numFmtId="0" fontId="1" fillId="0" borderId="11" xfId="0" applyFont="1" applyBorder="1" applyAlignment="1">
      <alignment vertical="top"/>
    </xf>
    <xf numFmtId="0" fontId="1" fillId="0" borderId="8" xfId="0" applyFont="1" applyBorder="1" applyAlignment="1">
      <alignment vertical="top"/>
    </xf>
    <xf numFmtId="0" fontId="1" fillId="0" borderId="10" xfId="0" applyFont="1" applyBorder="1" applyAlignment="1">
      <alignment vertical="top"/>
    </xf>
    <xf numFmtId="0" fontId="1" fillId="0" borderId="12" xfId="0" applyFont="1" applyBorder="1" applyAlignment="1">
      <alignment vertical="top"/>
    </xf>
    <xf numFmtId="0" fontId="1" fillId="0" borderId="8" xfId="0" applyFont="1" applyBorder="1" applyAlignment="1">
      <alignment horizontal="center"/>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49" fontId="1" fillId="0" borderId="1" xfId="0" applyNumberFormat="1" applyFont="1" applyBorder="1" applyAlignment="1">
      <alignment horizontal="left" vertical="top" wrapText="1"/>
    </xf>
    <xf numFmtId="0" fontId="1" fillId="0" borderId="1" xfId="0" applyFont="1" applyBorder="1" applyAlignment="1">
      <alignment horizontal="left"/>
    </xf>
    <xf numFmtId="4" fontId="0" fillId="0" borderId="1" xfId="0" applyNumberFormat="1" applyBorder="1" applyAlignment="1">
      <alignment horizontal="center" wrapText="1"/>
    </xf>
    <xf numFmtId="0" fontId="1" fillId="0" borderId="1" xfId="0" applyFont="1" applyBorder="1" applyAlignment="1">
      <alignment horizontal="center"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0" fillId="0" borderId="9" xfId="0" applyBorder="1"/>
    <xf numFmtId="0" fontId="0" fillId="0" borderId="10" xfId="0" applyBorder="1"/>
    <xf numFmtId="0" fontId="0" fillId="0" borderId="0" xfId="0" applyFont="1"/>
    <xf numFmtId="0" fontId="0" fillId="0" borderId="9" xfId="0" applyBorder="1" applyAlignment="1">
      <alignment vertical="top"/>
    </xf>
    <xf numFmtId="0" fontId="0" fillId="0" borderId="10" xfId="0" applyBorder="1" applyAlignment="1">
      <alignment vertical="top"/>
    </xf>
    <xf numFmtId="0" fontId="4" fillId="0" borderId="0" xfId="0" applyFont="1"/>
    <xf numFmtId="4" fontId="0" fillId="0" borderId="1" xfId="0" applyNumberFormat="1" applyFont="1" applyFill="1" applyBorder="1" applyAlignment="1">
      <alignment horizontal="center"/>
    </xf>
    <xf numFmtId="4" fontId="14" fillId="0" borderId="1" xfId="0" applyNumberFormat="1" applyFont="1" applyFill="1" applyBorder="1"/>
    <xf numFmtId="4" fontId="16" fillId="0" borderId="1" xfId="0" applyNumberFormat="1" applyFont="1" applyFill="1" applyBorder="1"/>
    <xf numFmtId="0" fontId="7" fillId="0" borderId="1" xfId="0" applyFont="1" applyBorder="1" applyAlignment="1">
      <alignment horizontal="center" wrapText="1"/>
    </xf>
    <xf numFmtId="0" fontId="10" fillId="0" borderId="1" xfId="0" applyFont="1" applyBorder="1" applyAlignment="1">
      <alignment wrapText="1"/>
    </xf>
    <xf numFmtId="0" fontId="0" fillId="0" borderId="1" xfId="0" applyFill="1" applyBorder="1" applyAlignment="1">
      <alignment horizontal="center"/>
    </xf>
    <xf numFmtId="0" fontId="9" fillId="0" borderId="1" xfId="0" applyFont="1" applyBorder="1" applyAlignment="1">
      <alignment horizontal="center"/>
    </xf>
    <xf numFmtId="0" fontId="5" fillId="0" borderId="1" xfId="0" applyFont="1" applyBorder="1" applyAlignment="1">
      <alignment wrapText="1"/>
    </xf>
    <xf numFmtId="0" fontId="5" fillId="0" borderId="1" xfId="0" applyFont="1" applyBorder="1" applyAlignment="1"/>
    <xf numFmtId="4" fontId="7" fillId="0" borderId="1" xfId="0" applyNumberFormat="1" applyFont="1" applyBorder="1" applyAlignment="1">
      <alignment horizontal="center" wrapText="1"/>
    </xf>
    <xf numFmtId="4" fontId="0" fillId="0" borderId="1" xfId="0" applyNumberFormat="1" applyFill="1" applyBorder="1" applyAlignment="1">
      <alignment horizontal="center"/>
    </xf>
    <xf numFmtId="4" fontId="5" fillId="0" borderId="5" xfId="0" applyNumberFormat="1" applyFont="1" applyBorder="1" applyAlignment="1">
      <alignment horizontal="center"/>
    </xf>
    <xf numFmtId="0" fontId="1" fillId="0" borderId="3" xfId="0" applyFont="1" applyBorder="1"/>
    <xf numFmtId="0" fontId="1" fillId="0" borderId="6" xfId="0" applyFont="1" applyBorder="1"/>
    <xf numFmtId="2" fontId="0" fillId="0" borderId="1" xfId="0" applyNumberFormat="1" applyFill="1" applyBorder="1" applyAlignment="1">
      <alignment horizontal="center"/>
    </xf>
    <xf numFmtId="0" fontId="1" fillId="0" borderId="4" xfId="0" applyFont="1" applyBorder="1"/>
    <xf numFmtId="0" fontId="17" fillId="0" borderId="0" xfId="0" applyFont="1"/>
    <xf numFmtId="0" fontId="1" fillId="0" borderId="1" xfId="0" applyFont="1" applyBorder="1" applyAlignment="1">
      <alignment horizontal="left" wrapText="1"/>
    </xf>
    <xf numFmtId="0" fontId="0" fillId="0" borderId="0" xfId="0" applyAlignment="1">
      <alignment horizontal="left"/>
    </xf>
    <xf numFmtId="49" fontId="0" fillId="0" borderId="0" xfId="0" applyNumberFormat="1" applyAlignment="1"/>
    <xf numFmtId="0" fontId="9" fillId="2" borderId="3" xfId="0" applyFont="1" applyFill="1" applyBorder="1" applyAlignment="1">
      <alignment vertical="top" wrapText="1"/>
    </xf>
    <xf numFmtId="0" fontId="1" fillId="0" borderId="3" xfId="0" applyFont="1" applyBorder="1" applyAlignment="1">
      <alignment horizontal="center"/>
    </xf>
    <xf numFmtId="2" fontId="15" fillId="0" borderId="3" xfId="0" applyNumberFormat="1" applyFont="1" applyBorder="1"/>
    <xf numFmtId="4" fontId="15" fillId="0" borderId="3" xfId="0" applyNumberFormat="1" applyFont="1" applyBorder="1" applyAlignment="1"/>
    <xf numFmtId="2" fontId="5" fillId="0" borderId="1" xfId="0" applyNumberFormat="1" applyFont="1" applyBorder="1" applyAlignment="1">
      <alignment horizontal="center"/>
    </xf>
    <xf numFmtId="0" fontId="1" fillId="0" borderId="1" xfId="0" applyFont="1" applyFill="1" applyBorder="1"/>
    <xf numFmtId="0" fontId="1" fillId="0" borderId="3" xfId="0" applyFont="1" applyBorder="1" applyAlignment="1">
      <alignment wrapText="1"/>
    </xf>
    <xf numFmtId="0" fontId="1" fillId="0" borderId="2" xfId="0" applyFont="1" applyFill="1" applyBorder="1" applyAlignment="1">
      <alignment horizontal="left" wrapText="1"/>
    </xf>
    <xf numFmtId="0" fontId="1" fillId="0" borderId="1" xfId="0" applyFont="1" applyBorder="1" applyAlignment="1">
      <alignment horizontal="justify" wrapText="1"/>
    </xf>
    <xf numFmtId="0" fontId="8" fillId="0" borderId="1" xfId="0" applyFont="1" applyFill="1" applyBorder="1" applyAlignment="1">
      <alignment wrapText="1"/>
    </xf>
    <xf numFmtId="4" fontId="15" fillId="0" borderId="3" xfId="0" applyNumberFormat="1" applyFont="1" applyBorder="1"/>
    <xf numFmtId="4" fontId="5" fillId="0" borderId="1" xfId="0" applyNumberFormat="1" applyFont="1" applyBorder="1" applyAlignment="1">
      <alignment wrapText="1"/>
    </xf>
    <xf numFmtId="4" fontId="5" fillId="0" borderId="5" xfId="0" applyNumberFormat="1" applyFont="1" applyBorder="1" applyAlignment="1">
      <alignment horizontal="center" vertical="center"/>
    </xf>
    <xf numFmtId="4" fontId="5" fillId="0" borderId="1" xfId="0" applyNumberFormat="1" applyFont="1" applyBorder="1" applyAlignment="1">
      <alignment horizontal="center"/>
    </xf>
    <xf numFmtId="0" fontId="5" fillId="0" borderId="4" xfId="0" applyFont="1" applyBorder="1"/>
    <xf numFmtId="0" fontId="5" fillId="0" borderId="13" xfId="0" applyFont="1" applyBorder="1"/>
    <xf numFmtId="4" fontId="5" fillId="0" borderId="13" xfId="0" applyNumberFormat="1" applyFont="1" applyBorder="1" applyAlignment="1"/>
    <xf numFmtId="3" fontId="5" fillId="0" borderId="1" xfId="0" applyNumberFormat="1" applyFont="1" applyBorder="1" applyAlignment="1">
      <alignment horizontal="center"/>
    </xf>
    <xf numFmtId="3" fontId="5" fillId="0" borderId="1" xfId="0" applyNumberFormat="1" applyFont="1" applyBorder="1" applyAlignment="1">
      <alignment horizontal="center" vertical="center"/>
    </xf>
    <xf numFmtId="4" fontId="5" fillId="0" borderId="1" xfId="0" applyNumberFormat="1" applyFont="1" applyBorder="1" applyAlignment="1">
      <alignment horizontal="center" vertical="center"/>
    </xf>
    <xf numFmtId="4" fontId="5" fillId="0" borderId="0" xfId="0" applyNumberFormat="1" applyFont="1"/>
    <xf numFmtId="4" fontId="0" fillId="0" borderId="5" xfId="0" applyNumberFormat="1" applyBorder="1" applyAlignment="1">
      <alignment horizontal="center"/>
    </xf>
    <xf numFmtId="0" fontId="8" fillId="0" borderId="2" xfId="0" applyFont="1" applyFill="1" applyBorder="1" applyAlignment="1">
      <alignment horizontal="left" wrapText="1"/>
    </xf>
    <xf numFmtId="0" fontId="18" fillId="0" borderId="1" xfId="0" applyFont="1" applyBorder="1" applyAlignment="1">
      <alignment horizontal="center"/>
    </xf>
    <xf numFmtId="166" fontId="0" fillId="0" borderId="0" xfId="0" applyNumberFormat="1"/>
    <xf numFmtId="2" fontId="18" fillId="0" borderId="1" xfId="0" applyNumberFormat="1" applyFont="1" applyBorder="1" applyAlignment="1">
      <alignment horizontal="center"/>
    </xf>
    <xf numFmtId="4" fontId="5" fillId="0" borderId="1" xfId="0" applyNumberFormat="1" applyFont="1" applyBorder="1" applyAlignment="1">
      <alignment horizontal="center" wrapText="1"/>
    </xf>
    <xf numFmtId="4" fontId="5" fillId="0" borderId="13" xfId="0" applyNumberFormat="1" applyFont="1" applyBorder="1"/>
    <xf numFmtId="4" fontId="5" fillId="0" borderId="13" xfId="0" applyNumberFormat="1" applyFont="1" applyBorder="1" applyAlignment="1">
      <alignment horizontal="center"/>
    </xf>
    <xf numFmtId="0" fontId="18" fillId="0" borderId="1" xfId="0" applyFont="1" applyBorder="1" applyAlignment="1">
      <alignment horizontal="center" wrapText="1"/>
    </xf>
    <xf numFmtId="0" fontId="18" fillId="0" borderId="13" xfId="0" applyFont="1" applyBorder="1" applyAlignment="1">
      <alignment horizontal="center"/>
    </xf>
    <xf numFmtId="0" fontId="18" fillId="0" borderId="5" xfId="0" applyFont="1" applyBorder="1" applyAlignment="1">
      <alignment horizontal="center"/>
    </xf>
    <xf numFmtId="4" fontId="9" fillId="0" borderId="1" xfId="0" applyNumberFormat="1" applyFont="1" applyBorder="1" applyAlignment="1">
      <alignment horizontal="center"/>
    </xf>
    <xf numFmtId="4" fontId="5" fillId="0" borderId="5" xfId="0" applyNumberFormat="1" applyFont="1" applyBorder="1"/>
    <xf numFmtId="0" fontId="5" fillId="0" borderId="1" xfId="0" applyFont="1" applyBorder="1" applyAlignment="1">
      <alignment horizontal="center" wrapText="1"/>
    </xf>
    <xf numFmtId="4" fontId="5" fillId="0" borderId="0" xfId="0" applyNumberFormat="1" applyFont="1" applyAlignment="1"/>
    <xf numFmtId="4" fontId="1" fillId="0" borderId="0" xfId="0" applyNumberFormat="1" applyFont="1" applyAlignment="1"/>
    <xf numFmtId="0" fontId="5" fillId="0" borderId="0" xfId="0" applyFont="1" applyAlignment="1">
      <alignment horizontal="left"/>
    </xf>
    <xf numFmtId="0" fontId="19" fillId="0" borderId="1" xfId="0" applyFont="1" applyBorder="1" applyAlignment="1">
      <alignment horizontal="left"/>
    </xf>
    <xf numFmtId="0" fontId="20" fillId="3" borderId="1" xfId="0" applyFont="1" applyFill="1" applyBorder="1" applyAlignment="1">
      <alignment horizontal="left" vertical="top" wrapText="1"/>
    </xf>
    <xf numFmtId="0" fontId="20" fillId="3" borderId="1" xfId="0" applyFont="1" applyFill="1" applyBorder="1" applyAlignment="1">
      <alignment vertical="top" wrapText="1"/>
    </xf>
    <xf numFmtId="49" fontId="20" fillId="3" borderId="1" xfId="0" applyNumberFormat="1" applyFont="1" applyFill="1" applyBorder="1" applyAlignment="1">
      <alignment wrapText="1"/>
    </xf>
    <xf numFmtId="0" fontId="20" fillId="3" borderId="1" xfId="0" applyFont="1" applyFill="1" applyBorder="1" applyAlignment="1">
      <alignment wrapText="1"/>
    </xf>
    <xf numFmtId="49" fontId="20" fillId="3" borderId="1" xfId="0" applyNumberFormat="1" applyFont="1" applyFill="1" applyBorder="1" applyAlignment="1">
      <alignment horizontal="left" wrapText="1"/>
    </xf>
    <xf numFmtId="0" fontId="1" fillId="3" borderId="1" xfId="0" applyFont="1" applyFill="1" applyBorder="1" applyAlignment="1">
      <alignment vertical="top" wrapText="1"/>
    </xf>
    <xf numFmtId="49" fontId="20" fillId="3" borderId="1" xfId="0" applyNumberFormat="1" applyFont="1" applyFill="1" applyBorder="1" applyAlignment="1">
      <alignment horizontal="left"/>
    </xf>
    <xf numFmtId="49" fontId="1" fillId="3" borderId="1" xfId="0" applyNumberFormat="1" applyFont="1" applyFill="1" applyBorder="1" applyAlignment="1">
      <alignment vertical="top"/>
    </xf>
    <xf numFmtId="49" fontId="20" fillId="3" borderId="1" xfId="0" applyNumberFormat="1" applyFont="1" applyFill="1" applyBorder="1" applyAlignment="1">
      <alignment vertical="top"/>
    </xf>
    <xf numFmtId="167" fontId="0" fillId="0" borderId="0" xfId="0" applyNumberFormat="1"/>
    <xf numFmtId="166" fontId="13" fillId="0" borderId="0" xfId="0" applyNumberFormat="1" applyFont="1"/>
    <xf numFmtId="0" fontId="5" fillId="0" borderId="1" xfId="0" applyFont="1" applyBorder="1" applyAlignment="1">
      <alignment horizontal="left" wrapText="1"/>
    </xf>
    <xf numFmtId="0" fontId="1" fillId="0" borderId="1" xfId="0" applyFont="1" applyBorder="1" applyAlignment="1">
      <alignment horizontal="center"/>
    </xf>
    <xf numFmtId="0" fontId="0" fillId="0" borderId="7" xfId="0" applyBorder="1"/>
    <xf numFmtId="0" fontId="0" fillId="0" borderId="8" xfId="0" applyBorder="1"/>
    <xf numFmtId="0" fontId="1" fillId="0" borderId="9" xfId="0" applyFont="1" applyBorder="1" applyAlignment="1"/>
    <xf numFmtId="0" fontId="1" fillId="0" borderId="10" xfId="0" applyFont="1" applyBorder="1" applyAlignment="1"/>
    <xf numFmtId="0" fontId="1" fillId="0" borderId="11" xfId="0" applyFont="1" applyBorder="1" applyAlignment="1"/>
    <xf numFmtId="0" fontId="1" fillId="0" borderId="12" xfId="0" applyFont="1" applyBorder="1" applyAlignment="1"/>
    <xf numFmtId="0" fontId="1" fillId="0" borderId="7" xfId="0" applyFont="1" applyBorder="1"/>
    <xf numFmtId="0" fontId="1" fillId="0" borderId="8" xfId="0" applyFont="1" applyBorder="1"/>
    <xf numFmtId="0" fontId="0" fillId="0" borderId="11" xfId="0" applyBorder="1"/>
    <xf numFmtId="0" fontId="0" fillId="0" borderId="12" xfId="0" applyBorder="1"/>
    <xf numFmtId="0" fontId="0" fillId="0" borderId="3" xfId="0" applyBorder="1" applyAlignment="1">
      <alignment horizontal="center"/>
    </xf>
    <xf numFmtId="0" fontId="1" fillId="0" borderId="9" xfId="0" applyFont="1" applyBorder="1"/>
    <xf numFmtId="0" fontId="1" fillId="0" borderId="10" xfId="0" applyFont="1" applyBorder="1"/>
    <xf numFmtId="2" fontId="14" fillId="0" borderId="1" xfId="0" applyNumberFormat="1" applyFont="1" applyBorder="1" applyAlignment="1"/>
    <xf numFmtId="0" fontId="0" fillId="0" borderId="9" xfId="0" applyBorder="1" applyAlignment="1"/>
    <xf numFmtId="0" fontId="0" fillId="0" borderId="10" xfId="0" applyBorder="1" applyAlignment="1"/>
    <xf numFmtId="2" fontId="18" fillId="0" borderId="1" xfId="0" applyNumberFormat="1" applyFont="1" applyBorder="1" applyAlignment="1">
      <alignment horizontal="right"/>
    </xf>
    <xf numFmtId="0" fontId="1" fillId="0" borderId="7"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4" fontId="17" fillId="0" borderId="0" xfId="0" applyNumberFormat="1" applyFont="1"/>
    <xf numFmtId="0" fontId="5" fillId="0" borderId="1" xfId="0" applyFont="1" applyBorder="1" applyAlignment="1">
      <alignment horizontal="justify" wrapText="1"/>
    </xf>
    <xf numFmtId="3" fontId="0" fillId="0" borderId="1" xfId="0" applyNumberFormat="1" applyBorder="1" applyAlignment="1">
      <alignment horizontal="center"/>
    </xf>
    <xf numFmtId="0" fontId="1" fillId="0" borderId="2" xfId="0" applyFont="1" applyBorder="1" applyAlignment="1"/>
    <xf numFmtId="0" fontId="0" fillId="0" borderId="0" xfId="0" applyAlignment="1"/>
    <xf numFmtId="4" fontId="5" fillId="0" borderId="0" xfId="0" applyNumberFormat="1" applyFont="1" applyAlignment="1">
      <alignment horizontal="center"/>
    </xf>
    <xf numFmtId="4" fontId="1" fillId="0" borderId="0" xfId="0" applyNumberFormat="1" applyFont="1" applyAlignment="1">
      <alignment horizontal="center"/>
    </xf>
    <xf numFmtId="0" fontId="13" fillId="0" borderId="0" xfId="0" applyFont="1"/>
    <xf numFmtId="0" fontId="1" fillId="0" borderId="1" xfId="0" applyFont="1" applyBorder="1" applyAlignment="1">
      <alignment horizontal="center"/>
    </xf>
    <xf numFmtId="3" fontId="5" fillId="0" borderId="5" xfId="0" applyNumberFormat="1" applyFont="1" applyBorder="1" applyAlignment="1">
      <alignment horizontal="center"/>
    </xf>
    <xf numFmtId="0" fontId="9" fillId="2" borderId="3" xfId="0" applyFont="1" applyFill="1" applyBorder="1" applyAlignment="1">
      <alignment wrapText="1"/>
    </xf>
    <xf numFmtId="0" fontId="1" fillId="0" borderId="8" xfId="0" applyFont="1" applyBorder="1" applyAlignment="1">
      <alignment horizontal="left"/>
    </xf>
    <xf numFmtId="2" fontId="0" fillId="0" borderId="0" xfId="0" applyNumberFormat="1" applyAlignment="1"/>
    <xf numFmtId="0" fontId="1" fillId="0" borderId="1" xfId="0" applyFont="1" applyBorder="1" applyAlignment="1">
      <alignment horizontal="center"/>
    </xf>
    <xf numFmtId="0" fontId="1" fillId="0" borderId="12" xfId="0" applyFont="1" applyBorder="1" applyAlignment="1">
      <alignment vertical="top" wrapText="1"/>
    </xf>
    <xf numFmtId="4" fontId="14" fillId="0" borderId="1" xfId="0" applyNumberFormat="1" applyFont="1" applyBorder="1" applyAlignment="1">
      <alignment horizontal="right" wrapText="1"/>
    </xf>
    <xf numFmtId="0" fontId="8" fillId="0" borderId="1" xfId="0" applyFont="1" applyBorder="1"/>
    <xf numFmtId="4" fontId="18" fillId="0" borderId="1" xfId="0" applyNumberFormat="1" applyFont="1" applyBorder="1"/>
    <xf numFmtId="4" fontId="8" fillId="0" borderId="1" xfId="0" applyNumberFormat="1" applyFont="1" applyBorder="1" applyAlignment="1">
      <alignment horizontal="center" wrapText="1"/>
    </xf>
    <xf numFmtId="4" fontId="8" fillId="0" borderId="1" xfId="0" applyNumberFormat="1" applyFont="1" applyBorder="1" applyAlignment="1">
      <alignment horizontal="center"/>
    </xf>
    <xf numFmtId="4" fontId="18" fillId="0" borderId="1" xfId="0" applyNumberFormat="1" applyFont="1" applyBorder="1" applyAlignment="1">
      <alignment horizontal="right" wrapText="1"/>
    </xf>
    <xf numFmtId="4" fontId="18" fillId="0" borderId="1" xfId="0" applyNumberFormat="1" applyFont="1" applyBorder="1" applyAlignment="1">
      <alignment horizontal="right"/>
    </xf>
    <xf numFmtId="4" fontId="8" fillId="0" borderId="1" xfId="0" applyNumberFormat="1" applyFont="1" applyBorder="1"/>
    <xf numFmtId="0" fontId="8" fillId="0" borderId="7" xfId="0" applyFont="1" applyBorder="1"/>
    <xf numFmtId="0" fontId="8" fillId="0" borderId="8" xfId="0" applyFont="1" applyBorder="1"/>
    <xf numFmtId="4" fontId="5" fillId="0" borderId="1" xfId="0" applyNumberFormat="1" applyFont="1" applyBorder="1"/>
    <xf numFmtId="4" fontId="5" fillId="0" borderId="3" xfId="0" applyNumberFormat="1" applyFont="1" applyBorder="1"/>
    <xf numFmtId="0" fontId="1" fillId="0" borderId="4" xfId="0" applyFont="1" applyBorder="1" applyAlignment="1">
      <alignment horizontal="left"/>
    </xf>
    <xf numFmtId="4" fontId="14" fillId="0" borderId="0" xfId="0" applyNumberFormat="1" applyFont="1"/>
    <xf numFmtId="0" fontId="5" fillId="0" borderId="1" xfId="0" applyFont="1" applyBorder="1" applyAlignment="1">
      <alignment vertical="top"/>
    </xf>
    <xf numFmtId="4" fontId="14" fillId="0" borderId="1" xfId="0" applyNumberFormat="1" applyFont="1" applyFill="1" applyBorder="1" applyAlignment="1">
      <alignment horizontal="right"/>
    </xf>
    <xf numFmtId="2" fontId="0" fillId="0" borderId="0" xfId="0" applyNumberFormat="1" applyFont="1"/>
    <xf numFmtId="0" fontId="1" fillId="0" borderId="1" xfId="0" applyFont="1" applyBorder="1" applyAlignment="1">
      <alignment horizontal="center"/>
    </xf>
    <xf numFmtId="0" fontId="1" fillId="0" borderId="1" xfId="0" applyFont="1" applyBorder="1" applyAlignment="1">
      <alignment horizontal="center"/>
    </xf>
    <xf numFmtId="0" fontId="5" fillId="0" borderId="1" xfId="0" applyFont="1" applyBorder="1" applyAlignment="1">
      <alignment horizontal="left" wrapText="1"/>
    </xf>
    <xf numFmtId="0" fontId="5" fillId="0" borderId="4" xfId="0" applyFont="1" applyBorder="1" applyAlignment="1">
      <alignment vertical="top"/>
    </xf>
    <xf numFmtId="0" fontId="5" fillId="0" borderId="5" xfId="0" applyFont="1" applyBorder="1" applyAlignment="1">
      <alignment vertical="top"/>
    </xf>
    <xf numFmtId="0" fontId="5" fillId="0" borderId="1" xfId="0" applyFont="1" applyBorder="1" applyAlignment="1">
      <alignment horizontal="left" wrapText="1"/>
    </xf>
    <xf numFmtId="0" fontId="5" fillId="0" borderId="1" xfId="0" applyFont="1" applyBorder="1" applyAlignment="1">
      <alignment horizontal="left" wrapText="1"/>
    </xf>
    <xf numFmtId="0" fontId="5" fillId="0" borderId="1" xfId="0" applyFont="1" applyBorder="1" applyAlignment="1">
      <alignment horizontal="left" wrapText="1"/>
    </xf>
    <xf numFmtId="0" fontId="14" fillId="0" borderId="1" xfId="0" applyFont="1" applyBorder="1" applyAlignment="1">
      <alignment horizontal="right"/>
    </xf>
    <xf numFmtId="0" fontId="8" fillId="0" borderId="1" xfId="0" applyFont="1" applyBorder="1" applyAlignment="1">
      <alignment horizontal="center"/>
    </xf>
    <xf numFmtId="168" fontId="0" fillId="0" borderId="0" xfId="0" applyNumberFormat="1"/>
    <xf numFmtId="169" fontId="0" fillId="0" borderId="0" xfId="0" applyNumberFormat="1"/>
    <xf numFmtId="4" fontId="14" fillId="0" borderId="1" xfId="0" applyNumberFormat="1" applyFont="1" applyBorder="1" applyAlignment="1">
      <alignment wrapText="1"/>
    </xf>
    <xf numFmtId="0" fontId="5" fillId="0" borderId="1" xfId="0" applyFont="1" applyBorder="1" applyAlignment="1">
      <alignment horizontal="left" wrapText="1"/>
    </xf>
    <xf numFmtId="0" fontId="5" fillId="0" borderId="1" xfId="0" applyFont="1" applyBorder="1" applyAlignment="1">
      <alignment horizontal="left" wrapText="1"/>
    </xf>
    <xf numFmtId="0" fontId="5" fillId="0" borderId="1" xfId="0" applyFont="1" applyBorder="1" applyAlignment="1">
      <alignment horizontal="left" wrapText="1"/>
    </xf>
    <xf numFmtId="0" fontId="16" fillId="0" borderId="0" xfId="0" applyFont="1"/>
    <xf numFmtId="0" fontId="1" fillId="0" borderId="1" xfId="0" applyFont="1" applyBorder="1" applyAlignment="1">
      <alignment horizontal="left" vertical="top"/>
    </xf>
    <xf numFmtId="0" fontId="5" fillId="0" borderId="1" xfId="0" applyFont="1" applyBorder="1" applyAlignment="1">
      <alignment horizontal="left" wrapText="1"/>
    </xf>
    <xf numFmtId="170" fontId="0" fillId="0" borderId="0" xfId="0" applyNumberFormat="1"/>
    <xf numFmtId="0" fontId="5" fillId="0" borderId="1" xfId="0" applyFont="1" applyBorder="1" applyAlignment="1">
      <alignment horizontal="left" wrapText="1"/>
    </xf>
    <xf numFmtId="0" fontId="5" fillId="0" borderId="1" xfId="0" applyFont="1" applyBorder="1" applyAlignment="1">
      <alignment horizontal="left" wrapText="1"/>
    </xf>
    <xf numFmtId="0" fontId="8" fillId="0" borderId="1" xfId="0" applyNumberFormat="1" applyFont="1" applyBorder="1" applyAlignment="1">
      <alignment horizontal="center"/>
    </xf>
    <xf numFmtId="0" fontId="5" fillId="0" borderId="1" xfId="0" applyFont="1" applyBorder="1" applyAlignment="1">
      <alignment horizontal="left" wrapText="1"/>
    </xf>
    <xf numFmtId="0" fontId="0" fillId="0" borderId="0" xfId="0" applyFont="1" applyFill="1" applyAlignment="1">
      <alignment horizontal="center"/>
    </xf>
    <xf numFmtId="2" fontId="13" fillId="0" borderId="0" xfId="0" applyNumberFormat="1" applyFont="1"/>
    <xf numFmtId="2" fontId="16" fillId="0" borderId="0" xfId="0" applyNumberFormat="1" applyFont="1"/>
    <xf numFmtId="0" fontId="5" fillId="0" borderId="1" xfId="0" applyFont="1" applyBorder="1" applyAlignment="1">
      <alignment horizontal="left" vertical="center"/>
    </xf>
    <xf numFmtId="0" fontId="1" fillId="0" borderId="1" xfId="0" applyFont="1" applyBorder="1" applyAlignment="1">
      <alignment horizontal="center" vertical="center"/>
    </xf>
    <xf numFmtId="4" fontId="14" fillId="0" borderId="1" xfId="0" applyNumberFormat="1" applyFont="1" applyBorder="1" applyAlignment="1">
      <alignment vertical="center"/>
    </xf>
    <xf numFmtId="0" fontId="0" fillId="0" borderId="0" xfId="0" applyAlignment="1">
      <alignment vertical="center"/>
    </xf>
    <xf numFmtId="167" fontId="0" fillId="0" borderId="0" xfId="0" applyNumberFormat="1" applyAlignment="1">
      <alignment vertical="center"/>
    </xf>
    <xf numFmtId="2" fontId="5" fillId="0" borderId="1" xfId="0" applyNumberFormat="1" applyFont="1" applyFill="1" applyBorder="1" applyAlignment="1">
      <alignment horizontal="center"/>
    </xf>
    <xf numFmtId="164" fontId="0" fillId="0" borderId="0" xfId="0" applyNumberFormat="1" applyAlignment="1"/>
    <xf numFmtId="164" fontId="0" fillId="0" borderId="0" xfId="0" applyNumberFormat="1" applyAlignment="1">
      <alignment horizontal="center"/>
    </xf>
    <xf numFmtId="2" fontId="14" fillId="0" borderId="1" xfId="0" applyNumberFormat="1" applyFont="1" applyBorder="1" applyAlignment="1">
      <alignment horizontal="center"/>
    </xf>
    <xf numFmtId="4" fontId="14" fillId="0" borderId="1" xfId="0" applyNumberFormat="1" applyFont="1" applyBorder="1" applyAlignment="1">
      <alignment horizontal="center"/>
    </xf>
    <xf numFmtId="0" fontId="5" fillId="0" borderId="1" xfId="0" applyFont="1" applyBorder="1" applyAlignment="1">
      <alignment horizontal="left" wrapText="1"/>
    </xf>
    <xf numFmtId="2" fontId="15" fillId="0" borderId="1" xfId="0" applyNumberFormat="1" applyFont="1" applyFill="1" applyBorder="1"/>
    <xf numFmtId="4" fontId="15" fillId="0" borderId="1" xfId="0" applyNumberFormat="1" applyFont="1" applyFill="1" applyBorder="1" applyAlignment="1"/>
    <xf numFmtId="0" fontId="0" fillId="0" borderId="0" xfId="0" applyFill="1"/>
    <xf numFmtId="0" fontId="5" fillId="0" borderId="1" xfId="0" applyFont="1" applyBorder="1" applyAlignment="1">
      <alignment horizontal="right"/>
    </xf>
    <xf numFmtId="0" fontId="5" fillId="0" borderId="1" xfId="0" applyFont="1" applyBorder="1" applyAlignment="1">
      <alignment vertical="top" wrapText="1"/>
    </xf>
    <xf numFmtId="0" fontId="5" fillId="0" borderId="1" xfId="0" applyFont="1" applyBorder="1" applyAlignment="1">
      <alignment horizontal="right" wrapText="1"/>
    </xf>
    <xf numFmtId="0" fontId="0" fillId="0" borderId="1" xfId="0" applyNumberFormat="1" applyFont="1" applyBorder="1" applyAlignment="1">
      <alignment horizontal="center"/>
    </xf>
    <xf numFmtId="0" fontId="5" fillId="0" borderId="1" xfId="0" applyFont="1" applyBorder="1" applyAlignment="1">
      <alignment horizontal="left" wrapText="1"/>
    </xf>
    <xf numFmtId="165" fontId="0" fillId="0" borderId="0" xfId="0" applyNumberFormat="1" applyFill="1"/>
    <xf numFmtId="0" fontId="0" fillId="0" borderId="0" xfId="0" applyFill="1" applyAlignment="1">
      <alignment wrapText="1"/>
    </xf>
    <xf numFmtId="2" fontId="0" fillId="0" borderId="0" xfId="0" applyNumberFormat="1" applyFill="1" applyAlignment="1">
      <alignment horizontal="center"/>
    </xf>
    <xf numFmtId="0" fontId="0" fillId="0" borderId="0" xfId="0" applyFill="1" applyAlignment="1">
      <alignment horizontal="center"/>
    </xf>
    <xf numFmtId="0" fontId="0" fillId="0" borderId="0" xfId="0" applyFill="1" applyAlignment="1">
      <alignment vertical="top"/>
    </xf>
    <xf numFmtId="2" fontId="13" fillId="0" borderId="0" xfId="0" applyNumberFormat="1" applyFont="1" applyFill="1" applyAlignment="1">
      <alignment horizontal="center"/>
    </xf>
    <xf numFmtId="164" fontId="0" fillId="0" borderId="0" xfId="0" applyNumberFormat="1" applyFill="1" applyAlignment="1">
      <alignment vertical="top"/>
    </xf>
    <xf numFmtId="165" fontId="0" fillId="0" borderId="0" xfId="0" applyNumberFormat="1" applyFill="1" applyAlignment="1">
      <alignment horizontal="right"/>
    </xf>
    <xf numFmtId="2" fontId="0" fillId="0" borderId="0" xfId="0" applyNumberFormat="1" applyFill="1"/>
    <xf numFmtId="165" fontId="0" fillId="0" borderId="0" xfId="0" applyNumberFormat="1" applyFill="1" applyAlignment="1">
      <alignment vertical="top"/>
    </xf>
    <xf numFmtId="49" fontId="1" fillId="0" borderId="3" xfId="0" applyNumberFormat="1" applyFont="1" applyBorder="1" applyAlignment="1">
      <alignment wrapText="1"/>
    </xf>
    <xf numFmtId="4" fontId="0" fillId="0" borderId="3" xfId="0" applyNumberFormat="1" applyFont="1" applyBorder="1" applyAlignment="1">
      <alignment horizontal="center"/>
    </xf>
    <xf numFmtId="49" fontId="1" fillId="0" borderId="2" xfId="0" applyNumberFormat="1" applyFont="1" applyBorder="1" applyAlignment="1">
      <alignment wrapText="1"/>
    </xf>
    <xf numFmtId="4" fontId="0" fillId="0" borderId="2" xfId="0" applyNumberFormat="1" applyFont="1" applyBorder="1" applyAlignment="1">
      <alignment horizontal="center"/>
    </xf>
    <xf numFmtId="0" fontId="1" fillId="0" borderId="4" xfId="0" applyFont="1" applyBorder="1" applyAlignment="1"/>
    <xf numFmtId="165" fontId="0" fillId="0" borderId="0" xfId="0" applyNumberFormat="1" applyAlignment="1"/>
    <xf numFmtId="4" fontId="1" fillId="0" borderId="1" xfId="0" applyNumberFormat="1" applyFont="1" applyBorder="1" applyAlignment="1">
      <alignment horizontal="center"/>
    </xf>
    <xf numFmtId="4" fontId="10" fillId="0" borderId="1" xfId="0" applyNumberFormat="1" applyFont="1" applyBorder="1" applyAlignment="1">
      <alignment horizontal="center"/>
    </xf>
    <xf numFmtId="4" fontId="5" fillId="0" borderId="1" xfId="0" applyNumberFormat="1" applyFont="1" applyBorder="1" applyAlignment="1">
      <alignment horizontal="right"/>
    </xf>
    <xf numFmtId="4" fontId="1" fillId="0" borderId="1" xfId="0" applyNumberFormat="1" applyFont="1" applyBorder="1"/>
    <xf numFmtId="2" fontId="1" fillId="0" borderId="1" xfId="0" applyNumberFormat="1" applyFont="1" applyBorder="1" applyAlignment="1">
      <alignment horizontal="center"/>
    </xf>
    <xf numFmtId="164" fontId="0" fillId="0" borderId="0" xfId="0" applyNumberFormat="1" applyFill="1"/>
    <xf numFmtId="0" fontId="9" fillId="0" borderId="1" xfId="0" applyFont="1" applyBorder="1" applyAlignment="1">
      <alignment horizontal="left" wrapText="1"/>
    </xf>
    <xf numFmtId="0" fontId="4" fillId="0" borderId="0" xfId="0" applyFont="1" applyAlignment="1">
      <alignment horizontal="left" vertical="center"/>
    </xf>
    <xf numFmtId="0" fontId="1" fillId="0" borderId="10"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11" xfId="0" applyFont="1" applyBorder="1" applyAlignment="1">
      <alignment horizontal="center"/>
    </xf>
    <xf numFmtId="0" fontId="2" fillId="0" borderId="0" xfId="0" applyFont="1" applyAlignment="1">
      <alignment horizontal="left"/>
    </xf>
    <xf numFmtId="0" fontId="4" fillId="0" borderId="0" xfId="0" applyFont="1" applyAlignment="1">
      <alignment horizontal="left"/>
    </xf>
    <xf numFmtId="0" fontId="5" fillId="0" borderId="0" xfId="0" applyFont="1" applyBorder="1" applyAlignment="1">
      <alignment horizontal="left" vertical="center"/>
    </xf>
    <xf numFmtId="0" fontId="9" fillId="0" borderId="1" xfId="0" applyFont="1" applyBorder="1" applyAlignment="1">
      <alignment horizontal="left"/>
    </xf>
    <xf numFmtId="49" fontId="4" fillId="0" borderId="0" xfId="0" applyNumberFormat="1" applyFont="1" applyAlignment="1">
      <alignment horizontal="left" vertical="top" wrapText="1"/>
    </xf>
    <xf numFmtId="49" fontId="9" fillId="0" borderId="1" xfId="0" applyNumberFormat="1" applyFont="1" applyBorder="1" applyAlignment="1">
      <alignment horizontal="left" wrapText="1"/>
    </xf>
    <xf numFmtId="0" fontId="9" fillId="0" borderId="1" xfId="0" applyFont="1" applyBorder="1" applyAlignment="1">
      <alignment horizontal="left" vertical="center" wrapText="1"/>
    </xf>
    <xf numFmtId="0" fontId="4" fillId="0" borderId="0" xfId="0" applyFont="1" applyAlignment="1">
      <alignment horizontal="left" vertical="center" wrapText="1"/>
    </xf>
    <xf numFmtId="0" fontId="5" fillId="0" borderId="1" xfId="0" applyFont="1" applyBorder="1" applyAlignment="1">
      <alignment horizontal="left" wrapText="1"/>
    </xf>
    <xf numFmtId="2" fontId="4" fillId="0" borderId="0" xfId="0" applyNumberFormat="1" applyFont="1" applyAlignment="1">
      <alignment horizontal="left" wrapText="1"/>
    </xf>
    <xf numFmtId="0" fontId="3" fillId="0" borderId="0" xfId="0" applyFont="1" applyAlignment="1">
      <alignment horizontal="left" vertical="center"/>
    </xf>
    <xf numFmtId="0" fontId="4" fillId="0" borderId="0" xfId="0" applyFont="1" applyAlignment="1">
      <alignment horizontal="left" wrapText="1"/>
    </xf>
  </cellXfs>
  <cellStyles count="1">
    <cellStyle name="Normal" xfId="0" builtinId="0"/>
  </cellStyles>
  <dxfs count="0"/>
  <tableStyles count="0" defaultTableStyle="TableStyleMedium2" defaultPivotStyle="PivotStyleLight16"/>
  <colors>
    <mruColors>
      <color rgb="FFFFFFCC"/>
      <color rgb="FF66FFFF"/>
      <color rgb="FF33ED37"/>
      <color rgb="FF00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C2835-90C4-4A79-A23A-D20F23425550}">
  <dimension ref="A1:B52"/>
  <sheetViews>
    <sheetView tabSelected="1" zoomScaleNormal="100" workbookViewId="0">
      <selection activeCell="I12" sqref="I12"/>
    </sheetView>
  </sheetViews>
  <sheetFormatPr defaultRowHeight="15" x14ac:dyDescent="0.25"/>
  <cols>
    <col min="1" max="1" width="7.28515625" customWidth="1"/>
    <col min="2" max="2" width="111" customWidth="1"/>
  </cols>
  <sheetData>
    <row r="1" spans="1:2" ht="15.75" x14ac:dyDescent="0.25">
      <c r="A1" s="216" t="s">
        <v>80</v>
      </c>
      <c r="B1" s="1"/>
    </row>
    <row r="2" spans="1:2" ht="15.75" x14ac:dyDescent="0.25">
      <c r="A2" s="217">
        <v>1</v>
      </c>
      <c r="B2" s="7" t="s">
        <v>83</v>
      </c>
    </row>
    <row r="3" spans="1:2" ht="15.75" x14ac:dyDescent="0.25">
      <c r="A3" s="218" t="s">
        <v>81</v>
      </c>
      <c r="B3" s="219" t="s">
        <v>82</v>
      </c>
    </row>
    <row r="4" spans="1:2" ht="15.75" x14ac:dyDescent="0.25">
      <c r="A4" s="220" t="s">
        <v>86</v>
      </c>
      <c r="B4" s="220" t="s">
        <v>84</v>
      </c>
    </row>
    <row r="5" spans="1:2" ht="15.75" x14ac:dyDescent="0.25">
      <c r="A5" s="220" t="s">
        <v>87</v>
      </c>
      <c r="B5" s="220" t="s">
        <v>85</v>
      </c>
    </row>
    <row r="6" spans="1:2" ht="15.75" x14ac:dyDescent="0.25">
      <c r="A6" s="219" t="s">
        <v>88</v>
      </c>
      <c r="B6" s="4" t="s">
        <v>91</v>
      </c>
    </row>
    <row r="7" spans="1:2" ht="15.75" x14ac:dyDescent="0.25">
      <c r="A7" s="219" t="s">
        <v>89</v>
      </c>
      <c r="B7" s="220" t="s">
        <v>84</v>
      </c>
    </row>
    <row r="8" spans="1:2" ht="15.75" x14ac:dyDescent="0.25">
      <c r="A8" s="219" t="s">
        <v>90</v>
      </c>
      <c r="B8" s="220" t="s">
        <v>85</v>
      </c>
    </row>
    <row r="9" spans="1:2" ht="15.75" x14ac:dyDescent="0.25">
      <c r="A9" s="221" t="s">
        <v>92</v>
      </c>
      <c r="B9" s="221" t="s">
        <v>93</v>
      </c>
    </row>
    <row r="10" spans="1:2" ht="15.75" x14ac:dyDescent="0.25">
      <c r="A10" s="219" t="s">
        <v>94</v>
      </c>
      <c r="B10" s="220" t="s">
        <v>306</v>
      </c>
    </row>
    <row r="11" spans="1:2" ht="15.75" x14ac:dyDescent="0.25">
      <c r="A11" s="219" t="s">
        <v>95</v>
      </c>
      <c r="B11" s="219" t="s">
        <v>97</v>
      </c>
    </row>
    <row r="12" spans="1:2" ht="15.75" x14ac:dyDescent="0.25">
      <c r="A12" s="219" t="s">
        <v>96</v>
      </c>
      <c r="B12" s="219" t="s">
        <v>98</v>
      </c>
    </row>
    <row r="13" spans="1:2" ht="15.75" x14ac:dyDescent="0.25">
      <c r="A13" s="219" t="s">
        <v>99</v>
      </c>
      <c r="B13" s="4" t="s">
        <v>104</v>
      </c>
    </row>
    <row r="14" spans="1:2" ht="15.75" x14ac:dyDescent="0.25">
      <c r="A14" s="219" t="s">
        <v>100</v>
      </c>
      <c r="B14" s="4" t="s">
        <v>105</v>
      </c>
    </row>
    <row r="15" spans="1:2" s="177" customFormat="1" ht="15.75" customHeight="1" x14ac:dyDescent="0.25">
      <c r="A15" s="222" t="s">
        <v>103</v>
      </c>
      <c r="B15" s="220" t="s">
        <v>101</v>
      </c>
    </row>
    <row r="16" spans="1:2" ht="15.75" x14ac:dyDescent="0.25">
      <c r="A16" s="219" t="s">
        <v>179</v>
      </c>
      <c r="B16" s="4" t="s">
        <v>102</v>
      </c>
    </row>
    <row r="17" spans="1:2" ht="15.75" x14ac:dyDescent="0.25">
      <c r="A17" s="219" t="s">
        <v>180</v>
      </c>
      <c r="B17" s="4" t="s">
        <v>97</v>
      </c>
    </row>
    <row r="18" spans="1:2" ht="15.75" x14ac:dyDescent="0.25">
      <c r="A18" s="10">
        <v>2</v>
      </c>
      <c r="B18" s="7" t="s">
        <v>112</v>
      </c>
    </row>
    <row r="19" spans="1:2" ht="15.75" x14ac:dyDescent="0.25">
      <c r="A19" s="219" t="s">
        <v>106</v>
      </c>
      <c r="B19" s="4" t="s">
        <v>162</v>
      </c>
    </row>
    <row r="20" spans="1:2" ht="15.75" x14ac:dyDescent="0.25">
      <c r="A20" s="219" t="s">
        <v>107</v>
      </c>
      <c r="B20" s="4" t="s">
        <v>113</v>
      </c>
    </row>
    <row r="21" spans="1:2" ht="15.75" x14ac:dyDescent="0.25">
      <c r="A21" s="219" t="s">
        <v>108</v>
      </c>
      <c r="B21" s="4" t="s">
        <v>114</v>
      </c>
    </row>
    <row r="22" spans="1:2" ht="15.75" x14ac:dyDescent="0.25">
      <c r="A22" s="219" t="s">
        <v>109</v>
      </c>
      <c r="B22" s="4" t="s">
        <v>115</v>
      </c>
    </row>
    <row r="23" spans="1:2" ht="15.75" x14ac:dyDescent="0.25">
      <c r="A23" s="219" t="s">
        <v>110</v>
      </c>
      <c r="B23" s="4" t="s">
        <v>116</v>
      </c>
    </row>
    <row r="24" spans="1:2" ht="15.75" x14ac:dyDescent="0.25">
      <c r="A24" s="219" t="s">
        <v>111</v>
      </c>
      <c r="B24" s="4" t="s">
        <v>117</v>
      </c>
    </row>
    <row r="25" spans="1:2" ht="15.75" x14ac:dyDescent="0.25">
      <c r="A25" s="219" t="s">
        <v>118</v>
      </c>
      <c r="B25" s="4" t="s">
        <v>161</v>
      </c>
    </row>
    <row r="26" spans="1:2" ht="15.75" x14ac:dyDescent="0.25">
      <c r="A26" s="219" t="s">
        <v>119</v>
      </c>
      <c r="B26" s="4" t="s">
        <v>122</v>
      </c>
    </row>
    <row r="27" spans="1:2" ht="15.75" x14ac:dyDescent="0.25">
      <c r="A27" s="219" t="s">
        <v>120</v>
      </c>
      <c r="B27" s="219" t="s">
        <v>123</v>
      </c>
    </row>
    <row r="28" spans="1:2" ht="15.75" x14ac:dyDescent="0.25">
      <c r="A28" s="219" t="s">
        <v>121</v>
      </c>
      <c r="B28" s="219" t="s">
        <v>124</v>
      </c>
    </row>
    <row r="29" spans="1:2" ht="15.75" x14ac:dyDescent="0.25">
      <c r="A29" s="219" t="s">
        <v>125</v>
      </c>
      <c r="B29" s="4" t="s">
        <v>174</v>
      </c>
    </row>
    <row r="30" spans="1:2" ht="15.75" x14ac:dyDescent="0.25">
      <c r="A30" s="219" t="s">
        <v>126</v>
      </c>
      <c r="B30" s="219" t="s">
        <v>129</v>
      </c>
    </row>
    <row r="31" spans="1:2" ht="15.75" x14ac:dyDescent="0.25">
      <c r="A31" s="219" t="s">
        <v>127</v>
      </c>
      <c r="B31" s="219" t="s">
        <v>130</v>
      </c>
    </row>
    <row r="32" spans="1:2" ht="15.75" x14ac:dyDescent="0.25">
      <c r="A32" s="219" t="s">
        <v>128</v>
      </c>
      <c r="B32" s="219" t="s">
        <v>131</v>
      </c>
    </row>
    <row r="33" spans="1:2" ht="15.75" x14ac:dyDescent="0.25">
      <c r="A33" s="223" t="s">
        <v>132</v>
      </c>
      <c r="B33" s="219" t="s">
        <v>160</v>
      </c>
    </row>
    <row r="34" spans="1:2" ht="15.75" x14ac:dyDescent="0.25">
      <c r="A34" s="223" t="s">
        <v>133</v>
      </c>
      <c r="B34" s="219" t="s">
        <v>135</v>
      </c>
    </row>
    <row r="35" spans="1:2" ht="15.75" x14ac:dyDescent="0.25">
      <c r="A35" s="223" t="s">
        <v>134</v>
      </c>
      <c r="B35" s="219" t="s">
        <v>136</v>
      </c>
    </row>
    <row r="36" spans="1:2" ht="15.75" x14ac:dyDescent="0.25">
      <c r="A36" s="223" t="s">
        <v>137</v>
      </c>
      <c r="B36" s="219" t="s">
        <v>1579</v>
      </c>
    </row>
    <row r="37" spans="1:2" ht="15.75" x14ac:dyDescent="0.25">
      <c r="A37" s="219" t="s">
        <v>138</v>
      </c>
      <c r="B37" s="219" t="s">
        <v>175</v>
      </c>
    </row>
    <row r="38" spans="1:2" ht="15.75" x14ac:dyDescent="0.25">
      <c r="A38" s="219" t="s">
        <v>141</v>
      </c>
      <c r="B38" s="4" t="s">
        <v>146</v>
      </c>
    </row>
    <row r="39" spans="1:2" ht="15.75" x14ac:dyDescent="0.25">
      <c r="A39" s="219" t="s">
        <v>142</v>
      </c>
      <c r="B39" s="219" t="s">
        <v>147</v>
      </c>
    </row>
    <row r="40" spans="1:2" ht="15.75" x14ac:dyDescent="0.25">
      <c r="A40" s="219" t="s">
        <v>143</v>
      </c>
      <c r="B40" s="219" t="s">
        <v>148</v>
      </c>
    </row>
    <row r="41" spans="1:2" ht="15.75" x14ac:dyDescent="0.25">
      <c r="A41" s="219" t="s">
        <v>144</v>
      </c>
      <c r="B41" s="219" t="s">
        <v>149</v>
      </c>
    </row>
    <row r="42" spans="1:2" ht="15.75" x14ac:dyDescent="0.25">
      <c r="A42" s="219" t="s">
        <v>145</v>
      </c>
      <c r="B42" s="219" t="s">
        <v>150</v>
      </c>
    </row>
    <row r="43" spans="1:2" ht="15.75" x14ac:dyDescent="0.25">
      <c r="A43" s="219" t="s">
        <v>152</v>
      </c>
      <c r="B43" s="219" t="s">
        <v>156</v>
      </c>
    </row>
    <row r="44" spans="1:2" ht="15.75" x14ac:dyDescent="0.25">
      <c r="A44" s="4" t="s">
        <v>153</v>
      </c>
      <c r="B44" s="219" t="s">
        <v>157</v>
      </c>
    </row>
    <row r="45" spans="1:2" ht="15.75" x14ac:dyDescent="0.25">
      <c r="A45" s="4" t="s">
        <v>154</v>
      </c>
      <c r="B45" s="219" t="s">
        <v>158</v>
      </c>
    </row>
    <row r="46" spans="1:2" ht="15.75" x14ac:dyDescent="0.25">
      <c r="A46" s="4" t="s">
        <v>155</v>
      </c>
      <c r="B46" s="219" t="s">
        <v>159</v>
      </c>
    </row>
    <row r="47" spans="1:2" s="178" customFormat="1" ht="15.75" x14ac:dyDescent="0.25">
      <c r="A47" s="223" t="s">
        <v>151</v>
      </c>
      <c r="B47" s="224" t="s">
        <v>163</v>
      </c>
    </row>
    <row r="48" spans="1:2" ht="15.75" x14ac:dyDescent="0.25">
      <c r="A48" s="219" t="s">
        <v>139</v>
      </c>
      <c r="B48" s="219" t="s">
        <v>164</v>
      </c>
    </row>
    <row r="49" spans="1:2" ht="15.75" x14ac:dyDescent="0.25">
      <c r="A49" s="219" t="s">
        <v>140</v>
      </c>
      <c r="B49" s="219" t="s">
        <v>165</v>
      </c>
    </row>
    <row r="50" spans="1:2" ht="15.75" x14ac:dyDescent="0.25">
      <c r="A50" s="225" t="s">
        <v>166</v>
      </c>
      <c r="B50" s="226" t="s">
        <v>167</v>
      </c>
    </row>
    <row r="51" spans="1:2" ht="15.75" x14ac:dyDescent="0.25">
      <c r="A51" s="219" t="s">
        <v>168</v>
      </c>
      <c r="B51" s="219" t="s">
        <v>1545</v>
      </c>
    </row>
    <row r="52" spans="1:2" ht="15.75" x14ac:dyDescent="0.25">
      <c r="A52" s="219" t="s">
        <v>169</v>
      </c>
      <c r="B52" s="219" t="s">
        <v>1544</v>
      </c>
    </row>
  </sheetData>
  <pageMargins left="0.7" right="0.7" top="0.75" bottom="0.75" header="0.3" footer="0.3"/>
  <pageSetup paperSize="9" orientation="landscape" r:id="rId1"/>
  <rowBreaks count="1" manualBreakCount="1">
    <brk id="2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FDC72-BA3A-489B-B8A3-3E74D05B4212}">
  <dimension ref="A1:O65"/>
  <sheetViews>
    <sheetView topLeftCell="A46" zoomScaleNormal="100" workbookViewId="0">
      <selection activeCell="H54" sqref="H54"/>
    </sheetView>
  </sheetViews>
  <sheetFormatPr defaultRowHeight="15" x14ac:dyDescent="0.25"/>
  <cols>
    <col min="1" max="1" width="12" customWidth="1"/>
    <col min="2" max="2" width="27" customWidth="1"/>
    <col min="3" max="3" width="65.28515625" customWidth="1"/>
    <col min="4" max="4" width="9.28515625" customWidth="1"/>
    <col min="5" max="5" width="17.5703125" customWidth="1"/>
    <col min="6" max="6" width="6.7109375" style="323" customWidth="1"/>
    <col min="7" max="7" width="8.85546875" style="323" bestFit="1" customWidth="1"/>
    <col min="8" max="10" width="9.140625" style="323"/>
    <col min="11" max="11" width="16" style="323" customWidth="1"/>
    <col min="12" max="15" width="9.140625" style="323"/>
  </cols>
  <sheetData>
    <row r="1" spans="1:15" ht="18.75" x14ac:dyDescent="0.3">
      <c r="A1" s="2"/>
      <c r="B1" s="3" t="s">
        <v>6</v>
      </c>
      <c r="C1" s="2"/>
    </row>
    <row r="2" spans="1:15" ht="16.5" customHeight="1" x14ac:dyDescent="0.3">
      <c r="A2" s="2"/>
      <c r="B2" s="2"/>
      <c r="C2" s="2"/>
    </row>
    <row r="3" spans="1:15" ht="18.75" x14ac:dyDescent="0.3">
      <c r="A3" s="357" t="s">
        <v>5</v>
      </c>
      <c r="B3" s="357"/>
      <c r="C3" s="357"/>
    </row>
    <row r="4" spans="1:15" ht="13.5" customHeight="1" x14ac:dyDescent="0.3">
      <c r="A4" s="2"/>
      <c r="B4" s="2"/>
      <c r="C4" s="2"/>
    </row>
    <row r="5" spans="1:15" ht="18.75" x14ac:dyDescent="0.3">
      <c r="A5" s="358" t="s">
        <v>178</v>
      </c>
      <c r="B5" s="358"/>
      <c r="C5" s="358"/>
    </row>
    <row r="6" spans="1:15" ht="18.75" x14ac:dyDescent="0.3">
      <c r="A6" s="358" t="s">
        <v>4</v>
      </c>
      <c r="B6" s="358"/>
      <c r="C6" s="358"/>
    </row>
    <row r="7" spans="1:15" ht="18.75" x14ac:dyDescent="0.25">
      <c r="A7" s="352" t="s">
        <v>3</v>
      </c>
      <c r="B7" s="352"/>
      <c r="C7" s="352"/>
    </row>
    <row r="8" spans="1:15" ht="15.75" x14ac:dyDescent="0.25">
      <c r="A8" s="359" t="s">
        <v>74</v>
      </c>
      <c r="B8" s="359"/>
    </row>
    <row r="10" spans="1:15" ht="78.75" x14ac:dyDescent="0.25">
      <c r="A10" s="149" t="s">
        <v>0</v>
      </c>
      <c r="B10" s="149" t="s">
        <v>1</v>
      </c>
      <c r="C10" s="29" t="s">
        <v>2</v>
      </c>
      <c r="D10" s="162" t="s">
        <v>26</v>
      </c>
      <c r="E10" s="12" t="s">
        <v>27</v>
      </c>
    </row>
    <row r="11" spans="1:15" ht="15.75" x14ac:dyDescent="0.25">
      <c r="A11" s="17">
        <v>1</v>
      </c>
      <c r="B11" s="17">
        <v>2</v>
      </c>
      <c r="C11" s="30">
        <v>3</v>
      </c>
      <c r="D11" s="28">
        <v>4</v>
      </c>
      <c r="E11" s="28">
        <v>5</v>
      </c>
    </row>
    <row r="12" spans="1:15" ht="15.75" x14ac:dyDescent="0.25">
      <c r="A12" s="4"/>
      <c r="B12" s="7" t="s">
        <v>7</v>
      </c>
      <c r="C12" s="30" t="s">
        <v>8</v>
      </c>
      <c r="D12" s="25"/>
      <c r="E12" s="23"/>
    </row>
    <row r="13" spans="1:15" ht="15.75" x14ac:dyDescent="0.25">
      <c r="A13" s="8">
        <v>1000</v>
      </c>
      <c r="B13" s="7" t="s">
        <v>9</v>
      </c>
      <c r="C13" s="30"/>
      <c r="D13" s="44">
        <f>ROUND((D14+D20+0.01),2)</f>
        <v>5.91</v>
      </c>
      <c r="E13" s="44">
        <f>E14+E20</f>
        <v>5265.290844000001</v>
      </c>
      <c r="K13" s="330"/>
    </row>
    <row r="14" spans="1:15" ht="15.75" x14ac:dyDescent="0.25">
      <c r="A14" s="286">
        <v>1100</v>
      </c>
      <c r="B14" s="287" t="s">
        <v>10</v>
      </c>
      <c r="C14" s="142"/>
      <c r="D14" s="44">
        <f>D15+D19</f>
        <v>4.6066816143497764</v>
      </c>
      <c r="E14" s="44">
        <f>E15+E19</f>
        <v>4109.1600000000008</v>
      </c>
    </row>
    <row r="15" spans="1:15" ht="15.75" x14ac:dyDescent="0.25">
      <c r="A15" s="16">
        <v>1110</v>
      </c>
      <c r="B15" s="16" t="s">
        <v>240</v>
      </c>
      <c r="C15" s="262" t="s">
        <v>241</v>
      </c>
      <c r="D15" s="114">
        <f>D16+D17+D18</f>
        <v>4.1878923766816145</v>
      </c>
      <c r="E15" s="114">
        <f>E16+E17+E18</f>
        <v>3735.6000000000004</v>
      </c>
    </row>
    <row r="16" spans="1:15" s="15" customFormat="1" ht="94.5" x14ac:dyDescent="0.25">
      <c r="A16" s="156"/>
      <c r="B16" s="157"/>
      <c r="C16" s="152" t="s">
        <v>288</v>
      </c>
      <c r="D16" s="45">
        <f>E16/892</f>
        <v>0.19710762331838563</v>
      </c>
      <c r="E16" s="45">
        <f>ROUND((32.56*12*0.45),2)</f>
        <v>175.82</v>
      </c>
      <c r="F16" s="331"/>
      <c r="G16" s="332"/>
      <c r="H16" s="331"/>
      <c r="I16" s="333"/>
      <c r="J16" s="332"/>
      <c r="K16" s="333"/>
      <c r="L16" s="333"/>
      <c r="M16" s="333"/>
      <c r="N16" s="333"/>
      <c r="O16" s="333"/>
    </row>
    <row r="17" spans="1:15" s="15" customFormat="1" ht="79.5" customHeight="1" x14ac:dyDescent="0.25">
      <c r="A17" s="137"/>
      <c r="B17" s="140"/>
      <c r="C17" s="176" t="s">
        <v>289</v>
      </c>
      <c r="D17" s="45">
        <f>E17/892</f>
        <v>0.26006726457399104</v>
      </c>
      <c r="E17" s="45">
        <f>ROUND((42.96*12*0.45),2)</f>
        <v>231.98</v>
      </c>
      <c r="F17" s="331"/>
      <c r="G17" s="331"/>
      <c r="H17" s="332"/>
      <c r="I17" s="333"/>
      <c r="J17" s="332"/>
      <c r="K17" s="333"/>
      <c r="L17" s="333"/>
      <c r="M17" s="333"/>
      <c r="N17" s="333"/>
      <c r="O17" s="333"/>
    </row>
    <row r="18" spans="1:15" s="15" customFormat="1" ht="94.5" x14ac:dyDescent="0.25">
      <c r="A18" s="138"/>
      <c r="B18" s="141"/>
      <c r="C18" s="152" t="s">
        <v>244</v>
      </c>
      <c r="D18" s="45">
        <f t="shared" ref="D18:D22" si="0">E18/892</f>
        <v>3.7307174887892378</v>
      </c>
      <c r="E18" s="45">
        <f>ROUND((616.26*12*0.45),2)</f>
        <v>3327.8</v>
      </c>
      <c r="F18" s="332"/>
      <c r="G18" s="331"/>
      <c r="H18" s="334"/>
      <c r="I18" s="332"/>
      <c r="J18" s="332"/>
      <c r="K18" s="333"/>
      <c r="L18" s="333"/>
      <c r="M18" s="333"/>
      <c r="N18" s="333"/>
      <c r="O18" s="333"/>
    </row>
    <row r="19" spans="1:15" s="15" customFormat="1" ht="62.25" customHeight="1" x14ac:dyDescent="0.25">
      <c r="A19" s="131">
        <v>1140</v>
      </c>
      <c r="B19" s="5" t="s">
        <v>237</v>
      </c>
      <c r="C19" s="152" t="s">
        <v>251</v>
      </c>
      <c r="D19" s="114">
        <f t="shared" si="0"/>
        <v>0.41878923766816151</v>
      </c>
      <c r="E19" s="114">
        <f>(175.82*0.1)+(231.98*0.1)+(3327.8*0.1)</f>
        <v>373.56000000000006</v>
      </c>
      <c r="F19" s="333"/>
      <c r="G19" s="333"/>
      <c r="H19" s="333"/>
      <c r="I19" s="333"/>
      <c r="J19" s="332"/>
      <c r="K19" s="333"/>
      <c r="L19" s="333"/>
      <c r="M19" s="333"/>
      <c r="N19" s="333"/>
      <c r="O19" s="333"/>
    </row>
    <row r="20" spans="1:15" ht="63" customHeight="1" x14ac:dyDescent="0.25">
      <c r="A20" s="7">
        <v>1200</v>
      </c>
      <c r="B20" s="166" t="s">
        <v>11</v>
      </c>
      <c r="C20" s="176" t="s">
        <v>252</v>
      </c>
      <c r="D20" s="92">
        <f>D21+D22</f>
        <v>1.2961108116591928</v>
      </c>
      <c r="E20" s="92">
        <f>E21+E22</f>
        <v>1156.130844</v>
      </c>
      <c r="J20" s="332"/>
    </row>
    <row r="21" spans="1:15" ht="47.25" x14ac:dyDescent="0.25">
      <c r="A21" s="4">
        <v>1210</v>
      </c>
      <c r="B21" s="5" t="s">
        <v>239</v>
      </c>
      <c r="C21" s="176" t="s">
        <v>250</v>
      </c>
      <c r="D21" s="45">
        <f t="shared" si="0"/>
        <v>1.0867161928251121</v>
      </c>
      <c r="E21" s="45">
        <f>4109.16*0.2359</f>
        <v>969.35084399999994</v>
      </c>
      <c r="J21" s="332"/>
    </row>
    <row r="22" spans="1:15" ht="62.25" customHeight="1" x14ac:dyDescent="0.25">
      <c r="A22" s="4">
        <v>1227</v>
      </c>
      <c r="B22" s="5" t="s">
        <v>238</v>
      </c>
      <c r="C22" s="176" t="s">
        <v>249</v>
      </c>
      <c r="D22" s="45">
        <f t="shared" si="0"/>
        <v>0.20939461883408075</v>
      </c>
      <c r="E22" s="45">
        <f>(175.82*0.05)+(231.98*0.05)+(3327.8*0.05)</f>
        <v>186.78000000000003</v>
      </c>
      <c r="J22" s="332"/>
    </row>
    <row r="23" spans="1:15" ht="15.75" x14ac:dyDescent="0.25">
      <c r="A23" s="8">
        <v>2000</v>
      </c>
      <c r="B23" s="7" t="s">
        <v>12</v>
      </c>
      <c r="C23" s="30"/>
      <c r="D23" s="44">
        <f>D24</f>
        <v>1.49</v>
      </c>
      <c r="E23" s="44">
        <f>E24</f>
        <v>1329.08</v>
      </c>
      <c r="J23" s="332"/>
    </row>
    <row r="24" spans="1:15" ht="33" customHeight="1" x14ac:dyDescent="0.25">
      <c r="A24" s="4">
        <v>2222</v>
      </c>
      <c r="B24" s="5" t="s">
        <v>61</v>
      </c>
      <c r="C24" s="176" t="s">
        <v>265</v>
      </c>
      <c r="D24" s="45">
        <f>ROUND(E24/892,2)</f>
        <v>1.49</v>
      </c>
      <c r="E24" s="45">
        <f>ROUND((1.49*892),2)</f>
        <v>1329.08</v>
      </c>
      <c r="J24" s="332"/>
    </row>
    <row r="25" spans="1:15" ht="15.75" x14ac:dyDescent="0.25">
      <c r="A25" s="4"/>
      <c r="B25" s="9" t="s">
        <v>14</v>
      </c>
      <c r="C25" s="31" t="s">
        <v>16</v>
      </c>
      <c r="D25" s="44">
        <f>SUM(D13+D23)</f>
        <v>7.4</v>
      </c>
      <c r="E25" s="44">
        <f>SUM(E13+E23)</f>
        <v>6594.3708440000009</v>
      </c>
      <c r="J25" s="335"/>
    </row>
    <row r="26" spans="1:15" ht="15.75" x14ac:dyDescent="0.25">
      <c r="A26" s="4"/>
      <c r="B26" s="9" t="s">
        <v>15</v>
      </c>
      <c r="C26" s="30" t="s">
        <v>8</v>
      </c>
      <c r="D26" s="43"/>
      <c r="E26" s="43"/>
      <c r="J26" s="335"/>
    </row>
    <row r="27" spans="1:15" ht="15.75" x14ac:dyDescent="0.25">
      <c r="A27" s="8">
        <v>1000</v>
      </c>
      <c r="B27" s="7" t="s">
        <v>9</v>
      </c>
      <c r="C27" s="30"/>
      <c r="D27" s="44">
        <f>SUM(D28+D39)</f>
        <v>3.6</v>
      </c>
      <c r="E27" s="44">
        <f>SUM(E28+E39)</f>
        <v>3207.52</v>
      </c>
      <c r="J27" s="335"/>
    </row>
    <row r="28" spans="1:15" ht="15.75" x14ac:dyDescent="0.25">
      <c r="A28" s="4">
        <v>1100</v>
      </c>
      <c r="B28" s="4" t="s">
        <v>10</v>
      </c>
      <c r="C28" s="147" t="s">
        <v>242</v>
      </c>
      <c r="D28" s="44">
        <f>SUM(D29:D38)</f>
        <v>2.91</v>
      </c>
      <c r="E28" s="44">
        <f>SUM(E29:E38)</f>
        <v>2595.29</v>
      </c>
      <c r="J28" s="335"/>
    </row>
    <row r="29" spans="1:15" ht="94.5" x14ac:dyDescent="0.25">
      <c r="A29" s="231"/>
      <c r="B29" s="232"/>
      <c r="C29" s="130" t="s">
        <v>268</v>
      </c>
      <c r="D29" s="45">
        <f>ROUND((E29/892),2)</f>
        <v>0.02</v>
      </c>
      <c r="E29" s="45">
        <f>ROUND((3.71*12*0.45),2)</f>
        <v>20.03</v>
      </c>
      <c r="F29" s="332"/>
      <c r="I29" s="336"/>
      <c r="J29" s="335"/>
    </row>
    <row r="30" spans="1:15" ht="79.5" customHeight="1" x14ac:dyDescent="0.25">
      <c r="A30" s="355"/>
      <c r="B30" s="353"/>
      <c r="C30" s="130" t="s">
        <v>269</v>
      </c>
      <c r="D30" s="45">
        <f>ROUND((E30/892-0.01),2)</f>
        <v>0.01</v>
      </c>
      <c r="E30" s="45">
        <f>ROUND((2.5*12*0.45),2)</f>
        <v>13.5</v>
      </c>
      <c r="F30" s="332"/>
      <c r="H30" s="337"/>
      <c r="I30" s="336"/>
      <c r="J30" s="338"/>
    </row>
    <row r="31" spans="1:15" ht="77.25" customHeight="1" x14ac:dyDescent="0.25">
      <c r="A31" s="355"/>
      <c r="B31" s="353"/>
      <c r="C31" s="130" t="s">
        <v>270</v>
      </c>
      <c r="D31" s="45">
        <f t="shared" ref="D31:D38" si="1">ROUND((E31/892),2)</f>
        <v>0.02</v>
      </c>
      <c r="E31" s="45">
        <f>ROUND((3.7*12*0.45),2)</f>
        <v>19.98</v>
      </c>
      <c r="F31" s="332"/>
      <c r="H31" s="337"/>
      <c r="I31" s="336"/>
      <c r="J31" s="335"/>
    </row>
    <row r="32" spans="1:15" ht="78.599999999999994" customHeight="1" x14ac:dyDescent="0.25">
      <c r="A32" s="355"/>
      <c r="B32" s="353"/>
      <c r="C32" s="130" t="s">
        <v>271</v>
      </c>
      <c r="D32" s="45">
        <f t="shared" si="1"/>
        <v>0.03</v>
      </c>
      <c r="E32" s="45">
        <f>ROUND((4.96*12*0.45),2)</f>
        <v>26.78</v>
      </c>
      <c r="F32" s="332"/>
      <c r="H32" s="337"/>
      <c r="I32" s="336"/>
      <c r="J32" s="335"/>
    </row>
    <row r="33" spans="1:10" ht="94.5" x14ac:dyDescent="0.25">
      <c r="A33" s="355"/>
      <c r="B33" s="353"/>
      <c r="C33" s="130" t="s">
        <v>248</v>
      </c>
      <c r="D33" s="45">
        <f t="shared" si="1"/>
        <v>0.02</v>
      </c>
      <c r="E33" s="45">
        <f>ROUND((2.66*12*0.45),2)</f>
        <v>14.36</v>
      </c>
      <c r="F33" s="332"/>
      <c r="I33" s="336"/>
      <c r="J33" s="338"/>
    </row>
    <row r="34" spans="1:10" ht="77.45" customHeight="1" x14ac:dyDescent="0.25">
      <c r="A34" s="355"/>
      <c r="B34" s="353"/>
      <c r="C34" s="130" t="s">
        <v>247</v>
      </c>
      <c r="D34" s="45">
        <f t="shared" si="1"/>
        <v>0.46</v>
      </c>
      <c r="E34" s="45">
        <f>ROUND((75.79*12*0.45),2)</f>
        <v>409.27</v>
      </c>
      <c r="F34" s="332"/>
      <c r="I34" s="336"/>
      <c r="J34" s="335"/>
    </row>
    <row r="35" spans="1:10" ht="78.75" customHeight="1" x14ac:dyDescent="0.25">
      <c r="A35" s="355"/>
      <c r="B35" s="353"/>
      <c r="C35" s="130" t="s">
        <v>246</v>
      </c>
      <c r="D35" s="45">
        <f t="shared" si="1"/>
        <v>0.83</v>
      </c>
      <c r="E35" s="45">
        <f>ROUND((137.56*12*0.45),2)</f>
        <v>742.82</v>
      </c>
      <c r="F35" s="332"/>
      <c r="I35" s="336"/>
      <c r="J35" s="335"/>
    </row>
    <row r="36" spans="1:10" ht="79.5" customHeight="1" x14ac:dyDescent="0.25">
      <c r="A36" s="355"/>
      <c r="B36" s="353"/>
      <c r="C36" s="152" t="s">
        <v>245</v>
      </c>
      <c r="D36" s="45">
        <f t="shared" si="1"/>
        <v>1.29</v>
      </c>
      <c r="E36" s="45">
        <f>ROUND((212.49*12*0.45),2)</f>
        <v>1147.45</v>
      </c>
      <c r="F36" s="332"/>
      <c r="H36" s="337"/>
      <c r="I36" s="336"/>
      <c r="J36" s="335"/>
    </row>
    <row r="37" spans="1:10" ht="94.5" x14ac:dyDescent="0.25">
      <c r="A37" s="355"/>
      <c r="B37" s="353"/>
      <c r="C37" s="130" t="s">
        <v>260</v>
      </c>
      <c r="D37" s="45">
        <f t="shared" si="1"/>
        <v>0.18</v>
      </c>
      <c r="E37" s="45">
        <f>ROUND((29.69*12*0.45),2)</f>
        <v>160.33000000000001</v>
      </c>
      <c r="F37" s="332"/>
      <c r="I37" s="336"/>
      <c r="J37" s="335"/>
    </row>
    <row r="38" spans="1:10" ht="78.75" customHeight="1" x14ac:dyDescent="0.25">
      <c r="A38" s="356"/>
      <c r="B38" s="354"/>
      <c r="C38" s="130" t="s">
        <v>273</v>
      </c>
      <c r="D38" s="45">
        <f t="shared" si="1"/>
        <v>0.05</v>
      </c>
      <c r="E38" s="45">
        <f>ROUND((7.55*12*0.45),2)</f>
        <v>40.770000000000003</v>
      </c>
      <c r="F38" s="332"/>
      <c r="I38" s="336"/>
    </row>
    <row r="39" spans="1:10" ht="63.75" customHeight="1" x14ac:dyDescent="0.25">
      <c r="A39" s="7">
        <v>1200</v>
      </c>
      <c r="B39" s="166" t="s">
        <v>11</v>
      </c>
      <c r="C39" s="38" t="s">
        <v>1454</v>
      </c>
      <c r="D39" s="92">
        <f>ROUND((E39/892),2)</f>
        <v>0.69</v>
      </c>
      <c r="E39" s="92">
        <f>ROUND((2595.29*0.2359),2)</f>
        <v>612.23</v>
      </c>
      <c r="I39" s="336"/>
    </row>
    <row r="40" spans="1:10" ht="15.75" x14ac:dyDescent="0.25">
      <c r="A40" s="8">
        <v>2000</v>
      </c>
      <c r="B40" s="7" t="s">
        <v>12</v>
      </c>
      <c r="C40" s="30"/>
      <c r="D40" s="44">
        <f>SUM(D41:D48)</f>
        <v>12.72</v>
      </c>
      <c r="E40" s="44">
        <f>SUM(E41:E48)</f>
        <v>11351.22</v>
      </c>
      <c r="I40" s="336"/>
    </row>
    <row r="41" spans="1:10" ht="30" customHeight="1" x14ac:dyDescent="0.25">
      <c r="A41" s="4">
        <v>2221</v>
      </c>
      <c r="B41" s="5" t="s">
        <v>60</v>
      </c>
      <c r="C41" s="176" t="s">
        <v>1467</v>
      </c>
      <c r="D41" s="45">
        <f>ROUND((E41/892),2)</f>
        <v>4.1100000000000003</v>
      </c>
      <c r="E41" s="45">
        <f>ROUND((8145.31*0.45),2)</f>
        <v>3665.39</v>
      </c>
      <c r="I41" s="336"/>
    </row>
    <row r="42" spans="1:10" ht="32.1" customHeight="1" x14ac:dyDescent="0.25">
      <c r="A42" s="4">
        <v>2223</v>
      </c>
      <c r="B42" s="4" t="s">
        <v>19</v>
      </c>
      <c r="C42" s="176" t="s">
        <v>1466</v>
      </c>
      <c r="D42" s="45">
        <f t="shared" ref="D42:D48" si="2">ROUND((E42/892),2)</f>
        <v>4.04</v>
      </c>
      <c r="E42" s="45">
        <f>ROUND((8010.81*0.45),2)</f>
        <v>3604.86</v>
      </c>
      <c r="I42" s="336"/>
    </row>
    <row r="43" spans="1:10" ht="78.75" customHeight="1" x14ac:dyDescent="0.25">
      <c r="A43" s="19">
        <v>2224</v>
      </c>
      <c r="B43" s="121" t="s">
        <v>62</v>
      </c>
      <c r="C43" s="121" t="s">
        <v>1465</v>
      </c>
      <c r="D43" s="45">
        <f t="shared" si="2"/>
        <v>0.28000000000000003</v>
      </c>
      <c r="E43" s="45">
        <f>ROUND((562.53*0.45),2)</f>
        <v>253.14</v>
      </c>
      <c r="I43" s="336"/>
    </row>
    <row r="44" spans="1:10" ht="63" customHeight="1" x14ac:dyDescent="0.25">
      <c r="A44" s="4">
        <v>2243</v>
      </c>
      <c r="B44" s="5" t="s">
        <v>21</v>
      </c>
      <c r="C44" s="5" t="s">
        <v>1464</v>
      </c>
      <c r="D44" s="45">
        <f t="shared" si="2"/>
        <v>0.56000000000000005</v>
      </c>
      <c r="E44" s="45">
        <f>ROUND((1103.76*0.45),2)</f>
        <v>496.69</v>
      </c>
      <c r="I44" s="336"/>
    </row>
    <row r="45" spans="1:10" ht="47.1" customHeight="1" x14ac:dyDescent="0.25">
      <c r="A45" s="4">
        <v>2244</v>
      </c>
      <c r="B45" s="5" t="s">
        <v>22</v>
      </c>
      <c r="C45" s="32" t="s">
        <v>1463</v>
      </c>
      <c r="D45" s="45">
        <f t="shared" si="2"/>
        <v>3.51</v>
      </c>
      <c r="E45" s="45">
        <f>ROUND((6964.82*0.45),2)</f>
        <v>3134.17</v>
      </c>
      <c r="I45" s="336"/>
    </row>
    <row r="46" spans="1:10" ht="30" customHeight="1" x14ac:dyDescent="0.25">
      <c r="A46" s="4">
        <v>2312</v>
      </c>
      <c r="B46" s="4" t="s">
        <v>13</v>
      </c>
      <c r="C46" s="32" t="s">
        <v>1462</v>
      </c>
      <c r="D46" s="45">
        <f t="shared" si="2"/>
        <v>0.01</v>
      </c>
      <c r="E46" s="45">
        <f>ROUND((26.79*0.45),2)</f>
        <v>12.06</v>
      </c>
      <c r="I46" s="336"/>
    </row>
    <row r="47" spans="1:10" ht="47.25" x14ac:dyDescent="0.25">
      <c r="A47" s="4">
        <v>2350</v>
      </c>
      <c r="B47" s="5" t="s">
        <v>236</v>
      </c>
      <c r="C47" s="32" t="s">
        <v>1461</v>
      </c>
      <c r="D47" s="45">
        <f t="shared" si="2"/>
        <v>7.0000000000000007E-2</v>
      </c>
      <c r="E47" s="114">
        <f>ROUND((139.35*0.45),2)</f>
        <v>62.71</v>
      </c>
      <c r="I47" s="336"/>
    </row>
    <row r="48" spans="1:10" ht="30.75" customHeight="1" x14ac:dyDescent="0.25">
      <c r="A48" s="4">
        <v>2513</v>
      </c>
      <c r="B48" s="5" t="s">
        <v>63</v>
      </c>
      <c r="C48" s="32" t="s">
        <v>1171</v>
      </c>
      <c r="D48" s="45">
        <f t="shared" si="2"/>
        <v>0.14000000000000001</v>
      </c>
      <c r="E48" s="45">
        <f>ROUND((271.56*0.45),2)</f>
        <v>122.2</v>
      </c>
      <c r="I48" s="336"/>
    </row>
    <row r="49" spans="1:9" ht="15.75" x14ac:dyDescent="0.25">
      <c r="A49" s="10">
        <v>5000</v>
      </c>
      <c r="B49" s="9" t="s">
        <v>17</v>
      </c>
      <c r="C49" s="30"/>
      <c r="D49" s="44">
        <f>SUM(D50:D55)</f>
        <v>2.3899999999999997</v>
      </c>
      <c r="E49" s="44">
        <f>SUM(E50:E55)</f>
        <v>2137.8199999999997</v>
      </c>
      <c r="I49" s="336"/>
    </row>
    <row r="50" spans="1:9" ht="32.25" customHeight="1" x14ac:dyDescent="0.25">
      <c r="A50" s="19">
        <v>5212</v>
      </c>
      <c r="B50" s="32" t="s">
        <v>31</v>
      </c>
      <c r="C50" s="32" t="s">
        <v>1455</v>
      </c>
      <c r="D50" s="45">
        <f>ROUND((E50/892),2)</f>
        <v>1.6</v>
      </c>
      <c r="E50" s="45">
        <f>ROUND((3176.32*0.45),2)</f>
        <v>1429.34</v>
      </c>
      <c r="I50" s="336"/>
    </row>
    <row r="51" spans="1:9" ht="47.25" x14ac:dyDescent="0.25">
      <c r="A51" s="19">
        <v>5213</v>
      </c>
      <c r="B51" s="32" t="s">
        <v>32</v>
      </c>
      <c r="C51" s="32" t="s">
        <v>1456</v>
      </c>
      <c r="D51" s="45">
        <f t="shared" ref="D51:D55" si="3">ROUND((E51/892),2)</f>
        <v>0.28999999999999998</v>
      </c>
      <c r="E51" s="45">
        <f>ROUND((577.39*0.45),2)</f>
        <v>259.83</v>
      </c>
      <c r="I51" s="336"/>
    </row>
    <row r="52" spans="1:9" ht="30.75" customHeight="1" x14ac:dyDescent="0.25">
      <c r="A52" s="19">
        <v>5218</v>
      </c>
      <c r="B52" s="32" t="s">
        <v>33</v>
      </c>
      <c r="C52" s="32" t="s">
        <v>1457</v>
      </c>
      <c r="D52" s="45">
        <f t="shared" si="3"/>
        <v>0.24</v>
      </c>
      <c r="E52" s="45">
        <f>ROUND((484.05*0.45),2)</f>
        <v>217.82</v>
      </c>
      <c r="I52" s="336"/>
    </row>
    <row r="53" spans="1:9" ht="31.5" x14ac:dyDescent="0.25">
      <c r="A53" s="19">
        <v>5219</v>
      </c>
      <c r="B53" s="32" t="s">
        <v>34</v>
      </c>
      <c r="C53" s="32" t="s">
        <v>1458</v>
      </c>
      <c r="D53" s="45">
        <f t="shared" si="3"/>
        <v>0.05</v>
      </c>
      <c r="E53" s="45">
        <f>ROUND((106.06*0.45),2)</f>
        <v>47.73</v>
      </c>
      <c r="I53" s="336"/>
    </row>
    <row r="54" spans="1:9" ht="31.5" x14ac:dyDescent="0.25">
      <c r="A54" s="19">
        <v>5220</v>
      </c>
      <c r="B54" s="32" t="s">
        <v>35</v>
      </c>
      <c r="C54" s="32" t="s">
        <v>1459</v>
      </c>
      <c r="D54" s="45">
        <f t="shared" si="3"/>
        <v>0.05</v>
      </c>
      <c r="E54" s="45">
        <f>ROUND((93.85*0.45),2)</f>
        <v>42.23</v>
      </c>
      <c r="I54" s="336"/>
    </row>
    <row r="55" spans="1:9" ht="47.25" x14ac:dyDescent="0.25">
      <c r="A55" s="19">
        <v>5239</v>
      </c>
      <c r="B55" s="32" t="s">
        <v>18</v>
      </c>
      <c r="C55" s="32" t="s">
        <v>1460</v>
      </c>
      <c r="D55" s="45">
        <f t="shared" si="3"/>
        <v>0.16</v>
      </c>
      <c r="E55" s="45">
        <f>ROUND((313.05*0.45),2)</f>
        <v>140.87</v>
      </c>
      <c r="I55" s="336"/>
    </row>
    <row r="56" spans="1:9" ht="15.75" x14ac:dyDescent="0.25">
      <c r="A56" s="171"/>
      <c r="B56" s="9" t="s">
        <v>23</v>
      </c>
      <c r="C56" s="30"/>
      <c r="D56" s="44">
        <f>SUM(D27+D40+D49)</f>
        <v>18.71</v>
      </c>
      <c r="E56" s="44">
        <f>SUM(E27+E40+E49)</f>
        <v>16696.559999999998</v>
      </c>
    </row>
    <row r="57" spans="1:9" ht="31.5" x14ac:dyDescent="0.25">
      <c r="A57" s="172"/>
      <c r="B57" s="11" t="s">
        <v>28</v>
      </c>
      <c r="C57" s="30"/>
      <c r="D57" s="93">
        <f>D25+D56</f>
        <v>26.11</v>
      </c>
      <c r="E57" s="93">
        <f>E25+E56</f>
        <v>23290.930843999999</v>
      </c>
    </row>
    <row r="58" spans="1:9" ht="15.75" x14ac:dyDescent="0.25">
      <c r="A58" s="172"/>
      <c r="B58" s="13" t="s">
        <v>29</v>
      </c>
      <c r="C58" s="30"/>
      <c r="D58" s="93">
        <f>D57*0.21</f>
        <v>5.4830999999999994</v>
      </c>
      <c r="E58" s="93">
        <f>E57*0.21</f>
        <v>4891.0954772399991</v>
      </c>
    </row>
    <row r="59" spans="1:9" ht="31.5" x14ac:dyDescent="0.25">
      <c r="A59" s="6"/>
      <c r="B59" s="179" t="s">
        <v>30</v>
      </c>
      <c r="C59" s="180"/>
      <c r="D59" s="189">
        <f>D57*1.21</f>
        <v>31.5931</v>
      </c>
      <c r="E59" s="189">
        <f>E57*1.21</f>
        <v>28182.026321239999</v>
      </c>
    </row>
    <row r="60" spans="1:9" ht="15.75" x14ac:dyDescent="0.25">
      <c r="A60" s="360" t="s">
        <v>72</v>
      </c>
      <c r="B60" s="360"/>
      <c r="C60" s="360"/>
      <c r="D60" s="8">
        <v>892</v>
      </c>
      <c r="E60" s="8" t="s">
        <v>196</v>
      </c>
    </row>
    <row r="61" spans="1:9" ht="30" customHeight="1" x14ac:dyDescent="0.25">
      <c r="A61" s="351" t="s">
        <v>65</v>
      </c>
      <c r="B61" s="351"/>
      <c r="C61" s="351"/>
      <c r="D61" s="183">
        <f>E59/D60</f>
        <v>31.594199911704035</v>
      </c>
      <c r="E61" s="8" t="s">
        <v>307</v>
      </c>
    </row>
    <row r="62" spans="1:9" ht="15.75" x14ac:dyDescent="0.25">
      <c r="A62" s="1"/>
      <c r="B62" s="1"/>
      <c r="C62" s="1"/>
    </row>
    <row r="63" spans="1:9" ht="15.75" x14ac:dyDescent="0.25">
      <c r="A63" s="1"/>
      <c r="B63" s="1"/>
      <c r="C63" s="1"/>
    </row>
    <row r="64" spans="1:9" ht="15.75" x14ac:dyDescent="0.25">
      <c r="A64" s="1"/>
      <c r="B64" s="1"/>
      <c r="C64" s="1"/>
    </row>
    <row r="65" spans="1:3" ht="15.75" x14ac:dyDescent="0.25">
      <c r="A65" s="1"/>
      <c r="B65" s="1"/>
      <c r="C65" s="1"/>
    </row>
  </sheetData>
  <mergeCells count="9">
    <mergeCell ref="A61:C61"/>
    <mergeCell ref="A7:C7"/>
    <mergeCell ref="B30:B38"/>
    <mergeCell ref="A30:A38"/>
    <mergeCell ref="A3:C3"/>
    <mergeCell ref="A5:C5"/>
    <mergeCell ref="A8:B8"/>
    <mergeCell ref="A6:C6"/>
    <mergeCell ref="A60:C60"/>
  </mergeCells>
  <pageMargins left="0.7" right="0.7" top="0.75" bottom="0.75" header="0.3" footer="0.3"/>
  <pageSetup paperSize="9" orientation="landscape" r:id="rId1"/>
  <rowBreaks count="2" manualBreakCount="2">
    <brk id="25" max="16383" man="1"/>
    <brk id="39" max="16383" man="1"/>
  </rowBreaks>
  <ignoredErrors>
    <ignoredError sqref="D49 D40:E40 D20 D30"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C0677-BDAA-4AF2-8328-CB33FAC13DC6}">
  <dimension ref="A1:J68"/>
  <sheetViews>
    <sheetView topLeftCell="A43" zoomScaleNormal="100" workbookViewId="0">
      <selection activeCell="C63" sqref="C63"/>
    </sheetView>
  </sheetViews>
  <sheetFormatPr defaultRowHeight="15" x14ac:dyDescent="0.25"/>
  <cols>
    <col min="1" max="1" width="11.85546875" customWidth="1"/>
    <col min="2" max="2" width="27.42578125" customWidth="1"/>
    <col min="3" max="3" width="65.85546875" customWidth="1"/>
    <col min="4" max="4" width="9.140625" customWidth="1"/>
    <col min="5" max="5" width="16.85546875" customWidth="1"/>
    <col min="6" max="6" width="7.42578125" style="51" bestFit="1" customWidth="1"/>
    <col min="7" max="8" width="8.42578125" style="51" bestFit="1" customWidth="1"/>
    <col min="9" max="9" width="8.85546875" bestFit="1" customWidth="1"/>
  </cols>
  <sheetData>
    <row r="1" spans="1:9" ht="18.75" x14ac:dyDescent="0.3">
      <c r="A1" s="358" t="s">
        <v>178</v>
      </c>
      <c r="B1" s="358"/>
      <c r="C1" s="358"/>
    </row>
    <row r="2" spans="1:9" ht="18.75" x14ac:dyDescent="0.3">
      <c r="A2" s="358" t="s">
        <v>4</v>
      </c>
      <c r="B2" s="358"/>
      <c r="C2" s="358"/>
    </row>
    <row r="3" spans="1:9" ht="18.75" x14ac:dyDescent="0.25">
      <c r="A3" s="352" t="s">
        <v>25</v>
      </c>
      <c r="B3" s="352"/>
      <c r="C3" s="352"/>
    </row>
    <row r="4" spans="1:9" ht="15.75" x14ac:dyDescent="0.25">
      <c r="A4" s="359" t="s">
        <v>74</v>
      </c>
      <c r="B4" s="359"/>
    </row>
    <row r="6" spans="1:9" ht="77.25" customHeight="1" x14ac:dyDescent="0.25">
      <c r="A6" s="149" t="s">
        <v>0</v>
      </c>
      <c r="B6" s="149" t="s">
        <v>1</v>
      </c>
      <c r="C6" s="36" t="s">
        <v>2</v>
      </c>
      <c r="D6" s="162" t="s">
        <v>26</v>
      </c>
      <c r="E6" s="12" t="s">
        <v>27</v>
      </c>
    </row>
    <row r="7" spans="1:9" ht="15.75" x14ac:dyDescent="0.25">
      <c r="A7" s="17">
        <v>1</v>
      </c>
      <c r="B7" s="17">
        <v>2</v>
      </c>
      <c r="C7" s="34">
        <v>3</v>
      </c>
      <c r="D7" s="28">
        <v>4</v>
      </c>
      <c r="E7" s="28">
        <v>5</v>
      </c>
    </row>
    <row r="8" spans="1:9" ht="15.75" x14ac:dyDescent="0.25">
      <c r="A8" s="4"/>
      <c r="B8" s="7" t="s">
        <v>7</v>
      </c>
      <c r="C8" s="34" t="s">
        <v>8</v>
      </c>
      <c r="D8" s="23"/>
      <c r="E8" s="23"/>
    </row>
    <row r="9" spans="1:9" ht="15.75" x14ac:dyDescent="0.25">
      <c r="A9" s="8">
        <v>1000</v>
      </c>
      <c r="B9" s="7" t="s">
        <v>9</v>
      </c>
      <c r="C9" s="34"/>
      <c r="D9" s="44">
        <f>D10+D16</f>
        <v>5.8900000000000006</v>
      </c>
      <c r="E9" s="44">
        <f>E10+E16</f>
        <v>900.96100000000001</v>
      </c>
    </row>
    <row r="10" spans="1:9" ht="15.75" x14ac:dyDescent="0.25">
      <c r="A10" s="280">
        <v>1100</v>
      </c>
      <c r="B10" s="280" t="s">
        <v>10</v>
      </c>
      <c r="D10" s="44">
        <f>SUM(D11+D15)</f>
        <v>4.6000000000000005</v>
      </c>
      <c r="E10" s="44">
        <f>SUM(E11+E15)</f>
        <v>703.13099999999997</v>
      </c>
    </row>
    <row r="11" spans="1:9" ht="15.75" x14ac:dyDescent="0.25">
      <c r="A11" s="16">
        <v>1110</v>
      </c>
      <c r="B11" s="16" t="s">
        <v>240</v>
      </c>
      <c r="C11" s="147" t="s">
        <v>241</v>
      </c>
      <c r="D11" s="114">
        <f>SUM(D12:D14)</f>
        <v>4.1800000000000006</v>
      </c>
      <c r="E11" s="114">
        <f>SUM(E12:E14)</f>
        <v>639.20999999999992</v>
      </c>
    </row>
    <row r="12" spans="1:9" s="15" customFormat="1" ht="94.5" x14ac:dyDescent="0.25">
      <c r="A12" s="136"/>
      <c r="B12" s="139"/>
      <c r="C12" s="152" t="s">
        <v>296</v>
      </c>
      <c r="D12" s="45">
        <f>ROUND((E12/153),2)</f>
        <v>0.2</v>
      </c>
      <c r="E12" s="45">
        <f>ROUND((32.56*12*0.077),2)</f>
        <v>30.09</v>
      </c>
      <c r="F12" s="316"/>
      <c r="G12" s="316"/>
      <c r="H12" s="316"/>
      <c r="I12" s="255"/>
    </row>
    <row r="13" spans="1:9" s="15" customFormat="1" ht="78.75" customHeight="1" x14ac:dyDescent="0.25">
      <c r="A13" s="137"/>
      <c r="B13" s="140"/>
      <c r="C13" s="176" t="s">
        <v>293</v>
      </c>
      <c r="D13" s="45">
        <f t="shared" ref="D13" si="0">ROUND((E13/153),2)</f>
        <v>0.26</v>
      </c>
      <c r="E13" s="45">
        <f>ROUND((42.96*12*0.077),2)</f>
        <v>39.700000000000003</v>
      </c>
      <c r="F13" s="316"/>
      <c r="G13" s="316"/>
      <c r="H13" s="316"/>
      <c r="I13" s="255"/>
    </row>
    <row r="14" spans="1:9" s="15" customFormat="1" ht="94.5" x14ac:dyDescent="0.25">
      <c r="A14" s="138"/>
      <c r="B14" s="141"/>
      <c r="C14" s="152" t="s">
        <v>253</v>
      </c>
      <c r="D14" s="45">
        <f>ROUND((E14/153),2)</f>
        <v>3.72</v>
      </c>
      <c r="E14" s="45">
        <f>ROUND((616.26*12*0.077),2)</f>
        <v>569.41999999999996</v>
      </c>
      <c r="F14" s="317"/>
      <c r="G14" s="317"/>
      <c r="H14" s="316"/>
      <c r="I14" s="263"/>
    </row>
    <row r="15" spans="1:9" s="15" customFormat="1" ht="63" x14ac:dyDescent="0.25">
      <c r="A15" s="131">
        <v>1140</v>
      </c>
      <c r="B15" s="5" t="s">
        <v>237</v>
      </c>
      <c r="C15" s="152" t="s">
        <v>254</v>
      </c>
      <c r="D15" s="114">
        <f t="shared" ref="D15:D18" si="1">ROUND((E15/153),2)</f>
        <v>0.42</v>
      </c>
      <c r="E15" s="114">
        <f>30.09*0.1+39.7*0.1+569.42*0.1</f>
        <v>63.920999999999999</v>
      </c>
      <c r="F15" s="317"/>
      <c r="G15" s="317"/>
      <c r="H15" s="316"/>
      <c r="I15" s="263"/>
    </row>
    <row r="16" spans="1:9" s="15" customFormat="1" ht="63" x14ac:dyDescent="0.25">
      <c r="A16" s="7">
        <v>1200</v>
      </c>
      <c r="B16" s="166" t="s">
        <v>11</v>
      </c>
      <c r="C16" s="176" t="s">
        <v>256</v>
      </c>
      <c r="D16" s="92">
        <f t="shared" si="1"/>
        <v>1.29</v>
      </c>
      <c r="E16" s="92">
        <f>SUM(E17+E18)</f>
        <v>197.83</v>
      </c>
      <c r="F16" s="317"/>
      <c r="G16" s="317"/>
      <c r="H16" s="316"/>
      <c r="I16" s="263"/>
    </row>
    <row r="17" spans="1:10" s="15" customFormat="1" ht="47.25" x14ac:dyDescent="0.25">
      <c r="A17" s="4">
        <v>1210</v>
      </c>
      <c r="B17" s="5" t="s">
        <v>239</v>
      </c>
      <c r="C17" s="176" t="s">
        <v>255</v>
      </c>
      <c r="D17" s="114">
        <f t="shared" si="1"/>
        <v>1.08</v>
      </c>
      <c r="E17" s="45">
        <f>ROUND((703.13*0.2359),2)</f>
        <v>165.87</v>
      </c>
      <c r="F17" s="317"/>
      <c r="G17" s="317"/>
      <c r="H17" s="316"/>
      <c r="I17" s="263"/>
    </row>
    <row r="18" spans="1:10" ht="63" x14ac:dyDescent="0.25">
      <c r="A18" s="4">
        <v>1227</v>
      </c>
      <c r="B18" s="5" t="s">
        <v>238</v>
      </c>
      <c r="C18" s="176" t="s">
        <v>294</v>
      </c>
      <c r="D18" s="114">
        <f t="shared" si="1"/>
        <v>0.21</v>
      </c>
      <c r="E18" s="45">
        <f>ROUND((30.09*0.05)+(39.7*0.05)+(569.42*0.05),2)</f>
        <v>31.96</v>
      </c>
    </row>
    <row r="19" spans="1:10" ht="15.75" x14ac:dyDescent="0.25">
      <c r="A19" s="8">
        <v>2000</v>
      </c>
      <c r="B19" s="7" t="s">
        <v>12</v>
      </c>
      <c r="C19" s="34"/>
      <c r="D19" s="44">
        <f>D20</f>
        <v>2.27</v>
      </c>
      <c r="E19" s="44">
        <f>E20</f>
        <v>347.31</v>
      </c>
    </row>
    <row r="20" spans="1:10" ht="47.25" customHeight="1" x14ac:dyDescent="0.25">
      <c r="A20" s="4">
        <v>2222</v>
      </c>
      <c r="B20" s="5" t="s">
        <v>61</v>
      </c>
      <c r="C20" s="176" t="s">
        <v>1453</v>
      </c>
      <c r="D20" s="45">
        <f>ROUND(E20/153,2)</f>
        <v>2.27</v>
      </c>
      <c r="E20" s="45">
        <f>ROUND(2.27*153,2)</f>
        <v>347.31</v>
      </c>
    </row>
    <row r="21" spans="1:10" ht="15.75" x14ac:dyDescent="0.25">
      <c r="A21" s="4"/>
      <c r="B21" s="9" t="s">
        <v>14</v>
      </c>
      <c r="C21" s="35" t="s">
        <v>16</v>
      </c>
      <c r="D21" s="44">
        <f>SUM(D9+D19)</f>
        <v>8.16</v>
      </c>
      <c r="E21" s="44">
        <f>SUM(E9+E19)</f>
        <v>1248.271</v>
      </c>
    </row>
    <row r="22" spans="1:10" ht="15.75" x14ac:dyDescent="0.25">
      <c r="A22" s="4"/>
      <c r="B22" s="9" t="s">
        <v>15</v>
      </c>
      <c r="C22" s="34" t="s">
        <v>8</v>
      </c>
      <c r="D22" s="43"/>
      <c r="E22" s="43"/>
    </row>
    <row r="23" spans="1:10" ht="15.75" x14ac:dyDescent="0.25">
      <c r="A23" s="8">
        <v>1000</v>
      </c>
      <c r="B23" s="7" t="s">
        <v>9</v>
      </c>
      <c r="C23" s="34"/>
      <c r="D23" s="44">
        <f>SUM(D24+D35)</f>
        <v>3.59</v>
      </c>
      <c r="E23" s="44">
        <f>SUM(E24+E35)</f>
        <v>548.22</v>
      </c>
    </row>
    <row r="24" spans="1:10" ht="15.75" x14ac:dyDescent="0.25">
      <c r="A24" s="4">
        <v>1100</v>
      </c>
      <c r="B24" s="4" t="s">
        <v>10</v>
      </c>
      <c r="C24" s="147" t="s">
        <v>243</v>
      </c>
      <c r="D24" s="44">
        <f>SUM(D25:D34)</f>
        <v>2.9099999999999997</v>
      </c>
      <c r="E24" s="44">
        <f>SUM(E25:E34)</f>
        <v>443.58000000000004</v>
      </c>
    </row>
    <row r="25" spans="1:10" ht="94.5" x14ac:dyDescent="0.25">
      <c r="A25" s="231"/>
      <c r="B25" s="232"/>
      <c r="C25" s="119" t="s">
        <v>1535</v>
      </c>
      <c r="D25" s="45">
        <f t="shared" ref="D25:D35" si="2">ROUND((E25/153),2)</f>
        <v>0.02</v>
      </c>
      <c r="E25" s="45">
        <f>ROUND((3.71*12*0.077),2)</f>
        <v>3.43</v>
      </c>
      <c r="J25" s="87"/>
    </row>
    <row r="26" spans="1:10" ht="80.25" customHeight="1" x14ac:dyDescent="0.25">
      <c r="A26" s="355"/>
      <c r="B26" s="353"/>
      <c r="C26" s="119" t="s">
        <v>1536</v>
      </c>
      <c r="D26" s="45">
        <f t="shared" si="2"/>
        <v>0.02</v>
      </c>
      <c r="E26" s="45">
        <f>ROUND((2.5*12*0.077),2)</f>
        <v>2.31</v>
      </c>
      <c r="J26" s="87"/>
    </row>
    <row r="27" spans="1:10" ht="78.75" customHeight="1" x14ac:dyDescent="0.25">
      <c r="A27" s="355"/>
      <c r="B27" s="353"/>
      <c r="C27" s="119" t="s">
        <v>1537</v>
      </c>
      <c r="D27" s="45">
        <f t="shared" si="2"/>
        <v>0.02</v>
      </c>
      <c r="E27" s="45">
        <f>ROUND((3.7*12*0.077),2)</f>
        <v>3.42</v>
      </c>
      <c r="J27" s="87"/>
    </row>
    <row r="28" spans="1:10" ht="78.75" customHeight="1" x14ac:dyDescent="0.25">
      <c r="A28" s="355"/>
      <c r="B28" s="353"/>
      <c r="C28" s="119" t="s">
        <v>272</v>
      </c>
      <c r="D28" s="45">
        <f t="shared" si="2"/>
        <v>0.03</v>
      </c>
      <c r="E28" s="45">
        <f>ROUND((4.96*12*0.077),2)</f>
        <v>4.58</v>
      </c>
      <c r="J28" s="87"/>
    </row>
    <row r="29" spans="1:10" ht="94.5" x14ac:dyDescent="0.25">
      <c r="A29" s="355"/>
      <c r="B29" s="353"/>
      <c r="C29" s="37" t="s">
        <v>257</v>
      </c>
      <c r="D29" s="45">
        <f t="shared" si="2"/>
        <v>0.02</v>
      </c>
      <c r="E29" s="45">
        <f>ROUND((2.66*12*0.077),2)</f>
        <v>2.46</v>
      </c>
      <c r="J29" s="87"/>
    </row>
    <row r="30" spans="1:10" ht="78" customHeight="1" x14ac:dyDescent="0.25">
      <c r="A30" s="355"/>
      <c r="B30" s="353"/>
      <c r="C30" s="37" t="s">
        <v>258</v>
      </c>
      <c r="D30" s="45">
        <f t="shared" si="2"/>
        <v>0.46</v>
      </c>
      <c r="E30" s="45">
        <f>ROUND((75.79*12*0.077),2)</f>
        <v>70.03</v>
      </c>
      <c r="I30" s="51"/>
      <c r="J30" s="87"/>
    </row>
    <row r="31" spans="1:10" ht="79.5" customHeight="1" x14ac:dyDescent="0.25">
      <c r="A31" s="355"/>
      <c r="B31" s="353"/>
      <c r="C31" s="152" t="s">
        <v>259</v>
      </c>
      <c r="D31" s="45">
        <f t="shared" si="2"/>
        <v>0.83</v>
      </c>
      <c r="E31" s="45">
        <f>ROUND((137.56*12*0.077),2)</f>
        <v>127.11</v>
      </c>
      <c r="J31" s="87"/>
    </row>
    <row r="32" spans="1:10" ht="79.5" customHeight="1" x14ac:dyDescent="0.25">
      <c r="A32" s="355"/>
      <c r="B32" s="353"/>
      <c r="C32" s="152" t="s">
        <v>1469</v>
      </c>
      <c r="D32" s="45">
        <f t="shared" si="2"/>
        <v>1.28</v>
      </c>
      <c r="E32" s="45">
        <f>ROUND((212.41*12*0.077),2)</f>
        <v>196.27</v>
      </c>
      <c r="J32" s="87"/>
    </row>
    <row r="33" spans="1:10" ht="93.75" customHeight="1" x14ac:dyDescent="0.25">
      <c r="A33" s="355"/>
      <c r="B33" s="353"/>
      <c r="C33" s="152" t="s">
        <v>1468</v>
      </c>
      <c r="D33" s="45">
        <f t="shared" si="2"/>
        <v>0.18</v>
      </c>
      <c r="E33" s="45">
        <f>ROUND((29.21*12*0.077),2)</f>
        <v>26.99</v>
      </c>
      <c r="J33" s="87"/>
    </row>
    <row r="34" spans="1:10" ht="79.5" customHeight="1" x14ac:dyDescent="0.25">
      <c r="A34" s="356"/>
      <c r="B34" s="354"/>
      <c r="C34" s="152" t="s">
        <v>261</v>
      </c>
      <c r="D34" s="45">
        <f t="shared" si="2"/>
        <v>0.05</v>
      </c>
      <c r="E34" s="45">
        <f>ROUND((7.55*12*0.077),2)</f>
        <v>6.98</v>
      </c>
      <c r="J34" s="87"/>
    </row>
    <row r="35" spans="1:10" ht="63" x14ac:dyDescent="0.25">
      <c r="A35" s="7">
        <v>1200</v>
      </c>
      <c r="B35" s="166" t="s">
        <v>11</v>
      </c>
      <c r="C35" s="38" t="s">
        <v>1470</v>
      </c>
      <c r="D35" s="92">
        <f t="shared" si="2"/>
        <v>0.68</v>
      </c>
      <c r="E35" s="92">
        <f>ROUND((443.58*0.2359),2)</f>
        <v>104.64</v>
      </c>
      <c r="J35" s="87"/>
    </row>
    <row r="36" spans="1:10" ht="15.75" x14ac:dyDescent="0.25">
      <c r="A36" s="8">
        <v>2000</v>
      </c>
      <c r="B36" s="7" t="s">
        <v>12</v>
      </c>
      <c r="C36" s="34"/>
      <c r="D36" s="44">
        <f>SUM(D37:D44)</f>
        <v>12.69</v>
      </c>
      <c r="E36" s="44">
        <f>SUM(E37:E44)</f>
        <v>1942.31</v>
      </c>
      <c r="J36" s="87"/>
    </row>
    <row r="37" spans="1:10" ht="30.95" customHeight="1" x14ac:dyDescent="0.25">
      <c r="A37" s="4">
        <v>2221</v>
      </c>
      <c r="B37" s="5" t="s">
        <v>60</v>
      </c>
      <c r="C37" s="176" t="s">
        <v>1170</v>
      </c>
      <c r="D37" s="45">
        <f t="shared" ref="D37:D44" si="3">ROUND((E37/153),2)</f>
        <v>4.0999999999999996</v>
      </c>
      <c r="E37" s="45">
        <f>ROUND((8145.31*0.077),2)</f>
        <v>627.19000000000005</v>
      </c>
      <c r="J37" s="87"/>
    </row>
    <row r="38" spans="1:10" ht="32.1" customHeight="1" x14ac:dyDescent="0.25">
      <c r="A38" s="4">
        <v>2223</v>
      </c>
      <c r="B38" s="4" t="s">
        <v>19</v>
      </c>
      <c r="C38" s="176" t="s">
        <v>1165</v>
      </c>
      <c r="D38" s="45">
        <f t="shared" si="3"/>
        <v>4.03</v>
      </c>
      <c r="E38" s="45">
        <f>ROUND((8010.81*0.077),2)</f>
        <v>616.83000000000004</v>
      </c>
      <c r="J38" s="87"/>
    </row>
    <row r="39" spans="1:10" ht="78.75" customHeight="1" x14ac:dyDescent="0.25">
      <c r="A39" s="4">
        <v>2224</v>
      </c>
      <c r="B39" s="5" t="s">
        <v>62</v>
      </c>
      <c r="C39" s="38" t="s">
        <v>1166</v>
      </c>
      <c r="D39" s="45">
        <f t="shared" si="3"/>
        <v>0.28000000000000003</v>
      </c>
      <c r="E39" s="45">
        <f>ROUND((562.53*0.077),2)</f>
        <v>43.31</v>
      </c>
      <c r="J39" s="87"/>
    </row>
    <row r="40" spans="1:10" ht="63" x14ac:dyDescent="0.25">
      <c r="A40" s="4">
        <v>2243</v>
      </c>
      <c r="B40" s="5" t="s">
        <v>21</v>
      </c>
      <c r="C40" s="39" t="s">
        <v>1167</v>
      </c>
      <c r="D40" s="45">
        <f t="shared" si="3"/>
        <v>0.56000000000000005</v>
      </c>
      <c r="E40" s="45">
        <f>ROUND((1103.76*0.077),2)</f>
        <v>84.99</v>
      </c>
      <c r="J40" s="87"/>
    </row>
    <row r="41" spans="1:10" ht="47.25" customHeight="1" x14ac:dyDescent="0.25">
      <c r="A41" s="4">
        <v>2244</v>
      </c>
      <c r="B41" s="5" t="s">
        <v>22</v>
      </c>
      <c r="C41" s="38" t="s">
        <v>1168</v>
      </c>
      <c r="D41" s="45">
        <f>ROUND((E41/153-0.01),2)</f>
        <v>3.5</v>
      </c>
      <c r="E41" s="45">
        <f>ROUND((6964.82*0.077),2)</f>
        <v>536.29</v>
      </c>
      <c r="J41" s="87"/>
    </row>
    <row r="42" spans="1:10" ht="33.75" customHeight="1" x14ac:dyDescent="0.25">
      <c r="A42" s="4">
        <v>2312</v>
      </c>
      <c r="B42" s="4" t="s">
        <v>13</v>
      </c>
      <c r="C42" s="38" t="s">
        <v>1169</v>
      </c>
      <c r="D42" s="45">
        <f t="shared" si="3"/>
        <v>0.01</v>
      </c>
      <c r="E42" s="45">
        <f>ROUND((26.79*0.077),2)</f>
        <v>2.06</v>
      </c>
      <c r="J42" s="87"/>
    </row>
    <row r="43" spans="1:10" ht="47.25" x14ac:dyDescent="0.25">
      <c r="A43" s="4">
        <v>2350</v>
      </c>
      <c r="B43" s="5" t="s">
        <v>236</v>
      </c>
      <c r="C43" s="38" t="s">
        <v>1164</v>
      </c>
      <c r="D43" s="45">
        <f t="shared" si="3"/>
        <v>7.0000000000000007E-2</v>
      </c>
      <c r="E43" s="114">
        <f>ROUND((139.35*0.077),2)</f>
        <v>10.73</v>
      </c>
      <c r="J43" s="87"/>
    </row>
    <row r="44" spans="1:10" ht="31.5" customHeight="1" x14ac:dyDescent="0.25">
      <c r="A44" s="4">
        <v>2513</v>
      </c>
      <c r="B44" s="5" t="s">
        <v>63</v>
      </c>
      <c r="C44" s="38" t="s">
        <v>1163</v>
      </c>
      <c r="D44" s="45">
        <f t="shared" si="3"/>
        <v>0.14000000000000001</v>
      </c>
      <c r="E44" s="45">
        <f>ROUND((271.56*0.077),2)</f>
        <v>20.91</v>
      </c>
      <c r="J44" s="87"/>
    </row>
    <row r="45" spans="1:10" ht="15.75" x14ac:dyDescent="0.25">
      <c r="A45" s="8">
        <v>5000</v>
      </c>
      <c r="B45" s="9" t="s">
        <v>17</v>
      </c>
      <c r="C45" s="34"/>
      <c r="D45" s="44">
        <f>SUM(D46:D51)</f>
        <v>2.3899999999999997</v>
      </c>
      <c r="E45" s="44">
        <f>SUM(E46:E51)</f>
        <v>365.81000000000006</v>
      </c>
      <c r="J45" s="87"/>
    </row>
    <row r="46" spans="1:10" ht="31.5" x14ac:dyDescent="0.25">
      <c r="A46" s="4">
        <v>5212</v>
      </c>
      <c r="B46" s="5" t="s">
        <v>31</v>
      </c>
      <c r="C46" s="38" t="s">
        <v>1162</v>
      </c>
      <c r="D46" s="45">
        <f t="shared" ref="D46:D51" si="4">ROUND((E46/153),2)</f>
        <v>1.6</v>
      </c>
      <c r="E46" s="45">
        <f>ROUND((3176.32*0.077),2)</f>
        <v>244.58</v>
      </c>
      <c r="J46" s="87"/>
    </row>
    <row r="47" spans="1:10" ht="31.5" customHeight="1" x14ac:dyDescent="0.25">
      <c r="A47" s="4">
        <v>5213</v>
      </c>
      <c r="B47" s="5" t="s">
        <v>32</v>
      </c>
      <c r="C47" s="38" t="s">
        <v>1161</v>
      </c>
      <c r="D47" s="45">
        <f t="shared" si="4"/>
        <v>0.28999999999999998</v>
      </c>
      <c r="E47" s="45">
        <f>ROUND((577.39*0.077),2)</f>
        <v>44.46</v>
      </c>
      <c r="J47" s="87"/>
    </row>
    <row r="48" spans="1:10" ht="31.5" customHeight="1" x14ac:dyDescent="0.25">
      <c r="A48" s="19">
        <v>5218</v>
      </c>
      <c r="B48" s="18" t="s">
        <v>33</v>
      </c>
      <c r="C48" s="38" t="s">
        <v>1160</v>
      </c>
      <c r="D48" s="45">
        <f t="shared" si="4"/>
        <v>0.24</v>
      </c>
      <c r="E48" s="45">
        <f>ROUND((484.05*0.077),2)</f>
        <v>37.270000000000003</v>
      </c>
      <c r="J48" s="87"/>
    </row>
    <row r="49" spans="1:10" ht="31.5" customHeight="1" x14ac:dyDescent="0.25">
      <c r="A49" s="19">
        <v>5219</v>
      </c>
      <c r="B49" s="18" t="s">
        <v>34</v>
      </c>
      <c r="C49" s="38" t="s">
        <v>1159</v>
      </c>
      <c r="D49" s="45">
        <f t="shared" si="4"/>
        <v>0.05</v>
      </c>
      <c r="E49" s="45">
        <f>ROUND((106.06*0.077),2)</f>
        <v>8.17</v>
      </c>
      <c r="J49" s="87"/>
    </row>
    <row r="50" spans="1:10" ht="31.5" customHeight="1" x14ac:dyDescent="0.25">
      <c r="A50" s="4">
        <v>5220</v>
      </c>
      <c r="B50" s="5" t="s">
        <v>35</v>
      </c>
      <c r="C50" s="38" t="s">
        <v>1158</v>
      </c>
      <c r="D50" s="45">
        <f t="shared" si="4"/>
        <v>0.05</v>
      </c>
      <c r="E50" s="45">
        <f>ROUND((93.85*0.077),2)</f>
        <v>7.23</v>
      </c>
      <c r="J50" s="87"/>
    </row>
    <row r="51" spans="1:10" ht="47.25" customHeight="1" x14ac:dyDescent="0.25">
      <c r="A51" s="4">
        <v>5239</v>
      </c>
      <c r="B51" s="5" t="s">
        <v>18</v>
      </c>
      <c r="C51" s="39" t="s">
        <v>1157</v>
      </c>
      <c r="D51" s="45">
        <f t="shared" si="4"/>
        <v>0.16</v>
      </c>
      <c r="E51" s="45">
        <f>ROUND((313.05*0.077),2)</f>
        <v>24.1</v>
      </c>
      <c r="J51" s="87"/>
    </row>
    <row r="52" spans="1:10" ht="15.75" x14ac:dyDescent="0.25">
      <c r="A52" s="4"/>
      <c r="B52" s="9" t="s">
        <v>23</v>
      </c>
      <c r="C52" s="34"/>
      <c r="D52" s="44">
        <f>SUM(D23+D36+D45)</f>
        <v>18.670000000000002</v>
      </c>
      <c r="E52" s="44">
        <f>SUM(E23+E36+E45)</f>
        <v>2856.3399999999997</v>
      </c>
      <c r="J52" s="87"/>
    </row>
    <row r="53" spans="1:10" ht="31.5" x14ac:dyDescent="0.25">
      <c r="A53" s="4"/>
      <c r="B53" s="11" t="s">
        <v>28</v>
      </c>
      <c r="C53" s="34"/>
      <c r="D53" s="93">
        <f>D21+D52</f>
        <v>26.830000000000002</v>
      </c>
      <c r="E53" s="93">
        <f>E21+E52</f>
        <v>4104.6109999999999</v>
      </c>
      <c r="J53" s="87"/>
    </row>
    <row r="54" spans="1:10" ht="15.75" x14ac:dyDescent="0.25">
      <c r="A54" s="21"/>
      <c r="B54" s="13" t="s">
        <v>29</v>
      </c>
      <c r="C54" s="34"/>
      <c r="D54" s="93">
        <f>D53*0.21</f>
        <v>5.6343000000000005</v>
      </c>
      <c r="E54" s="93">
        <f>E53*0.21</f>
        <v>861.96830999999997</v>
      </c>
      <c r="J54" s="87"/>
    </row>
    <row r="55" spans="1:10" ht="31.5" customHeight="1" x14ac:dyDescent="0.25">
      <c r="A55" s="21"/>
      <c r="B55" s="179" t="s">
        <v>30</v>
      </c>
      <c r="C55" s="180"/>
      <c r="D55" s="189">
        <f>D53*1.21</f>
        <v>32.464300000000001</v>
      </c>
      <c r="E55" s="189">
        <f>E53*1.21</f>
        <v>4966.5793100000001</v>
      </c>
      <c r="J55" s="87"/>
    </row>
    <row r="56" spans="1:10" ht="15.75" x14ac:dyDescent="0.25">
      <c r="A56" s="360" t="s">
        <v>36</v>
      </c>
      <c r="B56" s="360"/>
      <c r="C56" s="360"/>
      <c r="D56" s="8">
        <v>153</v>
      </c>
      <c r="E56" s="8" t="s">
        <v>196</v>
      </c>
    </row>
    <row r="57" spans="1:10" ht="32.25" customHeight="1" x14ac:dyDescent="0.25">
      <c r="A57" s="351" t="s">
        <v>65</v>
      </c>
      <c r="B57" s="351"/>
      <c r="C57" s="351"/>
      <c r="D57" s="183">
        <f>E55/D56</f>
        <v>32.461302679738566</v>
      </c>
      <c r="E57" s="8" t="s">
        <v>307</v>
      </c>
    </row>
    <row r="58" spans="1:10" ht="15.75" x14ac:dyDescent="0.25">
      <c r="A58" s="1"/>
      <c r="B58" s="1"/>
      <c r="C58" s="1"/>
    </row>
    <row r="59" spans="1:10" ht="15.75" x14ac:dyDescent="0.25">
      <c r="A59" s="1"/>
      <c r="B59" s="1"/>
      <c r="C59" s="1"/>
    </row>
    <row r="60" spans="1:10" ht="15.75" x14ac:dyDescent="0.25">
      <c r="A60" s="1"/>
      <c r="B60" s="1"/>
      <c r="C60" s="1"/>
    </row>
    <row r="61" spans="1:10" ht="15.75" x14ac:dyDescent="0.25">
      <c r="A61" s="1"/>
      <c r="B61" s="1"/>
      <c r="C61" s="1"/>
    </row>
    <row r="62" spans="1:10" ht="15.75" x14ac:dyDescent="0.25">
      <c r="A62" s="1"/>
      <c r="B62" s="1"/>
      <c r="C62" s="1"/>
    </row>
    <row r="63" spans="1:10" ht="15.75" x14ac:dyDescent="0.25">
      <c r="A63" s="1"/>
      <c r="B63" s="1"/>
      <c r="C63" s="1"/>
    </row>
    <row r="64" spans="1:10" ht="15.75" x14ac:dyDescent="0.25">
      <c r="A64" s="1"/>
      <c r="B64" s="1"/>
      <c r="C64" s="1"/>
    </row>
    <row r="65" spans="1:3" ht="15.75" x14ac:dyDescent="0.25">
      <c r="A65" s="1"/>
      <c r="B65" s="1"/>
      <c r="C65" s="1"/>
    </row>
    <row r="66" spans="1:3" ht="15.75" x14ac:dyDescent="0.25">
      <c r="A66" s="1"/>
      <c r="B66" s="1"/>
      <c r="C66" s="1"/>
    </row>
    <row r="67" spans="1:3" ht="15.75" x14ac:dyDescent="0.25">
      <c r="A67" s="1"/>
      <c r="B67" s="1"/>
      <c r="C67" s="1"/>
    </row>
    <row r="68" spans="1:3" ht="15.75" x14ac:dyDescent="0.25">
      <c r="A68" s="1"/>
      <c r="B68" s="1"/>
      <c r="C68" s="1"/>
    </row>
  </sheetData>
  <mergeCells count="8">
    <mergeCell ref="A56:C56"/>
    <mergeCell ref="A57:C57"/>
    <mergeCell ref="A1:C1"/>
    <mergeCell ref="A4:B4"/>
    <mergeCell ref="A2:C2"/>
    <mergeCell ref="A3:C3"/>
    <mergeCell ref="A26:A34"/>
    <mergeCell ref="B26:B34"/>
  </mergeCells>
  <pageMargins left="0.7" right="0.7" top="0.75" bottom="0.75" header="0.3" footer="0.3"/>
  <pageSetup paperSize="9" scale="98" orientation="landscape" r:id="rId1"/>
  <rowBreaks count="2" manualBreakCount="2">
    <brk id="39" max="16383" man="1"/>
    <brk id="50" max="16383" man="1"/>
  </rowBreaks>
  <ignoredErrors>
    <ignoredError sqref="D45"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A5727C-C38E-4957-B260-D5E3CC1341F3}">
  <dimension ref="A1:K47"/>
  <sheetViews>
    <sheetView zoomScaleNormal="100" workbookViewId="0">
      <selection activeCell="B19" sqref="B19"/>
    </sheetView>
  </sheetViews>
  <sheetFormatPr defaultRowHeight="15" x14ac:dyDescent="0.25"/>
  <cols>
    <col min="1" max="1" width="12.42578125" customWidth="1"/>
    <col min="2" max="2" width="25.42578125" customWidth="1"/>
    <col min="3" max="3" width="65.28515625" customWidth="1"/>
    <col min="4" max="4" width="10.140625" customWidth="1"/>
    <col min="5" max="5" width="17.85546875" customWidth="1"/>
  </cols>
  <sheetData>
    <row r="1" spans="1:5" ht="18.75" x14ac:dyDescent="0.3">
      <c r="A1" s="358" t="s">
        <v>178</v>
      </c>
      <c r="B1" s="358"/>
      <c r="C1" s="358"/>
    </row>
    <row r="2" spans="1:5" ht="18.75" x14ac:dyDescent="0.3">
      <c r="A2" s="358" t="s">
        <v>40</v>
      </c>
      <c r="B2" s="358"/>
      <c r="C2" s="358"/>
    </row>
    <row r="3" spans="1:5" ht="18.75" x14ac:dyDescent="0.25">
      <c r="A3" s="352" t="s">
        <v>41</v>
      </c>
      <c r="B3" s="352"/>
      <c r="C3" s="352"/>
    </row>
    <row r="4" spans="1:5" ht="15.75" x14ac:dyDescent="0.25">
      <c r="A4" s="359" t="s">
        <v>74</v>
      </c>
      <c r="B4" s="359"/>
    </row>
    <row r="6" spans="1:5" ht="78.75" x14ac:dyDescent="0.25">
      <c r="A6" s="149" t="s">
        <v>0</v>
      </c>
      <c r="B6" s="149" t="s">
        <v>1</v>
      </c>
      <c r="C6" s="36" t="s">
        <v>2</v>
      </c>
      <c r="D6" s="162" t="s">
        <v>26</v>
      </c>
      <c r="E6" s="12" t="s">
        <v>27</v>
      </c>
    </row>
    <row r="7" spans="1:5" ht="15.75" x14ac:dyDescent="0.25">
      <c r="A7" s="17">
        <v>1</v>
      </c>
      <c r="B7" s="17">
        <v>2</v>
      </c>
      <c r="C7" s="34">
        <v>3</v>
      </c>
      <c r="D7" s="28">
        <v>4</v>
      </c>
      <c r="E7" s="28">
        <v>5</v>
      </c>
    </row>
    <row r="8" spans="1:5" ht="15.75" x14ac:dyDescent="0.25">
      <c r="A8" s="4"/>
      <c r="B8" s="7" t="s">
        <v>7</v>
      </c>
      <c r="C8" s="34" t="s">
        <v>8</v>
      </c>
      <c r="D8" s="23"/>
      <c r="E8" s="23"/>
    </row>
    <row r="9" spans="1:5" ht="15.75" x14ac:dyDescent="0.25">
      <c r="A9" s="8">
        <v>1000</v>
      </c>
      <c r="B9" s="7" t="s">
        <v>9</v>
      </c>
      <c r="C9" s="34"/>
      <c r="D9" s="268">
        <f>D10+D15</f>
        <v>5.46</v>
      </c>
      <c r="E9" s="268">
        <f>E10+E15</f>
        <v>4875.7629999999999</v>
      </c>
    </row>
    <row r="10" spans="1:5" ht="15.75" x14ac:dyDescent="0.25">
      <c r="A10" s="280">
        <v>1100</v>
      </c>
      <c r="B10" s="280" t="s">
        <v>10</v>
      </c>
      <c r="C10" s="264"/>
      <c r="D10" s="268">
        <f>D11+D14</f>
        <v>4.26</v>
      </c>
      <c r="E10" s="268">
        <f>E11+E14</f>
        <v>3805.163</v>
      </c>
    </row>
    <row r="11" spans="1:5" ht="15.75" x14ac:dyDescent="0.25">
      <c r="A11" s="16">
        <v>1110</v>
      </c>
      <c r="B11" s="16" t="s">
        <v>240</v>
      </c>
      <c r="C11" s="267" t="s">
        <v>262</v>
      </c>
      <c r="D11" s="270">
        <f>D12+D13</f>
        <v>3.87</v>
      </c>
      <c r="E11" s="270">
        <f>E12+E13</f>
        <v>3459.23</v>
      </c>
    </row>
    <row r="12" spans="1:5" ht="94.5" customHeight="1" x14ac:dyDescent="0.25">
      <c r="A12" s="136"/>
      <c r="B12" s="139"/>
      <c r="C12" s="152" t="s">
        <v>280</v>
      </c>
      <c r="D12" s="269">
        <f t="shared" ref="D12:D17" si="0">ROUND((E12/894),2)</f>
        <v>0.14000000000000001</v>
      </c>
      <c r="E12" s="270">
        <f>ROUND((16.77*12*0.62),2)</f>
        <v>124.77</v>
      </c>
    </row>
    <row r="13" spans="1:5" ht="78" customHeight="1" x14ac:dyDescent="0.25">
      <c r="A13" s="138"/>
      <c r="B13" s="265"/>
      <c r="C13" s="152" t="s">
        <v>1452</v>
      </c>
      <c r="D13" s="269">
        <f t="shared" si="0"/>
        <v>3.73</v>
      </c>
      <c r="E13" s="270">
        <f>ROUND((448.18*12*0.62),2)</f>
        <v>3334.46</v>
      </c>
    </row>
    <row r="14" spans="1:5" ht="47.25" x14ac:dyDescent="0.25">
      <c r="A14" s="131">
        <v>1140</v>
      </c>
      <c r="B14" s="5" t="s">
        <v>237</v>
      </c>
      <c r="C14" s="152" t="s">
        <v>264</v>
      </c>
      <c r="D14" s="269">
        <f t="shared" si="0"/>
        <v>0.39</v>
      </c>
      <c r="E14" s="270">
        <f>124.77*0.1+3334.46*0.1+0.01</f>
        <v>345.93299999999999</v>
      </c>
    </row>
    <row r="15" spans="1:5" ht="62.25" customHeight="1" x14ac:dyDescent="0.25">
      <c r="A15" s="166">
        <v>1200</v>
      </c>
      <c r="B15" s="166" t="s">
        <v>11</v>
      </c>
      <c r="C15" s="176" t="s">
        <v>278</v>
      </c>
      <c r="D15" s="271">
        <f>ROUND((E15/894),2)</f>
        <v>1.2</v>
      </c>
      <c r="E15" s="272">
        <f>E16+E17</f>
        <v>1070.5999999999999</v>
      </c>
    </row>
    <row r="16" spans="1:5" ht="47.25" x14ac:dyDescent="0.25">
      <c r="A16" s="4">
        <v>1210</v>
      </c>
      <c r="B16" s="5" t="s">
        <v>239</v>
      </c>
      <c r="C16" s="176" t="s">
        <v>277</v>
      </c>
      <c r="D16" s="269">
        <f>ROUND((E16/894+0.01),2)</f>
        <v>1.01</v>
      </c>
      <c r="E16" s="269">
        <f>ROUND((3805.16* 0.2359),2)</f>
        <v>897.64</v>
      </c>
    </row>
    <row r="17" spans="1:7" ht="63" x14ac:dyDescent="0.25">
      <c r="A17" s="4">
        <v>1227</v>
      </c>
      <c r="B17" s="5" t="s">
        <v>238</v>
      </c>
      <c r="C17" s="176" t="s">
        <v>1450</v>
      </c>
      <c r="D17" s="269">
        <f t="shared" si="0"/>
        <v>0.19</v>
      </c>
      <c r="E17" s="269">
        <f>ROUND((124.77*0.05)+(3334.46* 0.05),2)</f>
        <v>172.96</v>
      </c>
    </row>
    <row r="18" spans="1:7" ht="15.75" x14ac:dyDescent="0.25">
      <c r="A18" s="8">
        <v>2000</v>
      </c>
      <c r="B18" s="7" t="s">
        <v>12</v>
      </c>
      <c r="C18" s="264"/>
      <c r="D18" s="268">
        <f>D19</f>
        <v>1.58</v>
      </c>
      <c r="E18" s="268">
        <f>E19</f>
        <v>1412.52</v>
      </c>
    </row>
    <row r="19" spans="1:7" ht="33" customHeight="1" x14ac:dyDescent="0.25">
      <c r="A19" s="4">
        <v>2222</v>
      </c>
      <c r="B19" s="5" t="s">
        <v>61</v>
      </c>
      <c r="C19" s="176" t="s">
        <v>266</v>
      </c>
      <c r="D19" s="270">
        <f>ROUND((E19/894),2)</f>
        <v>1.58</v>
      </c>
      <c r="E19" s="273">
        <f>ROUND((1.58*894),2)</f>
        <v>1412.52</v>
      </c>
    </row>
    <row r="20" spans="1:7" ht="15.75" x14ac:dyDescent="0.25">
      <c r="A20" s="4"/>
      <c r="B20" s="9" t="s">
        <v>14</v>
      </c>
      <c r="C20" s="151" t="s">
        <v>16</v>
      </c>
      <c r="D20" s="268">
        <f>SUM(D9+D18)</f>
        <v>7.04</v>
      </c>
      <c r="E20" s="268">
        <f>SUM(E9+E18)</f>
        <v>6288.2829999999994</v>
      </c>
    </row>
    <row r="21" spans="1:7" ht="15.75" x14ac:dyDescent="0.25">
      <c r="A21" s="4"/>
      <c r="B21" s="9" t="s">
        <v>15</v>
      </c>
      <c r="C21" s="264" t="s">
        <v>8</v>
      </c>
      <c r="D21" s="273"/>
      <c r="E21" s="273"/>
    </row>
    <row r="22" spans="1:7" ht="15.75" x14ac:dyDescent="0.25">
      <c r="A22" s="8">
        <v>1000</v>
      </c>
      <c r="B22" s="7" t="s">
        <v>9</v>
      </c>
      <c r="C22" s="264"/>
      <c r="D22" s="268">
        <f>SUM(D23+D34)</f>
        <v>3.16</v>
      </c>
      <c r="E22" s="268">
        <f>SUM(E23+E34)</f>
        <v>2826.48</v>
      </c>
    </row>
    <row r="23" spans="1:7" ht="15.75" x14ac:dyDescent="0.25">
      <c r="A23" s="4">
        <v>1100</v>
      </c>
      <c r="B23" s="4" t="s">
        <v>10</v>
      </c>
      <c r="C23" s="278" t="s">
        <v>267</v>
      </c>
      <c r="D23" s="268">
        <f>SUM(D24:D33)</f>
        <v>2.56</v>
      </c>
      <c r="E23" s="268">
        <f>SUM(E24:E33)</f>
        <v>2286.98</v>
      </c>
    </row>
    <row r="24" spans="1:7" ht="94.5" x14ac:dyDescent="0.25">
      <c r="A24" s="274"/>
      <c r="B24" s="275"/>
      <c r="C24" s="152" t="s">
        <v>1142</v>
      </c>
      <c r="D24" s="270">
        <f t="shared" ref="D24:D34" si="1">ROUND((E24/894),2)</f>
        <v>0.03</v>
      </c>
      <c r="E24" s="270">
        <f>ROUND((3.71*12*0.62),2)</f>
        <v>27.6</v>
      </c>
      <c r="G24" s="203"/>
    </row>
    <row r="25" spans="1:7" ht="80.25" customHeight="1" x14ac:dyDescent="0.25">
      <c r="A25" s="355"/>
      <c r="B25" s="353"/>
      <c r="C25" s="152" t="s">
        <v>1143</v>
      </c>
      <c r="D25" s="270">
        <f t="shared" si="1"/>
        <v>0.02</v>
      </c>
      <c r="E25" s="270">
        <f>ROUND((2.5*12*0.62),2)</f>
        <v>18.600000000000001</v>
      </c>
    </row>
    <row r="26" spans="1:7" ht="78.75" x14ac:dyDescent="0.25">
      <c r="A26" s="355"/>
      <c r="B26" s="353"/>
      <c r="C26" s="152" t="s">
        <v>1144</v>
      </c>
      <c r="D26" s="270">
        <f t="shared" si="1"/>
        <v>0.03</v>
      </c>
      <c r="E26" s="270">
        <f>ROUND((3.7*12*0.62),2)</f>
        <v>27.53</v>
      </c>
      <c r="G26" s="203"/>
    </row>
    <row r="27" spans="1:7" ht="77.25" customHeight="1" x14ac:dyDescent="0.25">
      <c r="A27" s="355"/>
      <c r="B27" s="353"/>
      <c r="C27" s="152" t="s">
        <v>1145</v>
      </c>
      <c r="D27" s="270">
        <f t="shared" si="1"/>
        <v>0.04</v>
      </c>
      <c r="E27" s="270">
        <f>ROUND((4.96*12*0.62),2)</f>
        <v>36.9</v>
      </c>
      <c r="G27" s="203"/>
    </row>
    <row r="28" spans="1:7" ht="93.75" customHeight="1" x14ac:dyDescent="0.25">
      <c r="A28" s="355"/>
      <c r="B28" s="353"/>
      <c r="C28" s="152" t="s">
        <v>1146</v>
      </c>
      <c r="D28" s="270">
        <f t="shared" si="1"/>
        <v>0.02</v>
      </c>
      <c r="E28" s="270">
        <f>ROUND((2.66*12*0.62),2)</f>
        <v>19.79</v>
      </c>
      <c r="G28" s="203"/>
    </row>
    <row r="29" spans="1:7" ht="77.45" customHeight="1" x14ac:dyDescent="0.25">
      <c r="A29" s="355"/>
      <c r="B29" s="353"/>
      <c r="C29" s="152" t="s">
        <v>1148</v>
      </c>
      <c r="D29" s="270">
        <f>ROUND((E29/894),2)</f>
        <v>0.63</v>
      </c>
      <c r="E29" s="270">
        <f>ROUND((75.79*12*0.62),2)</f>
        <v>563.88</v>
      </c>
      <c r="G29" s="203"/>
    </row>
    <row r="30" spans="1:7" ht="78.75" customHeight="1" x14ac:dyDescent="0.25">
      <c r="A30" s="355"/>
      <c r="B30" s="353"/>
      <c r="C30" s="152" t="s">
        <v>1147</v>
      </c>
      <c r="D30" s="270">
        <f t="shared" si="1"/>
        <v>0.56999999999999995</v>
      </c>
      <c r="E30" s="270">
        <f>ROUND((67.96*12*0.62),2)</f>
        <v>505.62</v>
      </c>
      <c r="G30" s="203"/>
    </row>
    <row r="31" spans="1:7" ht="78.599999999999994" customHeight="1" x14ac:dyDescent="0.25">
      <c r="A31" s="355"/>
      <c r="B31" s="353"/>
      <c r="C31" s="152" t="s">
        <v>1149</v>
      </c>
      <c r="D31" s="270">
        <f t="shared" si="1"/>
        <v>0.89</v>
      </c>
      <c r="E31" s="270">
        <f>ROUND((106.86*12*0.62),2)</f>
        <v>795.04</v>
      </c>
      <c r="G31" s="203"/>
    </row>
    <row r="32" spans="1:7" ht="94.5" x14ac:dyDescent="0.25">
      <c r="A32" s="355"/>
      <c r="B32" s="353"/>
      <c r="C32" s="152" t="s">
        <v>1150</v>
      </c>
      <c r="D32" s="270">
        <f>ROUND((E32/894),2)</f>
        <v>0.26</v>
      </c>
      <c r="E32" s="270">
        <f>ROUND((31.16*12*0.62),2)</f>
        <v>231.83</v>
      </c>
      <c r="G32" s="203"/>
    </row>
    <row r="33" spans="1:11" ht="77.45" customHeight="1" x14ac:dyDescent="0.25">
      <c r="A33" s="356"/>
      <c r="B33" s="354"/>
      <c r="C33" s="152" t="s">
        <v>1151</v>
      </c>
      <c r="D33" s="270">
        <f t="shared" si="1"/>
        <v>7.0000000000000007E-2</v>
      </c>
      <c r="E33" s="270">
        <f>ROUND((8.09*12*0.62),2)</f>
        <v>60.19</v>
      </c>
      <c r="G33" s="203"/>
    </row>
    <row r="34" spans="1:11" ht="78.75" x14ac:dyDescent="0.25">
      <c r="A34" s="324">
        <v>1200</v>
      </c>
      <c r="B34" s="166" t="s">
        <v>11</v>
      </c>
      <c r="C34" s="176" t="s">
        <v>1152</v>
      </c>
      <c r="D34" s="272">
        <f t="shared" si="1"/>
        <v>0.6</v>
      </c>
      <c r="E34" s="272">
        <f>ROUND((2286.98*0.2359),2)</f>
        <v>539.5</v>
      </c>
      <c r="G34" s="203"/>
    </row>
    <row r="35" spans="1:11" ht="15.75" x14ac:dyDescent="0.25">
      <c r="A35" s="8">
        <v>2000</v>
      </c>
      <c r="B35" s="7" t="s">
        <v>12</v>
      </c>
      <c r="C35" s="264"/>
      <c r="D35" s="268">
        <f>SUM(D36:D39)</f>
        <v>17.190000000000001</v>
      </c>
      <c r="E35" s="268">
        <f>SUM(E36:E39)</f>
        <v>15372.789999999999</v>
      </c>
      <c r="G35" s="203"/>
      <c r="K35" s="40"/>
    </row>
    <row r="36" spans="1:11" ht="30" customHeight="1" x14ac:dyDescent="0.25">
      <c r="A36" s="4">
        <v>2221</v>
      </c>
      <c r="B36" s="5" t="s">
        <v>60</v>
      </c>
      <c r="C36" s="176" t="s">
        <v>1153</v>
      </c>
      <c r="D36" s="270">
        <f>ROUND((E36/894),2)</f>
        <v>10.42</v>
      </c>
      <c r="E36" s="270">
        <f>ROUND((15031.44*0.62),2)</f>
        <v>9319.49</v>
      </c>
      <c r="G36" s="203"/>
    </row>
    <row r="37" spans="1:11" ht="30.75" customHeight="1" x14ac:dyDescent="0.25">
      <c r="A37" s="4">
        <v>2222</v>
      </c>
      <c r="B37" s="5" t="s">
        <v>61</v>
      </c>
      <c r="C37" s="176" t="s">
        <v>1154</v>
      </c>
      <c r="D37" s="270">
        <f>ROUND((E37/894),2)</f>
        <v>1.39</v>
      </c>
      <c r="E37" s="270">
        <f>ROUND((2002.89*0.62),2)</f>
        <v>1241.79</v>
      </c>
      <c r="G37" s="203"/>
    </row>
    <row r="38" spans="1:11" ht="31.5" customHeight="1" x14ac:dyDescent="0.25">
      <c r="A38" s="4">
        <v>2223</v>
      </c>
      <c r="B38" s="4" t="s">
        <v>19</v>
      </c>
      <c r="C38" s="176" t="s">
        <v>1155</v>
      </c>
      <c r="D38" s="270">
        <f>ROUND((E38/894),2)</f>
        <v>5.15</v>
      </c>
      <c r="E38" s="270">
        <f>ROUND((7430.68*0.62),2)</f>
        <v>4607.0200000000004</v>
      </c>
      <c r="G38" s="203"/>
    </row>
    <row r="39" spans="1:11" ht="94.5" x14ac:dyDescent="0.25">
      <c r="A39" s="4">
        <v>2224</v>
      </c>
      <c r="B39" s="5" t="s">
        <v>62</v>
      </c>
      <c r="C39" s="176" t="s">
        <v>1156</v>
      </c>
      <c r="D39" s="270">
        <f>ROUND((E39/894),2)</f>
        <v>0.23</v>
      </c>
      <c r="E39" s="270">
        <f>ROUND((329.82*0.62),2)</f>
        <v>204.49</v>
      </c>
      <c r="G39" s="203"/>
    </row>
    <row r="40" spans="1:11" ht="15.75" x14ac:dyDescent="0.25">
      <c r="A40" s="171"/>
      <c r="B40" s="9" t="s">
        <v>23</v>
      </c>
      <c r="C40" s="264"/>
      <c r="D40" s="268">
        <f>SUM(D22+D35)</f>
        <v>20.350000000000001</v>
      </c>
      <c r="E40" s="268">
        <f>SUM(E22+E35)</f>
        <v>18199.27</v>
      </c>
      <c r="G40" s="203"/>
    </row>
    <row r="41" spans="1:11" ht="31.5" x14ac:dyDescent="0.25">
      <c r="A41" s="172"/>
      <c r="B41" s="11" t="s">
        <v>28</v>
      </c>
      <c r="C41" s="264"/>
      <c r="D41" s="276">
        <f>D20+D40</f>
        <v>27.39</v>
      </c>
      <c r="E41" s="276">
        <f>E20+E40</f>
        <v>24487.553</v>
      </c>
    </row>
    <row r="42" spans="1:11" ht="15.75" x14ac:dyDescent="0.25">
      <c r="A42" s="172"/>
      <c r="B42" s="13" t="s">
        <v>29</v>
      </c>
      <c r="C42" s="264"/>
      <c r="D42" s="276">
        <f>D41*0.21</f>
        <v>5.7519</v>
      </c>
      <c r="E42" s="276">
        <f>E41*0.21</f>
        <v>5142.3861299999999</v>
      </c>
    </row>
    <row r="43" spans="1:11" ht="31.5" x14ac:dyDescent="0.25">
      <c r="A43" s="6"/>
      <c r="B43" s="179" t="s">
        <v>30</v>
      </c>
      <c r="C43" s="180"/>
      <c r="D43" s="277">
        <f>D41*1.21</f>
        <v>33.1419</v>
      </c>
      <c r="E43" s="277">
        <f>E41*1.21</f>
        <v>29629.939129999999</v>
      </c>
      <c r="K43" s="40"/>
    </row>
    <row r="44" spans="1:11" ht="17.100000000000001" customHeight="1" x14ac:dyDescent="0.25">
      <c r="A44" s="360" t="s">
        <v>43</v>
      </c>
      <c r="B44" s="360"/>
      <c r="C44" s="360"/>
      <c r="D44" s="8">
        <v>894</v>
      </c>
      <c r="E44" s="8" t="s">
        <v>196</v>
      </c>
    </row>
    <row r="45" spans="1:11" ht="31.5" customHeight="1" x14ac:dyDescent="0.25">
      <c r="A45" s="351" t="s">
        <v>65</v>
      </c>
      <c r="B45" s="351"/>
      <c r="C45" s="351"/>
      <c r="D45" s="183">
        <f>E43/894</f>
        <v>33.14310864653244</v>
      </c>
      <c r="E45" s="8" t="s">
        <v>307</v>
      </c>
    </row>
    <row r="47" spans="1:11" x14ac:dyDescent="0.25">
      <c r="E47" s="14"/>
    </row>
  </sheetData>
  <mergeCells count="8">
    <mergeCell ref="A44:C44"/>
    <mergeCell ref="A45:C45"/>
    <mergeCell ref="A1:C1"/>
    <mergeCell ref="A4:B4"/>
    <mergeCell ref="A2:C2"/>
    <mergeCell ref="A3:C3"/>
    <mergeCell ref="A25:A33"/>
    <mergeCell ref="B25:B33"/>
  </mergeCells>
  <pageMargins left="0.7" right="0.7" top="0.75" bottom="0.75" header="0.3" footer="0.3"/>
  <pageSetup paperSize="9" orientation="landscape" r:id="rId1"/>
  <rowBreaks count="2" manualBreakCount="2">
    <brk id="24" max="16383" man="1"/>
    <brk id="29" max="16383" man="1"/>
  </rowBreaks>
  <ignoredErrors>
    <ignoredError sqref="D18 D35:E35 D16"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72AC8-DB2C-45D5-9AC2-D3775BA37470}">
  <dimension ref="A1:G45"/>
  <sheetViews>
    <sheetView zoomScaleNormal="100" workbookViewId="0">
      <selection activeCell="A3" sqref="A3:C3"/>
    </sheetView>
  </sheetViews>
  <sheetFormatPr defaultRowHeight="15" x14ac:dyDescent="0.25"/>
  <cols>
    <col min="1" max="1" width="12.7109375" customWidth="1"/>
    <col min="2" max="2" width="24.42578125" customWidth="1"/>
    <col min="3" max="3" width="67.140625" customWidth="1"/>
    <col min="4" max="4" width="9.42578125" customWidth="1"/>
    <col min="5" max="5" width="17.42578125" customWidth="1"/>
  </cols>
  <sheetData>
    <row r="1" spans="1:5" s="155" customFormat="1" ht="18.75" x14ac:dyDescent="0.3">
      <c r="A1" s="358" t="s">
        <v>178</v>
      </c>
      <c r="B1" s="358"/>
      <c r="C1" s="358"/>
    </row>
    <row r="2" spans="1:5" ht="18.75" x14ac:dyDescent="0.3">
      <c r="A2" s="358" t="s">
        <v>40</v>
      </c>
      <c r="B2" s="358"/>
      <c r="C2" s="358"/>
    </row>
    <row r="3" spans="1:5" ht="18.75" x14ac:dyDescent="0.25">
      <c r="A3" s="352" t="s">
        <v>1580</v>
      </c>
      <c r="B3" s="352"/>
      <c r="C3" s="352"/>
    </row>
    <row r="4" spans="1:5" ht="15.75" x14ac:dyDescent="0.25">
      <c r="A4" s="359" t="s">
        <v>74</v>
      </c>
      <c r="B4" s="359"/>
    </row>
    <row r="6" spans="1:5" ht="77.25" customHeight="1" x14ac:dyDescent="0.25">
      <c r="A6" s="149" t="s">
        <v>0</v>
      </c>
      <c r="B6" s="149" t="s">
        <v>1</v>
      </c>
      <c r="C6" s="149" t="s">
        <v>2</v>
      </c>
      <c r="D6" s="162" t="s">
        <v>26</v>
      </c>
      <c r="E6" s="162" t="s">
        <v>27</v>
      </c>
    </row>
    <row r="7" spans="1:5" ht="15.75" x14ac:dyDescent="0.25">
      <c r="A7" s="34">
        <v>1</v>
      </c>
      <c r="B7" s="34">
        <v>2</v>
      </c>
      <c r="C7" s="34">
        <v>3</v>
      </c>
      <c r="D7" s="28">
        <v>4</v>
      </c>
      <c r="E7" s="28">
        <v>5</v>
      </c>
    </row>
    <row r="8" spans="1:5" ht="15.75" x14ac:dyDescent="0.25">
      <c r="A8" s="4"/>
      <c r="B8" s="7" t="s">
        <v>7</v>
      </c>
      <c r="C8" s="34" t="s">
        <v>8</v>
      </c>
      <c r="D8" s="23"/>
      <c r="E8" s="23"/>
    </row>
    <row r="9" spans="1:5" ht="15.75" x14ac:dyDescent="0.25">
      <c r="A9" s="8">
        <v>1000</v>
      </c>
      <c r="B9" s="7" t="s">
        <v>9</v>
      </c>
      <c r="C9" s="34"/>
      <c r="D9" s="44">
        <f>D10+D15</f>
        <v>5.57</v>
      </c>
      <c r="E9" s="44">
        <f>E10+E15</f>
        <v>133.67500000000001</v>
      </c>
    </row>
    <row r="10" spans="1:5" ht="15.75" x14ac:dyDescent="0.25">
      <c r="A10" s="280">
        <v>1100</v>
      </c>
      <c r="B10" s="280" t="s">
        <v>10</v>
      </c>
      <c r="C10" s="147"/>
      <c r="D10" s="279">
        <f>D11+D14</f>
        <v>4.34</v>
      </c>
      <c r="E10" s="279">
        <f>E11+E14</f>
        <v>104.32500000000002</v>
      </c>
    </row>
    <row r="11" spans="1:5" ht="15.75" x14ac:dyDescent="0.25">
      <c r="A11" s="16">
        <v>1110</v>
      </c>
      <c r="B11" s="16" t="s">
        <v>240</v>
      </c>
      <c r="C11" s="147" t="s">
        <v>262</v>
      </c>
      <c r="D11" s="114">
        <f>D12+D13</f>
        <v>3.95</v>
      </c>
      <c r="E11" s="114">
        <f>E12+E13</f>
        <v>94.850000000000009</v>
      </c>
    </row>
    <row r="12" spans="1:5" ht="78.75" customHeight="1" x14ac:dyDescent="0.25">
      <c r="A12" s="136"/>
      <c r="B12" s="139"/>
      <c r="C12" s="152" t="s">
        <v>287</v>
      </c>
      <c r="D12" s="148">
        <f>ROUND((E12/24),2)</f>
        <v>0.14000000000000001</v>
      </c>
      <c r="E12" s="45">
        <f>ROUND((16.77*12*0.017),2)</f>
        <v>3.42</v>
      </c>
    </row>
    <row r="13" spans="1:5" ht="78" customHeight="1" x14ac:dyDescent="0.25">
      <c r="A13" s="239"/>
      <c r="B13" s="240"/>
      <c r="C13" s="152" t="s">
        <v>1451</v>
      </c>
      <c r="D13" s="148">
        <f>ROUND((E13/24),2)</f>
        <v>3.81</v>
      </c>
      <c r="E13" s="45">
        <f>ROUND((448.18*12*0.017),2)</f>
        <v>91.43</v>
      </c>
    </row>
    <row r="14" spans="1:5" ht="47.25" x14ac:dyDescent="0.25">
      <c r="A14" s="131">
        <v>1140</v>
      </c>
      <c r="B14" s="5" t="s">
        <v>237</v>
      </c>
      <c r="C14" s="152" t="s">
        <v>274</v>
      </c>
      <c r="D14" s="148">
        <f>ROUND((E14/24),2)</f>
        <v>0.39</v>
      </c>
      <c r="E14" s="45">
        <f>3.42*0.1+91.43*0.1-0.01</f>
        <v>9.4750000000000014</v>
      </c>
    </row>
    <row r="15" spans="1:5" ht="78.75" x14ac:dyDescent="0.25">
      <c r="A15" s="166">
        <v>1200</v>
      </c>
      <c r="B15" s="166" t="s">
        <v>11</v>
      </c>
      <c r="C15" s="176" t="s">
        <v>276</v>
      </c>
      <c r="D15" s="266">
        <f>D16+D17</f>
        <v>1.23</v>
      </c>
      <c r="E15" s="266">
        <f>ROUND((E16+E17),2)</f>
        <v>29.35</v>
      </c>
    </row>
    <row r="16" spans="1:5" ht="47.25" x14ac:dyDescent="0.25">
      <c r="A16" s="4">
        <v>1210</v>
      </c>
      <c r="B16" s="5" t="s">
        <v>239</v>
      </c>
      <c r="C16" s="176" t="s">
        <v>1125</v>
      </c>
      <c r="D16" s="148">
        <f>ROUND((E16/24),2)</f>
        <v>1.03</v>
      </c>
      <c r="E16" s="148">
        <f>ROUND((104.33*0.2359),2)</f>
        <v>24.61</v>
      </c>
    </row>
    <row r="17" spans="1:5" ht="63" x14ac:dyDescent="0.25">
      <c r="A17" s="4">
        <v>1227</v>
      </c>
      <c r="B17" s="5" t="s">
        <v>238</v>
      </c>
      <c r="C17" s="176" t="s">
        <v>275</v>
      </c>
      <c r="D17" s="148">
        <f>ROUND((E17/24),2)</f>
        <v>0.2</v>
      </c>
      <c r="E17" s="148">
        <f>3.42*0.05+91.43*0.05</f>
        <v>4.7425000000000006</v>
      </c>
    </row>
    <row r="18" spans="1:5" ht="15.75" x14ac:dyDescent="0.25">
      <c r="A18" s="8">
        <v>2000</v>
      </c>
      <c r="B18" s="7" t="s">
        <v>12</v>
      </c>
      <c r="C18" s="34"/>
      <c r="D18" s="44">
        <f>D19</f>
        <v>2.41</v>
      </c>
      <c r="E18" s="44">
        <f>E19</f>
        <v>57.84</v>
      </c>
    </row>
    <row r="19" spans="1:5" ht="47.25" x14ac:dyDescent="0.25">
      <c r="A19" s="4">
        <v>2222</v>
      </c>
      <c r="B19" s="5" t="s">
        <v>61</v>
      </c>
      <c r="C19" s="121" t="s">
        <v>1126</v>
      </c>
      <c r="D19" s="45">
        <f>ROUND((E19/24),2)</f>
        <v>2.41</v>
      </c>
      <c r="E19" s="45">
        <f>ROUND((2.41*24),2)</f>
        <v>57.84</v>
      </c>
    </row>
    <row r="20" spans="1:5" ht="15.75" x14ac:dyDescent="0.25">
      <c r="A20" s="4"/>
      <c r="B20" s="9" t="s">
        <v>14</v>
      </c>
      <c r="C20" s="35" t="s">
        <v>16</v>
      </c>
      <c r="D20" s="44">
        <f>SUM(D9+D18)</f>
        <v>7.98</v>
      </c>
      <c r="E20" s="44">
        <f>SUM(E9+E18)</f>
        <v>191.51500000000001</v>
      </c>
    </row>
    <row r="21" spans="1:5" ht="15.75" x14ac:dyDescent="0.25">
      <c r="A21" s="4"/>
      <c r="B21" s="9" t="s">
        <v>15</v>
      </c>
      <c r="C21" s="34" t="s">
        <v>8</v>
      </c>
      <c r="D21" s="43"/>
      <c r="E21" s="43"/>
    </row>
    <row r="22" spans="1:5" ht="15.75" x14ac:dyDescent="0.25">
      <c r="A22" s="8">
        <v>1000</v>
      </c>
      <c r="B22" s="7" t="s">
        <v>9</v>
      </c>
      <c r="C22" s="34"/>
      <c r="D22" s="44">
        <f>SUM(D23+D34)</f>
        <v>3.23</v>
      </c>
      <c r="E22" s="44">
        <f>SUM(E23+E34)</f>
        <v>77.489999999999995</v>
      </c>
    </row>
    <row r="23" spans="1:5" ht="15.6" customHeight="1" x14ac:dyDescent="0.25">
      <c r="A23" s="4">
        <v>1100</v>
      </c>
      <c r="B23" s="4" t="s">
        <v>10</v>
      </c>
      <c r="C23" s="278" t="s">
        <v>267</v>
      </c>
      <c r="D23" s="44">
        <f>SUM(D24:D33)</f>
        <v>2.61</v>
      </c>
      <c r="E23" s="44">
        <f>SUM(E24:E33)</f>
        <v>62.699999999999996</v>
      </c>
    </row>
    <row r="24" spans="1:5" ht="78" customHeight="1" x14ac:dyDescent="0.25">
      <c r="A24" s="231"/>
      <c r="B24" s="232"/>
      <c r="C24" s="37" t="s">
        <v>1127</v>
      </c>
      <c r="D24" s="45">
        <f t="shared" ref="D24:D32" si="0">ROUND((E24/24),2)</f>
        <v>0.03</v>
      </c>
      <c r="E24" s="45">
        <f>ROUND((3.71*12*0.017),2)</f>
        <v>0.76</v>
      </c>
    </row>
    <row r="25" spans="1:5" ht="78.75" x14ac:dyDescent="0.25">
      <c r="A25" s="355"/>
      <c r="B25" s="353"/>
      <c r="C25" s="152" t="s">
        <v>1128</v>
      </c>
      <c r="D25" s="45">
        <f t="shared" si="0"/>
        <v>0.02</v>
      </c>
      <c r="E25" s="45">
        <f>ROUND((2.5*12*0.017),2)</f>
        <v>0.51</v>
      </c>
    </row>
    <row r="26" spans="1:5" ht="78.599999999999994" customHeight="1" x14ac:dyDescent="0.25">
      <c r="A26" s="355"/>
      <c r="B26" s="353"/>
      <c r="C26" s="152" t="s">
        <v>1129</v>
      </c>
      <c r="D26" s="45">
        <f t="shared" si="0"/>
        <v>0.03</v>
      </c>
      <c r="E26" s="45">
        <f>ROUND((3.7*12*0.017),2)</f>
        <v>0.75</v>
      </c>
    </row>
    <row r="27" spans="1:5" ht="78" customHeight="1" x14ac:dyDescent="0.25">
      <c r="A27" s="355"/>
      <c r="B27" s="353"/>
      <c r="C27" s="152" t="s">
        <v>1130</v>
      </c>
      <c r="D27" s="45">
        <f t="shared" si="0"/>
        <v>0.04</v>
      </c>
      <c r="E27" s="45">
        <f>ROUND((4.96*12*0.017),2)</f>
        <v>1.01</v>
      </c>
    </row>
    <row r="28" spans="1:5" ht="77.45" customHeight="1" x14ac:dyDescent="0.25">
      <c r="A28" s="355"/>
      <c r="B28" s="353"/>
      <c r="C28" s="37" t="s">
        <v>1131</v>
      </c>
      <c r="D28" s="45">
        <f t="shared" si="0"/>
        <v>0.02</v>
      </c>
      <c r="E28" s="45">
        <f>ROUND((2.66*12*0.017),2)</f>
        <v>0.54</v>
      </c>
    </row>
    <row r="29" spans="1:5" ht="78" customHeight="1" x14ac:dyDescent="0.25">
      <c r="A29" s="355"/>
      <c r="B29" s="353"/>
      <c r="C29" s="37" t="s">
        <v>1132</v>
      </c>
      <c r="D29" s="45">
        <f t="shared" si="0"/>
        <v>0.64</v>
      </c>
      <c r="E29" s="45">
        <f>ROUND((75.79*12*0.017),2)</f>
        <v>15.46</v>
      </c>
    </row>
    <row r="30" spans="1:5" ht="78" customHeight="1" x14ac:dyDescent="0.25">
      <c r="A30" s="355"/>
      <c r="B30" s="353"/>
      <c r="C30" s="37" t="s">
        <v>1133</v>
      </c>
      <c r="D30" s="45">
        <f t="shared" si="0"/>
        <v>0.57999999999999996</v>
      </c>
      <c r="E30" s="45">
        <f>ROUND((67.96*12*0.017),2)</f>
        <v>13.86</v>
      </c>
    </row>
    <row r="31" spans="1:5" ht="78" customHeight="1" x14ac:dyDescent="0.25">
      <c r="A31" s="355"/>
      <c r="B31" s="353"/>
      <c r="C31" s="37" t="s">
        <v>1134</v>
      </c>
      <c r="D31" s="45">
        <f t="shared" si="0"/>
        <v>0.91</v>
      </c>
      <c r="E31" s="45">
        <f>ROUND((106.86*12*0.017),2)</f>
        <v>21.8</v>
      </c>
    </row>
    <row r="32" spans="1:5" ht="93.95" customHeight="1" x14ac:dyDescent="0.25">
      <c r="A32" s="355"/>
      <c r="B32" s="353"/>
      <c r="C32" s="152" t="s">
        <v>1135</v>
      </c>
      <c r="D32" s="45">
        <f t="shared" si="0"/>
        <v>0.27</v>
      </c>
      <c r="E32" s="45">
        <f>ROUND((31.16*12*0.017),2)</f>
        <v>6.36</v>
      </c>
    </row>
    <row r="33" spans="1:7" ht="78.95" customHeight="1" x14ac:dyDescent="0.25">
      <c r="A33" s="356"/>
      <c r="B33" s="354"/>
      <c r="C33" s="37" t="s">
        <v>1136</v>
      </c>
      <c r="D33" s="45">
        <f>ROUND((E33/24),2)</f>
        <v>7.0000000000000007E-2</v>
      </c>
      <c r="E33" s="45">
        <f>ROUND((8.09*12*0.017),2)</f>
        <v>1.65</v>
      </c>
      <c r="G33" s="87"/>
    </row>
    <row r="34" spans="1:7" ht="78.75" x14ac:dyDescent="0.25">
      <c r="A34" s="324">
        <v>1200</v>
      </c>
      <c r="B34" s="325" t="s">
        <v>11</v>
      </c>
      <c r="C34" s="121" t="s">
        <v>1137</v>
      </c>
      <c r="D34" s="92">
        <f>ROUND((E34/24),2)</f>
        <v>0.62</v>
      </c>
      <c r="E34" s="92">
        <f>ROUND((62.7*0.2359),2)</f>
        <v>14.79</v>
      </c>
    </row>
    <row r="35" spans="1:7" ht="15.75" x14ac:dyDescent="0.25">
      <c r="A35" s="8">
        <v>2000</v>
      </c>
      <c r="B35" s="7" t="s">
        <v>12</v>
      </c>
      <c r="C35" s="34"/>
      <c r="D35" s="44">
        <f>SUM(D36:D39)</f>
        <v>17.559999999999999</v>
      </c>
      <c r="E35" s="44">
        <f>SUM(E36:E39)</f>
        <v>421.51</v>
      </c>
    </row>
    <row r="36" spans="1:7" ht="31.5" x14ac:dyDescent="0.25">
      <c r="A36" s="4">
        <v>2221</v>
      </c>
      <c r="B36" s="5" t="s">
        <v>60</v>
      </c>
      <c r="C36" s="176" t="s">
        <v>1138</v>
      </c>
      <c r="D36" s="45">
        <f>ROUND((E36/24),2)</f>
        <v>10.65</v>
      </c>
      <c r="E36" s="45">
        <f>ROUND((15031.44*0.017),2)</f>
        <v>255.53</v>
      </c>
    </row>
    <row r="37" spans="1:7" ht="31.5" x14ac:dyDescent="0.25">
      <c r="A37" s="4">
        <v>2222</v>
      </c>
      <c r="B37" s="5" t="s">
        <v>61</v>
      </c>
      <c r="C37" s="176" t="s">
        <v>1139</v>
      </c>
      <c r="D37" s="45">
        <f>ROUND((E37/24),2)</f>
        <v>1.42</v>
      </c>
      <c r="E37" s="45">
        <f>ROUND((2002.89*0.017),2)</f>
        <v>34.049999999999997</v>
      </c>
    </row>
    <row r="38" spans="1:7" ht="31.5" x14ac:dyDescent="0.25">
      <c r="A38" s="4">
        <v>2223</v>
      </c>
      <c r="B38" s="5" t="s">
        <v>19</v>
      </c>
      <c r="C38" s="176" t="s">
        <v>1140</v>
      </c>
      <c r="D38" s="45">
        <f>ROUND((E38/24),2)</f>
        <v>5.26</v>
      </c>
      <c r="E38" s="45">
        <f>ROUND((7430.68*0.017),2)</f>
        <v>126.32</v>
      </c>
    </row>
    <row r="39" spans="1:7" ht="94.5" x14ac:dyDescent="0.25">
      <c r="A39" s="4">
        <v>2224</v>
      </c>
      <c r="B39" s="5" t="s">
        <v>62</v>
      </c>
      <c r="C39" s="38" t="s">
        <v>1141</v>
      </c>
      <c r="D39" s="45">
        <f>ROUND((E39/24),2)</f>
        <v>0.23</v>
      </c>
      <c r="E39" s="45">
        <f>ROUND((329.82*0.017),2)</f>
        <v>5.61</v>
      </c>
    </row>
    <row r="40" spans="1:7" ht="31.5" x14ac:dyDescent="0.25">
      <c r="A40" s="171"/>
      <c r="B40" s="9" t="s">
        <v>23</v>
      </c>
      <c r="C40" s="34"/>
      <c r="D40" s="44">
        <f>SUM(D22+D35)</f>
        <v>20.79</v>
      </c>
      <c r="E40" s="44">
        <f>SUM(E22+E35)</f>
        <v>499</v>
      </c>
    </row>
    <row r="41" spans="1:7" ht="31.5" x14ac:dyDescent="0.25">
      <c r="A41" s="172"/>
      <c r="B41" s="11" t="s">
        <v>28</v>
      </c>
      <c r="C41" s="34"/>
      <c r="D41" s="93">
        <f>D20+D40</f>
        <v>28.77</v>
      </c>
      <c r="E41" s="93">
        <f>E20+E40</f>
        <v>690.51499999999999</v>
      </c>
    </row>
    <row r="42" spans="1:7" ht="15.75" x14ac:dyDescent="0.25">
      <c r="A42" s="172"/>
      <c r="B42" s="13" t="s">
        <v>29</v>
      </c>
      <c r="C42" s="34"/>
      <c r="D42" s="93">
        <f>D41*0.21</f>
        <v>6.0416999999999996</v>
      </c>
      <c r="E42" s="93">
        <f>E41*0.21</f>
        <v>145.00815</v>
      </c>
    </row>
    <row r="43" spans="1:7" ht="15.6" customHeight="1" x14ac:dyDescent="0.25">
      <c r="A43" s="6"/>
      <c r="B43" s="179" t="s">
        <v>30</v>
      </c>
      <c r="C43" s="180"/>
      <c r="D43" s="189">
        <f>D41*1.21</f>
        <v>34.811700000000002</v>
      </c>
      <c r="E43" s="189">
        <f>E41*1.21</f>
        <v>835.52314999999999</v>
      </c>
    </row>
    <row r="44" spans="1:7" ht="15.75" x14ac:dyDescent="0.25">
      <c r="A44" s="360" t="s">
        <v>73</v>
      </c>
      <c r="B44" s="360"/>
      <c r="C44" s="360"/>
      <c r="D44" s="8">
        <v>24</v>
      </c>
      <c r="E44" s="8" t="s">
        <v>196</v>
      </c>
    </row>
    <row r="45" spans="1:7" ht="30.95" customHeight="1" x14ac:dyDescent="0.25">
      <c r="A45" s="351" t="s">
        <v>65</v>
      </c>
      <c r="B45" s="351"/>
      <c r="C45" s="351"/>
      <c r="D45" s="183">
        <f>E43/D44</f>
        <v>34.813464583333335</v>
      </c>
      <c r="E45" s="8" t="s">
        <v>307</v>
      </c>
    </row>
  </sheetData>
  <mergeCells count="8">
    <mergeCell ref="A44:C44"/>
    <mergeCell ref="A45:C45"/>
    <mergeCell ref="A1:C1"/>
    <mergeCell ref="A4:B4"/>
    <mergeCell ref="A2:C2"/>
    <mergeCell ref="A3:C3"/>
    <mergeCell ref="A25:A33"/>
    <mergeCell ref="B25:B33"/>
  </mergeCells>
  <pageMargins left="0.7" right="0.7" top="0.75" bottom="0.75" header="0.3" footer="0.3"/>
  <pageSetup paperSize="9" orientation="landscape" r:id="rId1"/>
  <rowBreaks count="2" manualBreakCount="2">
    <brk id="24" max="16383" man="1"/>
    <brk id="29" max="16383" man="1"/>
  </rowBreaks>
  <ignoredErrors>
    <ignoredError sqref="D15"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93D23-8B3B-4DBB-8362-29151ED22539}">
  <dimension ref="A1:I61"/>
  <sheetViews>
    <sheetView topLeftCell="A37" zoomScaleNormal="100" workbookViewId="0">
      <selection activeCell="C24" sqref="C24"/>
    </sheetView>
  </sheetViews>
  <sheetFormatPr defaultRowHeight="15" x14ac:dyDescent="0.25"/>
  <cols>
    <col min="1" max="1" width="12" customWidth="1"/>
    <col min="2" max="2" width="27.140625" customWidth="1"/>
    <col min="3" max="3" width="64.140625" customWidth="1"/>
    <col min="4" max="4" width="11.42578125" customWidth="1"/>
    <col min="5" max="5" width="18.140625" customWidth="1"/>
    <col min="8" max="8" width="8" customWidth="1"/>
    <col min="9" max="9" width="9.85546875" customWidth="1"/>
  </cols>
  <sheetData>
    <row r="1" spans="1:7" ht="18.75" x14ac:dyDescent="0.3">
      <c r="A1" s="358" t="s">
        <v>178</v>
      </c>
      <c r="B1" s="358"/>
      <c r="C1" s="358"/>
    </row>
    <row r="2" spans="1:7" s="15" customFormat="1" ht="20.100000000000001" customHeight="1" x14ac:dyDescent="0.25">
      <c r="A2" s="361" t="s">
        <v>37</v>
      </c>
      <c r="B2" s="361"/>
      <c r="C2" s="361"/>
      <c r="D2" s="361"/>
    </row>
    <row r="3" spans="1:7" ht="18.75" x14ac:dyDescent="0.3">
      <c r="A3" s="158" t="s">
        <v>48</v>
      </c>
      <c r="B3" s="155"/>
      <c r="C3" s="155"/>
    </row>
    <row r="4" spans="1:7" ht="17.45" customHeight="1" x14ac:dyDescent="0.25">
      <c r="A4" s="359" t="s">
        <v>74</v>
      </c>
      <c r="B4" s="359"/>
    </row>
    <row r="5" spans="1:7" ht="15.75" customHeight="1" x14ac:dyDescent="0.3">
      <c r="A5" s="56"/>
    </row>
    <row r="6" spans="1:7" ht="74.25" customHeight="1" x14ac:dyDescent="0.25">
      <c r="A6" s="5" t="s">
        <v>0</v>
      </c>
      <c r="B6" s="5" t="s">
        <v>1</v>
      </c>
      <c r="C6" s="118" t="s">
        <v>2</v>
      </c>
      <c r="D6" s="162" t="s">
        <v>26</v>
      </c>
      <c r="E6" s="12" t="s">
        <v>27</v>
      </c>
    </row>
    <row r="7" spans="1:7" ht="15.75" x14ac:dyDescent="0.25">
      <c r="A7" s="284">
        <v>1</v>
      </c>
      <c r="B7" s="284">
        <v>2</v>
      </c>
      <c r="C7" s="284">
        <v>3</v>
      </c>
      <c r="D7" s="28">
        <v>4</v>
      </c>
      <c r="E7" s="28">
        <v>5</v>
      </c>
    </row>
    <row r="8" spans="1:7" ht="15.75" x14ac:dyDescent="0.25">
      <c r="A8" s="4"/>
      <c r="B8" s="7" t="s">
        <v>7</v>
      </c>
      <c r="C8" s="284" t="s">
        <v>8</v>
      </c>
      <c r="D8" s="23"/>
      <c r="E8" s="23"/>
    </row>
    <row r="9" spans="1:7" ht="15.75" x14ac:dyDescent="0.25">
      <c r="A9" s="8">
        <v>1000</v>
      </c>
      <c r="B9" s="7" t="s">
        <v>9</v>
      </c>
      <c r="C9" s="284"/>
      <c r="D9" s="44">
        <f>D10+D14</f>
        <v>0.73</v>
      </c>
      <c r="E9" s="44">
        <f>E10+E14</f>
        <v>117.70450000000001</v>
      </c>
    </row>
    <row r="10" spans="1:7" ht="15.75" x14ac:dyDescent="0.25">
      <c r="A10" s="280">
        <v>1100</v>
      </c>
      <c r="B10" s="280" t="s">
        <v>10</v>
      </c>
      <c r="C10" s="147"/>
      <c r="D10" s="44">
        <f>D12+D13</f>
        <v>0.66999999999999993</v>
      </c>
      <c r="E10" s="44">
        <f>E12+E13</f>
        <v>107.44800000000001</v>
      </c>
    </row>
    <row r="11" spans="1:7" ht="15.75" x14ac:dyDescent="0.25">
      <c r="A11" s="16">
        <v>1110</v>
      </c>
      <c r="B11" s="16" t="s">
        <v>240</v>
      </c>
      <c r="C11" s="147" t="s">
        <v>263</v>
      </c>
      <c r="D11" s="114">
        <f>D12</f>
        <v>0.61</v>
      </c>
      <c r="E11" s="114">
        <f>E12</f>
        <v>97.68</v>
      </c>
    </row>
    <row r="12" spans="1:7" s="15" customFormat="1" ht="63" customHeight="1" x14ac:dyDescent="0.25">
      <c r="A12" s="19"/>
      <c r="B12" s="147"/>
      <c r="C12" s="152" t="s">
        <v>1113</v>
      </c>
      <c r="D12" s="159">
        <f>ROUND((E12/160),2)</f>
        <v>0.61</v>
      </c>
      <c r="E12" s="159">
        <f>8.14*12</f>
        <v>97.68</v>
      </c>
      <c r="F12" s="255"/>
      <c r="G12" s="1"/>
    </row>
    <row r="13" spans="1:7" s="15" customFormat="1" ht="31.5" customHeight="1" x14ac:dyDescent="0.25">
      <c r="A13" s="131">
        <v>1140</v>
      </c>
      <c r="B13" s="5" t="s">
        <v>237</v>
      </c>
      <c r="C13" s="152" t="s">
        <v>279</v>
      </c>
      <c r="D13" s="159">
        <f>ROUND((E13/160),2)</f>
        <v>0.06</v>
      </c>
      <c r="E13" s="159">
        <f>97.68*0.1</f>
        <v>9.7680000000000007</v>
      </c>
    </row>
    <row r="14" spans="1:7" ht="63" customHeight="1" x14ac:dyDescent="0.25">
      <c r="A14" s="166">
        <v>1200</v>
      </c>
      <c r="B14" s="166" t="s">
        <v>11</v>
      </c>
      <c r="C14" s="176" t="s">
        <v>1447</v>
      </c>
      <c r="D14" s="281">
        <f>D15+D16</f>
        <v>0.06</v>
      </c>
      <c r="E14" s="281">
        <f>E15+E16</f>
        <v>10.256500000000001</v>
      </c>
      <c r="F14" s="87"/>
    </row>
    <row r="15" spans="1:7" ht="46.5" customHeight="1" x14ac:dyDescent="0.25">
      <c r="A15" s="4">
        <v>1210</v>
      </c>
      <c r="B15" s="5" t="s">
        <v>239</v>
      </c>
      <c r="C15" s="176" t="s">
        <v>1538</v>
      </c>
      <c r="D15" s="159">
        <f t="shared" ref="D15:D16" si="0">ROUND((E15/160),2)</f>
        <v>0.03</v>
      </c>
      <c r="E15" s="159">
        <f>107.45*0.05</f>
        <v>5.3725000000000005</v>
      </c>
      <c r="F15" s="87"/>
    </row>
    <row r="16" spans="1:7" ht="45.75" customHeight="1" x14ac:dyDescent="0.25">
      <c r="A16" s="4">
        <v>1227</v>
      </c>
      <c r="B16" s="5" t="s">
        <v>238</v>
      </c>
      <c r="C16" s="176" t="s">
        <v>295</v>
      </c>
      <c r="D16" s="159">
        <f t="shared" si="0"/>
        <v>0.03</v>
      </c>
      <c r="E16" s="159">
        <f>97.68*0.05</f>
        <v>4.8840000000000003</v>
      </c>
      <c r="F16" s="87"/>
    </row>
    <row r="17" spans="1:9" ht="15.75" x14ac:dyDescent="0.25">
      <c r="A17" s="4"/>
      <c r="B17" s="9" t="s">
        <v>14</v>
      </c>
      <c r="C17" s="116" t="s">
        <v>16</v>
      </c>
      <c r="D17" s="160">
        <f>SUM(D9)</f>
        <v>0.73</v>
      </c>
      <c r="E17" s="160">
        <f>SUM(E9)</f>
        <v>117.70450000000001</v>
      </c>
    </row>
    <row r="18" spans="1:9" ht="15.75" x14ac:dyDescent="0.25">
      <c r="A18" s="4"/>
      <c r="B18" s="9" t="s">
        <v>15</v>
      </c>
      <c r="C18" s="115" t="s">
        <v>8</v>
      </c>
      <c r="D18" s="161"/>
      <c r="E18" s="161"/>
    </row>
    <row r="19" spans="1:9" ht="15.75" x14ac:dyDescent="0.25">
      <c r="A19" s="8">
        <v>1000</v>
      </c>
      <c r="B19" s="7" t="s">
        <v>9</v>
      </c>
      <c r="C19" s="115" t="s">
        <v>8</v>
      </c>
      <c r="D19" s="160">
        <f>SUM(D20+D31)</f>
        <v>5.59</v>
      </c>
      <c r="E19" s="160">
        <f>SUM(E20+E31)</f>
        <v>894.58999999999992</v>
      </c>
    </row>
    <row r="20" spans="1:9" ht="15.75" x14ac:dyDescent="0.25">
      <c r="A20" s="4">
        <v>1100</v>
      </c>
      <c r="B20" s="4" t="s">
        <v>10</v>
      </c>
      <c r="C20" s="147" t="s">
        <v>267</v>
      </c>
      <c r="D20" s="160">
        <f>SUM(D21:D30)</f>
        <v>4.5199999999999996</v>
      </c>
      <c r="E20" s="160">
        <f>SUM(E21:E30)</f>
        <v>723.83999999999992</v>
      </c>
    </row>
    <row r="21" spans="1:9" ht="62.25" customHeight="1" x14ac:dyDescent="0.25">
      <c r="A21" s="231"/>
      <c r="B21" s="232"/>
      <c r="C21" s="119" t="s">
        <v>281</v>
      </c>
      <c r="D21" s="159">
        <f>ROUND((E21/160),2)</f>
        <v>0.02</v>
      </c>
      <c r="E21" s="159">
        <f>ROUND(0.28*12,2)</f>
        <v>3.36</v>
      </c>
    </row>
    <row r="22" spans="1:9" ht="61.5" customHeight="1" x14ac:dyDescent="0.25">
      <c r="A22" s="233"/>
      <c r="B22" s="234"/>
      <c r="C22" s="119" t="s">
        <v>1448</v>
      </c>
      <c r="D22" s="159">
        <f t="shared" ref="D22:D31" si="1">ROUND((E22/160),2)</f>
        <v>0.01</v>
      </c>
      <c r="E22" s="159">
        <f>ROUND(0.19*12,2)</f>
        <v>2.2799999999999998</v>
      </c>
    </row>
    <row r="23" spans="1:9" ht="61.5" customHeight="1" x14ac:dyDescent="0.25">
      <c r="A23" s="233"/>
      <c r="B23" s="234"/>
      <c r="C23" s="119" t="s">
        <v>282</v>
      </c>
      <c r="D23" s="159">
        <f t="shared" si="1"/>
        <v>0.02</v>
      </c>
      <c r="E23" s="159">
        <f>ROUND(0.28*12,2)</f>
        <v>3.36</v>
      </c>
      <c r="H23" s="20"/>
      <c r="I23" s="20"/>
    </row>
    <row r="24" spans="1:9" ht="63" customHeight="1" x14ac:dyDescent="0.25">
      <c r="A24" s="233"/>
      <c r="B24" s="234"/>
      <c r="C24" s="119" t="s">
        <v>290</v>
      </c>
      <c r="D24" s="159">
        <f t="shared" si="1"/>
        <v>0.03</v>
      </c>
      <c r="E24" s="159">
        <f>ROUND(0.38*12,2)</f>
        <v>4.5599999999999996</v>
      </c>
    </row>
    <row r="25" spans="1:9" ht="63" customHeight="1" x14ac:dyDescent="0.25">
      <c r="A25" s="233"/>
      <c r="B25" s="234"/>
      <c r="C25" s="119" t="s">
        <v>283</v>
      </c>
      <c r="D25" s="159">
        <f t="shared" si="1"/>
        <v>0.01</v>
      </c>
      <c r="E25" s="159">
        <f>ROUND(0.19*12,2)</f>
        <v>2.2799999999999998</v>
      </c>
    </row>
    <row r="26" spans="1:9" ht="63.75" customHeight="1" x14ac:dyDescent="0.25">
      <c r="A26" s="233"/>
      <c r="B26" s="234"/>
      <c r="C26" s="152" t="s">
        <v>291</v>
      </c>
      <c r="D26" s="159">
        <f t="shared" si="1"/>
        <v>1.96</v>
      </c>
      <c r="E26" s="159">
        <f>ROUND(26.14*12,2)</f>
        <v>313.68</v>
      </c>
      <c r="F26" s="282"/>
      <c r="G26" s="155"/>
      <c r="H26" s="258"/>
      <c r="I26" s="258"/>
    </row>
    <row r="27" spans="1:9" ht="63" customHeight="1" x14ac:dyDescent="0.25">
      <c r="A27" s="233"/>
      <c r="B27" s="234"/>
      <c r="C27" s="152" t="s">
        <v>285</v>
      </c>
      <c r="D27" s="159">
        <f>ROUND((E27/160),2)</f>
        <v>1.39</v>
      </c>
      <c r="E27" s="159">
        <f>ROUND(18.49*12,2)</f>
        <v>221.88</v>
      </c>
    </row>
    <row r="28" spans="1:9" ht="63" customHeight="1" x14ac:dyDescent="0.25">
      <c r="A28" s="233"/>
      <c r="B28" s="234"/>
      <c r="C28" s="152" t="s">
        <v>284</v>
      </c>
      <c r="D28" s="159">
        <f>ROUND((E28/160),2)</f>
        <v>0.88</v>
      </c>
      <c r="E28" s="159">
        <f>ROUND(11.75*12,2)</f>
        <v>141</v>
      </c>
      <c r="G28" s="87"/>
      <c r="I28" s="40"/>
    </row>
    <row r="29" spans="1:9" ht="78" customHeight="1" x14ac:dyDescent="0.25">
      <c r="A29" s="233"/>
      <c r="B29" s="234"/>
      <c r="C29" s="152" t="s">
        <v>286</v>
      </c>
      <c r="D29" s="159">
        <f t="shared" si="1"/>
        <v>0.15</v>
      </c>
      <c r="E29" s="159">
        <f>ROUND(1.95*12,2)</f>
        <v>23.4</v>
      </c>
    </row>
    <row r="30" spans="1:9" ht="63" customHeight="1" x14ac:dyDescent="0.25">
      <c r="A30" s="235"/>
      <c r="B30" s="236"/>
      <c r="C30" s="152" t="s">
        <v>292</v>
      </c>
      <c r="D30" s="159">
        <f t="shared" si="1"/>
        <v>0.05</v>
      </c>
      <c r="E30" s="159">
        <f>ROUND(0.67*12,2)</f>
        <v>8.0399999999999991</v>
      </c>
    </row>
    <row r="31" spans="1:9" ht="63" x14ac:dyDescent="0.25">
      <c r="A31" s="7">
        <v>1200</v>
      </c>
      <c r="B31" s="166" t="s">
        <v>11</v>
      </c>
      <c r="C31" s="176" t="s">
        <v>1449</v>
      </c>
      <c r="D31" s="281">
        <f t="shared" si="1"/>
        <v>1.07</v>
      </c>
      <c r="E31" s="281">
        <f>ROUND((723.84*0.2359),2)</f>
        <v>170.75</v>
      </c>
    </row>
    <row r="32" spans="1:9" ht="15.75" x14ac:dyDescent="0.25">
      <c r="A32" s="8">
        <v>2000</v>
      </c>
      <c r="B32" s="7" t="s">
        <v>12</v>
      </c>
      <c r="C32" s="259"/>
      <c r="D32" s="160">
        <f>SUM(D33:D39)</f>
        <v>12.05</v>
      </c>
      <c r="E32" s="160">
        <f>SUM(E33:E39)</f>
        <v>1926.18</v>
      </c>
    </row>
    <row r="33" spans="1:5" ht="32.25" customHeight="1" x14ac:dyDescent="0.25">
      <c r="A33" s="4">
        <v>2221</v>
      </c>
      <c r="B33" s="121" t="s">
        <v>60</v>
      </c>
      <c r="C33" s="176" t="s">
        <v>1115</v>
      </c>
      <c r="D33" s="159">
        <f>ROUND((E33/160),2)</f>
        <v>4.5199999999999996</v>
      </c>
      <c r="E33" s="159">
        <f>ROUND((34405.65*0.021),2)</f>
        <v>722.52</v>
      </c>
    </row>
    <row r="34" spans="1:5" ht="31.5" x14ac:dyDescent="0.25">
      <c r="A34" s="4">
        <v>2222</v>
      </c>
      <c r="B34" s="5" t="s">
        <v>61</v>
      </c>
      <c r="C34" s="134" t="s">
        <v>1116</v>
      </c>
      <c r="D34" s="159">
        <f t="shared" ref="D34:D39" si="2">ROUND((E34/160),2)</f>
        <v>3.64</v>
      </c>
      <c r="E34" s="159">
        <f>ROUND((27713.15*0.021),2)</f>
        <v>581.98</v>
      </c>
    </row>
    <row r="35" spans="1:5" ht="32.25" customHeight="1" x14ac:dyDescent="0.25">
      <c r="A35" s="4">
        <v>2223</v>
      </c>
      <c r="B35" s="5" t="s">
        <v>19</v>
      </c>
      <c r="C35" s="5" t="s">
        <v>1114</v>
      </c>
      <c r="D35" s="159">
        <f t="shared" si="2"/>
        <v>2.16</v>
      </c>
      <c r="E35" s="159">
        <f>ROUND((16479.98*0.021),2)</f>
        <v>346.08</v>
      </c>
    </row>
    <row r="36" spans="1:5" ht="78" customHeight="1" x14ac:dyDescent="0.25">
      <c r="A36" s="4">
        <v>2224</v>
      </c>
      <c r="B36" s="152" t="s">
        <v>62</v>
      </c>
      <c r="C36" s="5" t="s">
        <v>1117</v>
      </c>
      <c r="D36" s="159">
        <f t="shared" si="2"/>
        <v>0.8</v>
      </c>
      <c r="E36" s="159">
        <f>ROUND((6098.64*0.021),2)</f>
        <v>128.07</v>
      </c>
    </row>
    <row r="37" spans="1:5" ht="32.25" customHeight="1" x14ac:dyDescent="0.25">
      <c r="A37" s="4">
        <v>2241</v>
      </c>
      <c r="B37" s="176" t="s">
        <v>64</v>
      </c>
      <c r="C37" s="135" t="s">
        <v>1118</v>
      </c>
      <c r="D37" s="159">
        <f t="shared" si="2"/>
        <v>0.09</v>
      </c>
      <c r="E37" s="159">
        <f>ROUND((650*0.021),2)</f>
        <v>13.65</v>
      </c>
    </row>
    <row r="38" spans="1:5" ht="63" x14ac:dyDescent="0.25">
      <c r="A38" s="4">
        <v>2243</v>
      </c>
      <c r="B38" s="176" t="s">
        <v>21</v>
      </c>
      <c r="C38" s="176" t="s">
        <v>1119</v>
      </c>
      <c r="D38" s="159">
        <f t="shared" si="2"/>
        <v>0.26</v>
      </c>
      <c r="E38" s="159">
        <f>ROUND((1948.84*0.021),2)</f>
        <v>40.93</v>
      </c>
    </row>
    <row r="39" spans="1:5" ht="30" customHeight="1" x14ac:dyDescent="0.25">
      <c r="A39" s="4">
        <v>2513</v>
      </c>
      <c r="B39" s="5" t="s">
        <v>63</v>
      </c>
      <c r="C39" s="5" t="s">
        <v>1120</v>
      </c>
      <c r="D39" s="159">
        <f t="shared" si="2"/>
        <v>0.57999999999999996</v>
      </c>
      <c r="E39" s="159">
        <f>ROUND((4426.37*0.021),2)</f>
        <v>92.95</v>
      </c>
    </row>
    <row r="40" spans="1:5" ht="15.75" x14ac:dyDescent="0.25">
      <c r="A40" s="10">
        <v>5000</v>
      </c>
      <c r="B40" s="9" t="s">
        <v>17</v>
      </c>
      <c r="C40" s="131"/>
      <c r="D40" s="160">
        <f>SUM(D41:D44)</f>
        <v>3.2399999999999998</v>
      </c>
      <c r="E40" s="160">
        <f>SUM(E41:E44)</f>
        <v>518.89</v>
      </c>
    </row>
    <row r="41" spans="1:5" ht="32.25" customHeight="1" x14ac:dyDescent="0.25">
      <c r="A41" s="4">
        <v>5211</v>
      </c>
      <c r="B41" s="5" t="s">
        <v>70</v>
      </c>
      <c r="C41" s="5" t="s">
        <v>1121</v>
      </c>
      <c r="D41" s="159">
        <f>ROUND((E41/160),2)</f>
        <v>1.56</v>
      </c>
      <c r="E41" s="159">
        <f>ROUND((11857.3*0.021),2)</f>
        <v>249</v>
      </c>
    </row>
    <row r="42" spans="1:5" ht="31.5" x14ac:dyDescent="0.25">
      <c r="A42" s="4">
        <v>5213</v>
      </c>
      <c r="B42" s="5" t="s">
        <v>32</v>
      </c>
      <c r="C42" s="5" t="s">
        <v>1122</v>
      </c>
      <c r="D42" s="159">
        <f t="shared" ref="D42:D44" si="3">ROUND((E42/160),2)</f>
        <v>0.3</v>
      </c>
      <c r="E42" s="159">
        <f>ROUND((2314.44*0.021),2)</f>
        <v>48.6</v>
      </c>
    </row>
    <row r="43" spans="1:5" ht="30.75" customHeight="1" x14ac:dyDescent="0.25">
      <c r="A43" s="19">
        <v>5218</v>
      </c>
      <c r="B43" s="32" t="s">
        <v>33</v>
      </c>
      <c r="C43" s="5" t="s">
        <v>1123</v>
      </c>
      <c r="D43" s="159">
        <f t="shared" si="3"/>
        <v>0.48</v>
      </c>
      <c r="E43" s="159">
        <f>ROUND((3681.36*0.021),2)</f>
        <v>77.31</v>
      </c>
    </row>
    <row r="44" spans="1:5" ht="47.25" customHeight="1" x14ac:dyDescent="0.25">
      <c r="A44" s="4">
        <v>5239</v>
      </c>
      <c r="B44" s="5" t="s">
        <v>18</v>
      </c>
      <c r="C44" s="5" t="s">
        <v>1124</v>
      </c>
      <c r="D44" s="159">
        <f t="shared" si="3"/>
        <v>0.9</v>
      </c>
      <c r="E44" s="159">
        <f>ROUND((6856.2*0.021),2)</f>
        <v>143.97999999999999</v>
      </c>
    </row>
    <row r="45" spans="1:5" ht="15.75" x14ac:dyDescent="0.25">
      <c r="A45" s="4"/>
      <c r="B45" s="9" t="s">
        <v>23</v>
      </c>
      <c r="C45" s="115"/>
      <c r="D45" s="44">
        <f>SUM(D19+D32+D40)</f>
        <v>20.88</v>
      </c>
      <c r="E45" s="44">
        <f>SUM(E19+E32+E40)</f>
        <v>3339.66</v>
      </c>
    </row>
    <row r="46" spans="1:5" ht="31.5" x14ac:dyDescent="0.25">
      <c r="A46" s="4"/>
      <c r="B46" s="11" t="s">
        <v>28</v>
      </c>
      <c r="C46" s="115"/>
      <c r="D46" s="93">
        <f>D17+D45</f>
        <v>21.61</v>
      </c>
      <c r="E46" s="93">
        <f>E17+E45</f>
        <v>3457.3644999999997</v>
      </c>
    </row>
    <row r="47" spans="1:5" ht="15.75" x14ac:dyDescent="0.25">
      <c r="A47" s="21"/>
      <c r="B47" s="13" t="s">
        <v>29</v>
      </c>
      <c r="C47" s="115"/>
      <c r="D47" s="93">
        <f>D46*0.21</f>
        <v>4.5381</v>
      </c>
      <c r="E47" s="93">
        <f>E46*0.21</f>
        <v>726.04654499999992</v>
      </c>
    </row>
    <row r="48" spans="1:5" ht="31.5" customHeight="1" x14ac:dyDescent="0.25">
      <c r="A48" s="21"/>
      <c r="B48" s="179" t="s">
        <v>30</v>
      </c>
      <c r="C48" s="180"/>
      <c r="D48" s="189">
        <f>D46*1.21</f>
        <v>26.148099999999999</v>
      </c>
      <c r="E48" s="189">
        <f>E46*1.21</f>
        <v>4183.4110449999998</v>
      </c>
    </row>
    <row r="49" spans="1:5" ht="15.75" x14ac:dyDescent="0.25">
      <c r="A49" s="360" t="s">
        <v>71</v>
      </c>
      <c r="B49" s="360"/>
      <c r="C49" s="360"/>
      <c r="D49" s="8">
        <v>160</v>
      </c>
      <c r="E49" s="8" t="s">
        <v>196</v>
      </c>
    </row>
    <row r="50" spans="1:5" ht="32.25" customHeight="1" x14ac:dyDescent="0.25">
      <c r="A50" s="351" t="s">
        <v>65</v>
      </c>
      <c r="B50" s="351"/>
      <c r="C50" s="351"/>
      <c r="D50" s="183">
        <f>E48/D49</f>
        <v>26.146319031249998</v>
      </c>
      <c r="E50" s="8" t="s">
        <v>307</v>
      </c>
    </row>
    <row r="51" spans="1:5" ht="15.75" x14ac:dyDescent="0.25">
      <c r="A51" s="1"/>
      <c r="B51" s="1"/>
      <c r="C51" s="1"/>
    </row>
    <row r="52" spans="1:5" ht="15.75" x14ac:dyDescent="0.25">
      <c r="A52" s="1"/>
      <c r="B52" s="1"/>
      <c r="C52" s="1"/>
    </row>
    <row r="53" spans="1:5" ht="15.75" x14ac:dyDescent="0.25">
      <c r="A53" s="1"/>
      <c r="B53" s="1"/>
      <c r="C53" s="1"/>
    </row>
    <row r="54" spans="1:5" ht="15.75" x14ac:dyDescent="0.25">
      <c r="A54" s="1"/>
      <c r="B54" s="1"/>
      <c r="C54" s="1"/>
    </row>
    <row r="55" spans="1:5" ht="15.75" x14ac:dyDescent="0.25">
      <c r="A55" s="1"/>
      <c r="B55" s="1"/>
      <c r="C55" s="1"/>
    </row>
    <row r="56" spans="1:5" ht="15.75" x14ac:dyDescent="0.25">
      <c r="A56" s="1"/>
      <c r="B56" s="1"/>
      <c r="C56" s="1"/>
    </row>
    <row r="57" spans="1:5" ht="15.75" x14ac:dyDescent="0.25">
      <c r="A57" s="1"/>
      <c r="B57" s="1"/>
      <c r="C57" s="1"/>
    </row>
    <row r="58" spans="1:5" ht="15.75" x14ac:dyDescent="0.25">
      <c r="A58" s="1"/>
      <c r="B58" s="1"/>
      <c r="C58" s="1"/>
    </row>
    <row r="59" spans="1:5" ht="15.75" x14ac:dyDescent="0.25">
      <c r="A59" s="1"/>
      <c r="B59" s="1"/>
      <c r="C59" s="1"/>
    </row>
    <row r="60" spans="1:5" ht="15.75" x14ac:dyDescent="0.25">
      <c r="A60" s="1"/>
      <c r="B60" s="1"/>
      <c r="C60" s="1"/>
    </row>
    <row r="61" spans="1:5" ht="15.75" x14ac:dyDescent="0.25">
      <c r="A61" s="1"/>
      <c r="B61" s="1"/>
      <c r="C61" s="1"/>
    </row>
  </sheetData>
  <mergeCells count="5">
    <mergeCell ref="A50:C50"/>
    <mergeCell ref="A1:C1"/>
    <mergeCell ref="A4:B4"/>
    <mergeCell ref="A49:C49"/>
    <mergeCell ref="A2:D2"/>
  </mergeCells>
  <pageMargins left="0.7" right="0.7" top="0.75" bottom="0.75" header="0.3" footer="0.3"/>
  <pageSetup paperSize="9" scale="96" orientation="landscape" r:id="rId1"/>
  <rowBreaks count="2" manualBreakCount="2">
    <brk id="26" max="4" man="1"/>
    <brk id="36" max="16383" man="1"/>
  </rowBreaks>
  <colBreaks count="1" manualBreakCount="1">
    <brk id="5" max="1048575" man="1"/>
  </colBreaks>
  <ignoredErrors>
    <ignoredError sqref="E22"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C8F69-5A11-4CFD-8654-71EDDBFC4AC1}">
  <dimension ref="A1:N55"/>
  <sheetViews>
    <sheetView topLeftCell="A40" zoomScaleNormal="100" workbookViewId="0">
      <selection activeCell="B42" sqref="B42"/>
    </sheetView>
  </sheetViews>
  <sheetFormatPr defaultRowHeight="15" x14ac:dyDescent="0.25"/>
  <cols>
    <col min="1" max="1" width="12.140625" customWidth="1"/>
    <col min="2" max="2" width="26.85546875" customWidth="1"/>
    <col min="3" max="3" width="64" customWidth="1"/>
    <col min="4" max="4" width="9.5703125" customWidth="1"/>
    <col min="5" max="5" width="17.85546875" customWidth="1"/>
    <col min="6" max="14" width="9.140625" style="323"/>
  </cols>
  <sheetData>
    <row r="1" spans="1:9" ht="18.75" x14ac:dyDescent="0.3">
      <c r="A1" s="358" t="s">
        <v>178</v>
      </c>
      <c r="B1" s="358"/>
      <c r="C1" s="358"/>
    </row>
    <row r="2" spans="1:9" ht="18.75" x14ac:dyDescent="0.3">
      <c r="A2" s="358" t="s">
        <v>38</v>
      </c>
      <c r="B2" s="358"/>
      <c r="C2" s="358"/>
    </row>
    <row r="3" spans="1:9" ht="18.75" x14ac:dyDescent="0.25">
      <c r="A3" s="352" t="s">
        <v>39</v>
      </c>
      <c r="B3" s="352"/>
      <c r="C3" s="352"/>
    </row>
    <row r="4" spans="1:9" ht="15.75" x14ac:dyDescent="0.25">
      <c r="A4" s="359" t="s">
        <v>74</v>
      </c>
      <c r="B4" s="359"/>
    </row>
    <row r="6" spans="1:9" ht="78.75" x14ac:dyDescent="0.25">
      <c r="A6" s="149" t="s">
        <v>0</v>
      </c>
      <c r="B6" s="149" t="s">
        <v>1</v>
      </c>
      <c r="C6" s="29" t="s">
        <v>2</v>
      </c>
      <c r="D6" s="12" t="s">
        <v>26</v>
      </c>
      <c r="E6" s="12" t="s">
        <v>27</v>
      </c>
    </row>
    <row r="7" spans="1:9" ht="15.75" x14ac:dyDescent="0.25">
      <c r="A7" s="30">
        <v>1</v>
      </c>
      <c r="B7" s="30">
        <v>2</v>
      </c>
      <c r="C7" s="30">
        <v>3</v>
      </c>
      <c r="D7" s="28">
        <v>4</v>
      </c>
      <c r="E7" s="28">
        <v>5</v>
      </c>
    </row>
    <row r="8" spans="1:9" ht="15.75" x14ac:dyDescent="0.25">
      <c r="A8" s="4"/>
      <c r="B8" s="7" t="s">
        <v>7</v>
      </c>
      <c r="C8" s="30" t="s">
        <v>8</v>
      </c>
      <c r="D8" s="25"/>
      <c r="E8" s="23"/>
    </row>
    <row r="9" spans="1:9" ht="15.75" x14ac:dyDescent="0.25">
      <c r="A9" s="8">
        <v>1000</v>
      </c>
      <c r="B9" s="7" t="s">
        <v>9</v>
      </c>
      <c r="C9" s="115" t="s">
        <v>8</v>
      </c>
      <c r="D9" s="26">
        <f>D10+D15</f>
        <v>1.7199999999999998</v>
      </c>
      <c r="E9" s="44">
        <f>E10+E15</f>
        <v>2494.6400000000003</v>
      </c>
    </row>
    <row r="10" spans="1:9" ht="15.75" x14ac:dyDescent="0.25">
      <c r="A10" s="280">
        <v>1100</v>
      </c>
      <c r="B10" s="280" t="s">
        <v>10</v>
      </c>
      <c r="C10" s="115"/>
      <c r="D10" s="26">
        <f>D11+D14</f>
        <v>1.3399999999999999</v>
      </c>
      <c r="E10" s="44">
        <f>E11+E14</f>
        <v>1946.88</v>
      </c>
    </row>
    <row r="11" spans="1:9" ht="15.75" x14ac:dyDescent="0.25">
      <c r="A11" s="16">
        <v>1110</v>
      </c>
      <c r="B11" s="16" t="s">
        <v>240</v>
      </c>
      <c r="C11" s="147" t="s">
        <v>262</v>
      </c>
      <c r="D11" s="62">
        <f>D12+D13</f>
        <v>1.22</v>
      </c>
      <c r="E11" s="114">
        <f>E12+E13</f>
        <v>1769.89</v>
      </c>
    </row>
    <row r="12" spans="1:9" ht="78.75" x14ac:dyDescent="0.25">
      <c r="A12" s="136"/>
      <c r="B12" s="139"/>
      <c r="C12" s="152" t="s">
        <v>1552</v>
      </c>
      <c r="D12" s="62">
        <f>ROUND((E12/1440),2)</f>
        <v>0.38</v>
      </c>
      <c r="E12" s="114">
        <f>ROUND((48.84*12*0.944),2)</f>
        <v>553.26</v>
      </c>
      <c r="I12" s="350"/>
    </row>
    <row r="13" spans="1:9" ht="78.75" x14ac:dyDescent="0.25">
      <c r="A13" s="138"/>
      <c r="B13" s="141"/>
      <c r="C13" s="132" t="s">
        <v>1484</v>
      </c>
      <c r="D13" s="62">
        <f>ROUND((E13/1440),2)</f>
        <v>0.84</v>
      </c>
      <c r="E13" s="114">
        <f>ROUND((107.4*12*0.944),2)</f>
        <v>1216.6300000000001</v>
      </c>
      <c r="I13" s="350"/>
    </row>
    <row r="14" spans="1:9" ht="47.25" x14ac:dyDescent="0.25">
      <c r="A14" s="131">
        <v>1140</v>
      </c>
      <c r="B14" s="5" t="s">
        <v>237</v>
      </c>
      <c r="C14" s="152" t="s">
        <v>1485</v>
      </c>
      <c r="D14" s="62">
        <f t="shared" ref="D14:D17" si="0">ROUND((E14/1440),2)</f>
        <v>0.12</v>
      </c>
      <c r="E14" s="114">
        <f>ROUND((553.26*0.1+1216.63*0.1),2)</f>
        <v>176.99</v>
      </c>
      <c r="I14" s="350"/>
    </row>
    <row r="15" spans="1:9" ht="63.75" customHeight="1" x14ac:dyDescent="0.25">
      <c r="A15" s="7">
        <v>1200</v>
      </c>
      <c r="B15" s="166" t="s">
        <v>11</v>
      </c>
      <c r="C15" s="176" t="s">
        <v>1488</v>
      </c>
      <c r="D15" s="88">
        <f>D16+D17</f>
        <v>0.38</v>
      </c>
      <c r="E15" s="92">
        <f>ROUND((E16+E17),2)</f>
        <v>547.76</v>
      </c>
      <c r="I15" s="350"/>
    </row>
    <row r="16" spans="1:9" ht="48" customHeight="1" x14ac:dyDescent="0.25">
      <c r="A16" s="4">
        <v>1210</v>
      </c>
      <c r="B16" s="5" t="s">
        <v>239</v>
      </c>
      <c r="C16" s="176" t="s">
        <v>1487</v>
      </c>
      <c r="D16" s="62">
        <f t="shared" si="0"/>
        <v>0.32</v>
      </c>
      <c r="E16" s="114">
        <f>ROUND((1946.88*0.2359),2)</f>
        <v>459.27</v>
      </c>
      <c r="I16" s="350"/>
    </row>
    <row r="17" spans="1:9" ht="62.45" customHeight="1" x14ac:dyDescent="0.25">
      <c r="A17" s="4">
        <v>1227</v>
      </c>
      <c r="B17" s="5" t="s">
        <v>238</v>
      </c>
      <c r="C17" s="176" t="s">
        <v>1486</v>
      </c>
      <c r="D17" s="62">
        <f t="shared" si="0"/>
        <v>0.06</v>
      </c>
      <c r="E17" s="114">
        <f>ROUND((553.26*0.05+1216.63*0.05),2)</f>
        <v>88.49</v>
      </c>
      <c r="I17" s="350"/>
    </row>
    <row r="18" spans="1:9" ht="15.75" x14ac:dyDescent="0.25">
      <c r="A18" s="4"/>
      <c r="B18" s="9" t="s">
        <v>14</v>
      </c>
      <c r="C18" s="31" t="s">
        <v>16</v>
      </c>
      <c r="D18" s="26">
        <f>D9</f>
        <v>1.7199999999999998</v>
      </c>
      <c r="E18" s="44">
        <f>E9</f>
        <v>2494.6400000000003</v>
      </c>
      <c r="I18" s="350"/>
    </row>
    <row r="19" spans="1:9" ht="15.75" x14ac:dyDescent="0.25">
      <c r="A19" s="4"/>
      <c r="B19" s="9" t="s">
        <v>15</v>
      </c>
      <c r="C19" s="30" t="s">
        <v>8</v>
      </c>
      <c r="D19" s="23"/>
      <c r="E19" s="43"/>
      <c r="I19" s="350"/>
    </row>
    <row r="20" spans="1:9" ht="15.75" x14ac:dyDescent="0.25">
      <c r="A20" s="8">
        <v>1000</v>
      </c>
      <c r="B20" s="7" t="s">
        <v>9</v>
      </c>
      <c r="C20" s="30"/>
      <c r="D20" s="92">
        <f>SUM(D21+D32)</f>
        <v>2.4200000000000004</v>
      </c>
      <c r="E20" s="92">
        <f>SUM(E21+E32)</f>
        <v>3479.34</v>
      </c>
      <c r="I20" s="350"/>
    </row>
    <row r="21" spans="1:9" ht="15.75" x14ac:dyDescent="0.25">
      <c r="A21" s="4">
        <v>1100</v>
      </c>
      <c r="B21" s="4" t="s">
        <v>10</v>
      </c>
      <c r="C21" s="147" t="s">
        <v>267</v>
      </c>
      <c r="D21" s="92">
        <f>SUM(D22:D31)</f>
        <v>1.9600000000000002</v>
      </c>
      <c r="E21" s="92">
        <f>SUM(E22:E31)</f>
        <v>2815.23</v>
      </c>
      <c r="I21" s="350"/>
    </row>
    <row r="22" spans="1:9" ht="78.75" x14ac:dyDescent="0.25">
      <c r="A22" s="237"/>
      <c r="B22" s="238"/>
      <c r="C22" s="37" t="s">
        <v>1489</v>
      </c>
      <c r="D22" s="45">
        <f t="shared" ref="D22:D32" si="1">ROUND((E22/1440),2)</f>
        <v>0.02</v>
      </c>
      <c r="E22" s="45">
        <f>ROUND((2.59*12*0.944),2)</f>
        <v>29.34</v>
      </c>
      <c r="I22" s="350"/>
    </row>
    <row r="23" spans="1:9" ht="78.75" x14ac:dyDescent="0.25">
      <c r="A23" s="355"/>
      <c r="B23" s="353"/>
      <c r="C23" s="119" t="s">
        <v>1490</v>
      </c>
      <c r="D23" s="45">
        <f>ROUND((E23/1440+0.01),2)</f>
        <v>0.02</v>
      </c>
      <c r="E23" s="45">
        <f>ROUND((1.9*12*0.944),2)</f>
        <v>21.52</v>
      </c>
      <c r="H23" s="350"/>
      <c r="I23" s="350"/>
    </row>
    <row r="24" spans="1:9" ht="78.75" x14ac:dyDescent="0.25">
      <c r="A24" s="355"/>
      <c r="B24" s="353"/>
      <c r="C24" s="37" t="s">
        <v>1491</v>
      </c>
      <c r="D24" s="45">
        <f t="shared" si="1"/>
        <v>0.02</v>
      </c>
      <c r="E24" s="45">
        <f>ROUND((2.81*12*0.944),2)</f>
        <v>31.83</v>
      </c>
      <c r="G24" s="337"/>
      <c r="I24" s="350"/>
    </row>
    <row r="25" spans="1:9" ht="78.75" x14ac:dyDescent="0.25">
      <c r="A25" s="355"/>
      <c r="B25" s="353"/>
      <c r="C25" s="119" t="s">
        <v>1492</v>
      </c>
      <c r="D25" s="45">
        <f t="shared" si="1"/>
        <v>0.04</v>
      </c>
      <c r="E25" s="45">
        <f>ROUND((4.96*12*0.944),2)</f>
        <v>56.19</v>
      </c>
      <c r="I25" s="350"/>
    </row>
    <row r="26" spans="1:9" ht="78.75" x14ac:dyDescent="0.25">
      <c r="A26" s="355"/>
      <c r="B26" s="353"/>
      <c r="C26" s="37" t="s">
        <v>1493</v>
      </c>
      <c r="D26" s="45">
        <f t="shared" si="1"/>
        <v>0.02</v>
      </c>
      <c r="E26" s="45">
        <f>ROUND((2.78*12*0.944),2)</f>
        <v>31.49</v>
      </c>
      <c r="I26" s="350"/>
    </row>
    <row r="27" spans="1:9" ht="78.75" x14ac:dyDescent="0.25">
      <c r="A27" s="355"/>
      <c r="B27" s="353"/>
      <c r="C27" s="37" t="s">
        <v>1494</v>
      </c>
      <c r="D27" s="45">
        <f t="shared" si="1"/>
        <v>0.6</v>
      </c>
      <c r="E27" s="45">
        <f>ROUND((75.87*12*0.944),2)</f>
        <v>859.46</v>
      </c>
      <c r="I27" s="350"/>
    </row>
    <row r="28" spans="1:9" ht="78.75" x14ac:dyDescent="0.25">
      <c r="A28" s="355"/>
      <c r="B28" s="353"/>
      <c r="C28" s="37" t="s">
        <v>1495</v>
      </c>
      <c r="D28" s="45">
        <f t="shared" si="1"/>
        <v>0.32</v>
      </c>
      <c r="E28" s="45">
        <f>ROUND((40.27*12*0.944),2)</f>
        <v>456.18</v>
      </c>
      <c r="I28" s="350"/>
    </row>
    <row r="29" spans="1:9" ht="78.75" customHeight="1" x14ac:dyDescent="0.25">
      <c r="A29" s="355"/>
      <c r="B29" s="353"/>
      <c r="C29" s="37" t="s">
        <v>1496</v>
      </c>
      <c r="D29" s="45">
        <f t="shared" si="1"/>
        <v>0.68</v>
      </c>
      <c r="E29" s="45">
        <f>ROUND((86.8*12*0.944),2)</f>
        <v>983.27</v>
      </c>
      <c r="I29" s="350"/>
    </row>
    <row r="30" spans="1:9" ht="94.5" x14ac:dyDescent="0.25">
      <c r="A30" s="355"/>
      <c r="B30" s="353"/>
      <c r="C30" s="119" t="s">
        <v>1497</v>
      </c>
      <c r="D30" s="45">
        <f t="shared" si="1"/>
        <v>0.19</v>
      </c>
      <c r="E30" s="45">
        <f>ROUND((24.34*12*0.944),2)</f>
        <v>275.72000000000003</v>
      </c>
      <c r="I30" s="350"/>
    </row>
    <row r="31" spans="1:9" ht="78.75" x14ac:dyDescent="0.25">
      <c r="A31" s="356"/>
      <c r="B31" s="354"/>
      <c r="C31" s="37" t="s">
        <v>1498</v>
      </c>
      <c r="D31" s="45">
        <f t="shared" si="1"/>
        <v>0.05</v>
      </c>
      <c r="E31" s="45">
        <f>ROUND((6.2*12*0.944),2)</f>
        <v>70.23</v>
      </c>
      <c r="I31" s="350"/>
    </row>
    <row r="32" spans="1:9" ht="62.25" customHeight="1" x14ac:dyDescent="0.25">
      <c r="A32" s="7">
        <v>1200</v>
      </c>
      <c r="B32" s="166" t="s">
        <v>11</v>
      </c>
      <c r="C32" s="121" t="s">
        <v>1499</v>
      </c>
      <c r="D32" s="92">
        <f t="shared" si="1"/>
        <v>0.46</v>
      </c>
      <c r="E32" s="92">
        <f>ROUND((2815.23*0.2359),2)</f>
        <v>664.11</v>
      </c>
      <c r="I32" s="350"/>
    </row>
    <row r="33" spans="1:9" ht="15.75" x14ac:dyDescent="0.25">
      <c r="A33" s="8">
        <v>2000</v>
      </c>
      <c r="B33" s="7" t="s">
        <v>12</v>
      </c>
      <c r="C33" s="34"/>
      <c r="D33" s="24">
        <f>SUM(D34:D43)</f>
        <v>10.049999999999999</v>
      </c>
      <c r="E33" s="44">
        <f>SUM(E34:E43)</f>
        <v>14453.56</v>
      </c>
      <c r="I33" s="350"/>
    </row>
    <row r="34" spans="1:9" ht="31.5" customHeight="1" x14ac:dyDescent="0.25">
      <c r="A34" s="4">
        <v>2221</v>
      </c>
      <c r="B34" s="176" t="s">
        <v>60</v>
      </c>
      <c r="C34" s="5" t="s">
        <v>1475</v>
      </c>
      <c r="D34" s="47">
        <f t="shared" ref="D34:D43" si="2">ROUND((E34/1440),2)</f>
        <v>4.67</v>
      </c>
      <c r="E34" s="114">
        <f>ROUND((7123.19*0.944),2)</f>
        <v>6724.29</v>
      </c>
      <c r="I34" s="350"/>
    </row>
    <row r="35" spans="1:9" ht="31.5" customHeight="1" x14ac:dyDescent="0.25">
      <c r="A35" s="4">
        <v>2222</v>
      </c>
      <c r="B35" s="5" t="s">
        <v>61</v>
      </c>
      <c r="C35" s="5" t="s">
        <v>1476</v>
      </c>
      <c r="D35" s="46">
        <f t="shared" si="2"/>
        <v>0.4</v>
      </c>
      <c r="E35" s="45">
        <f>ROUND((603.06*0.944),2)</f>
        <v>569.29</v>
      </c>
      <c r="I35" s="350"/>
    </row>
    <row r="36" spans="1:9" ht="32.450000000000003" customHeight="1" x14ac:dyDescent="0.25">
      <c r="A36" s="4">
        <v>2223</v>
      </c>
      <c r="B36" s="5" t="s">
        <v>19</v>
      </c>
      <c r="C36" s="5" t="s">
        <v>1477</v>
      </c>
      <c r="D36" s="28">
        <f t="shared" si="2"/>
        <v>1.59</v>
      </c>
      <c r="E36" s="45">
        <f>ROUND((2421.61*0.944),2)</f>
        <v>2286</v>
      </c>
      <c r="I36" s="350"/>
    </row>
    <row r="37" spans="1:9" ht="78.75" customHeight="1" x14ac:dyDescent="0.25">
      <c r="A37" s="4">
        <v>2224</v>
      </c>
      <c r="B37" s="176" t="s">
        <v>62</v>
      </c>
      <c r="C37" s="5" t="s">
        <v>1478</v>
      </c>
      <c r="D37" s="28">
        <f t="shared" si="2"/>
        <v>0.25</v>
      </c>
      <c r="E37" s="28">
        <f>ROUND((379.71*0.944),2)</f>
        <v>358.45</v>
      </c>
      <c r="I37" s="350"/>
    </row>
    <row r="38" spans="1:9" ht="31.5" x14ac:dyDescent="0.25">
      <c r="A38" s="4">
        <v>2241</v>
      </c>
      <c r="B38" s="176" t="s">
        <v>64</v>
      </c>
      <c r="C38" s="5" t="s">
        <v>1479</v>
      </c>
      <c r="D38" s="28">
        <f t="shared" si="2"/>
        <v>0.15</v>
      </c>
      <c r="E38" s="28">
        <f>ROUND((223.99*0.944),2)</f>
        <v>211.45</v>
      </c>
      <c r="I38" s="350"/>
    </row>
    <row r="39" spans="1:9" ht="63" x14ac:dyDescent="0.25">
      <c r="A39" s="4">
        <v>2243</v>
      </c>
      <c r="B39" s="5" t="s">
        <v>21</v>
      </c>
      <c r="C39" s="5" t="s">
        <v>1480</v>
      </c>
      <c r="D39" s="46">
        <f t="shared" si="2"/>
        <v>0.1</v>
      </c>
      <c r="E39" s="28">
        <f>ROUND((151.11*0.944),2)</f>
        <v>142.65</v>
      </c>
      <c r="I39" s="350"/>
    </row>
    <row r="40" spans="1:9" ht="47.25" x14ac:dyDescent="0.25">
      <c r="A40" s="4">
        <v>2244</v>
      </c>
      <c r="B40" s="5" t="s">
        <v>22</v>
      </c>
      <c r="C40" s="176" t="s">
        <v>1481</v>
      </c>
      <c r="D40" s="28">
        <f t="shared" si="2"/>
        <v>2.44</v>
      </c>
      <c r="E40" s="45">
        <f>ROUND(3725.55*0.944,2)</f>
        <v>3516.92</v>
      </c>
      <c r="I40" s="350"/>
    </row>
    <row r="41" spans="1:9" ht="31.5" customHeight="1" x14ac:dyDescent="0.25">
      <c r="A41" s="4">
        <v>2312</v>
      </c>
      <c r="B41" s="4" t="s">
        <v>13</v>
      </c>
      <c r="C41" s="176" t="s">
        <v>1483</v>
      </c>
      <c r="D41" s="28">
        <f t="shared" si="2"/>
        <v>0.01</v>
      </c>
      <c r="E41" s="28">
        <f>ROUND((16.04*0.944),2)</f>
        <v>15.14</v>
      </c>
      <c r="I41" s="350"/>
    </row>
    <row r="42" spans="1:9" ht="47.25" customHeight="1" x14ac:dyDescent="0.25">
      <c r="A42" s="4">
        <v>2350</v>
      </c>
      <c r="B42" s="5" t="s">
        <v>236</v>
      </c>
      <c r="C42" s="176" t="s">
        <v>1482</v>
      </c>
      <c r="D42" s="28">
        <f>ROUND((E42/1440+0.01),2)</f>
        <v>0.24</v>
      </c>
      <c r="E42" s="47">
        <f>ROUND((357.86*0.944),2)</f>
        <v>337.82</v>
      </c>
      <c r="I42" s="350"/>
    </row>
    <row r="43" spans="1:9" ht="31.5" x14ac:dyDescent="0.25">
      <c r="A43" s="4">
        <v>2513</v>
      </c>
      <c r="B43" s="5" t="s">
        <v>63</v>
      </c>
      <c r="C43" s="176" t="s">
        <v>1474</v>
      </c>
      <c r="D43" s="46">
        <f t="shared" si="2"/>
        <v>0.2</v>
      </c>
      <c r="E43" s="28">
        <f>ROUND((308.85*0.944),2)</f>
        <v>291.55</v>
      </c>
      <c r="I43" s="350"/>
    </row>
    <row r="44" spans="1:9" ht="15.75" x14ac:dyDescent="0.25">
      <c r="A44" s="10">
        <v>5000</v>
      </c>
      <c r="B44" s="9" t="s">
        <v>17</v>
      </c>
      <c r="C44" s="283"/>
      <c r="D44" s="26">
        <f>SUM(D45:D48)</f>
        <v>0.57999999999999996</v>
      </c>
      <c r="E44" s="26">
        <f>SUM(E45:E48)</f>
        <v>836.31000000000006</v>
      </c>
      <c r="I44" s="350"/>
    </row>
    <row r="45" spans="1:9" ht="31.5" x14ac:dyDescent="0.25">
      <c r="A45" s="4">
        <v>5212</v>
      </c>
      <c r="B45" s="5" t="s">
        <v>31</v>
      </c>
      <c r="C45" s="176" t="s">
        <v>1473</v>
      </c>
      <c r="D45" s="46">
        <f>ROUND((E45/1440),2)</f>
        <v>0.18</v>
      </c>
      <c r="E45" s="46">
        <f>ROUND((270.84*0.944),2)</f>
        <v>255.67</v>
      </c>
      <c r="I45" s="350"/>
    </row>
    <row r="46" spans="1:9" ht="31.5" customHeight="1" x14ac:dyDescent="0.25">
      <c r="A46" s="4">
        <v>5213</v>
      </c>
      <c r="B46" s="5" t="s">
        <v>32</v>
      </c>
      <c r="C46" s="176" t="s">
        <v>1471</v>
      </c>
      <c r="D46" s="46">
        <f>ROUND((E46/1440),2)</f>
        <v>0</v>
      </c>
      <c r="E46" s="46">
        <f>ROUND((4.97*0.944),2)</f>
        <v>4.6900000000000004</v>
      </c>
      <c r="I46" s="350"/>
    </row>
    <row r="47" spans="1:9" ht="30.75" customHeight="1" x14ac:dyDescent="0.25">
      <c r="A47" s="19">
        <v>5218</v>
      </c>
      <c r="B47" s="176" t="s">
        <v>33</v>
      </c>
      <c r="C47" s="176" t="s">
        <v>1472</v>
      </c>
      <c r="D47" s="46">
        <f>ROUND((E47/1440),2)</f>
        <v>0.04</v>
      </c>
      <c r="E47" s="46">
        <f>ROUND((58.8*0.944),2)</f>
        <v>55.51</v>
      </c>
      <c r="I47" s="350"/>
    </row>
    <row r="48" spans="1:9" ht="46.5" customHeight="1" x14ac:dyDescent="0.25">
      <c r="A48" s="19">
        <v>5239</v>
      </c>
      <c r="B48" s="176" t="s">
        <v>18</v>
      </c>
      <c r="C48" s="176" t="s">
        <v>1500</v>
      </c>
      <c r="D48" s="46">
        <f>ROUND((E48/1440),2)</f>
        <v>0.36</v>
      </c>
      <c r="E48" s="46">
        <f>ROUND((551.31*0.944),2)</f>
        <v>520.44000000000005</v>
      </c>
      <c r="I48" s="350"/>
    </row>
    <row r="49" spans="1:9" ht="15.75" x14ac:dyDescent="0.25">
      <c r="A49" s="171"/>
      <c r="B49" s="9" t="s">
        <v>23</v>
      </c>
      <c r="C49" s="30"/>
      <c r="D49" s="26">
        <f>SUM(D20+D33+D44)</f>
        <v>13.049999999999999</v>
      </c>
      <c r="E49" s="41">
        <f>SUM(E20+E33+E44)</f>
        <v>18769.210000000003</v>
      </c>
      <c r="I49" s="350"/>
    </row>
    <row r="50" spans="1:9" ht="31.5" x14ac:dyDescent="0.25">
      <c r="A50" s="172"/>
      <c r="B50" s="11" t="s">
        <v>28</v>
      </c>
      <c r="C50" s="30"/>
      <c r="D50" s="27">
        <f>D18+D49</f>
        <v>14.77</v>
      </c>
      <c r="E50" s="42">
        <f>E18+E49</f>
        <v>21263.850000000002</v>
      </c>
      <c r="I50" s="350"/>
    </row>
    <row r="51" spans="1:9" ht="15.75" x14ac:dyDescent="0.25">
      <c r="A51" s="172"/>
      <c r="B51" s="13" t="s">
        <v>29</v>
      </c>
      <c r="C51" s="30"/>
      <c r="D51" s="27">
        <f>D50*0.21</f>
        <v>3.1016999999999997</v>
      </c>
      <c r="E51" s="42">
        <f>E50*0.21</f>
        <v>4465.4085000000005</v>
      </c>
      <c r="I51" s="350"/>
    </row>
    <row r="52" spans="1:9" ht="31.5" x14ac:dyDescent="0.25">
      <c r="A52" s="6"/>
      <c r="B52" s="179" t="s">
        <v>30</v>
      </c>
      <c r="C52" s="180"/>
      <c r="D52" s="181">
        <f>D50*1.21</f>
        <v>17.871700000000001</v>
      </c>
      <c r="E52" s="182">
        <f>E50*1.21</f>
        <v>25729.258500000004</v>
      </c>
      <c r="I52" s="350"/>
    </row>
    <row r="53" spans="1:9" ht="15.75" x14ac:dyDescent="0.25">
      <c r="A53" s="360" t="s">
        <v>1501</v>
      </c>
      <c r="B53" s="360"/>
      <c r="C53" s="360"/>
      <c r="D53" s="196">
        <v>1440</v>
      </c>
      <c r="E53" s="8" t="s">
        <v>196</v>
      </c>
      <c r="I53" s="350"/>
    </row>
    <row r="54" spans="1:9" ht="33.950000000000003" customHeight="1" x14ac:dyDescent="0.25">
      <c r="A54" s="351" t="s">
        <v>65</v>
      </c>
      <c r="B54" s="351"/>
      <c r="C54" s="351"/>
      <c r="D54" s="183">
        <f>E52/D53</f>
        <v>17.867540625000004</v>
      </c>
      <c r="E54" s="8" t="s">
        <v>307</v>
      </c>
      <c r="I54" s="350"/>
    </row>
    <row r="55" spans="1:9" ht="15.75" x14ac:dyDescent="0.25">
      <c r="A55" s="1"/>
      <c r="B55" s="1"/>
      <c r="C55" s="1"/>
    </row>
  </sheetData>
  <mergeCells count="8">
    <mergeCell ref="A53:C53"/>
    <mergeCell ref="A54:C54"/>
    <mergeCell ref="A1:C1"/>
    <mergeCell ref="A23:A31"/>
    <mergeCell ref="B23:B31"/>
    <mergeCell ref="A4:B4"/>
    <mergeCell ref="A2:C2"/>
    <mergeCell ref="A3:C3"/>
  </mergeCells>
  <pageMargins left="0.7" right="0.7" top="0.75" bottom="0.75" header="0.3" footer="0.3"/>
  <pageSetup paperSize="9" orientation="landscape" r:id="rId1"/>
  <ignoredErrors>
    <ignoredError sqref="D42 D23"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1659C-0F38-46CF-9421-4691D90D078B}">
  <dimension ref="A1:I55"/>
  <sheetViews>
    <sheetView topLeftCell="A41" zoomScaleNormal="100" workbookViewId="0">
      <selection activeCell="C39" sqref="C39"/>
    </sheetView>
  </sheetViews>
  <sheetFormatPr defaultRowHeight="15" x14ac:dyDescent="0.25"/>
  <cols>
    <col min="1" max="1" width="12.140625" customWidth="1"/>
    <col min="2" max="2" width="30.7109375" customWidth="1"/>
    <col min="3" max="3" width="60.140625" customWidth="1"/>
    <col min="4" max="4" width="10.5703125" customWidth="1"/>
    <col min="5" max="5" width="17.28515625" customWidth="1"/>
  </cols>
  <sheetData>
    <row r="1" spans="1:9" ht="18.75" x14ac:dyDescent="0.3">
      <c r="A1" s="358" t="s">
        <v>178</v>
      </c>
      <c r="B1" s="358"/>
      <c r="C1" s="358"/>
    </row>
    <row r="2" spans="1:9" ht="18.75" x14ac:dyDescent="0.3">
      <c r="A2" s="358" t="s">
        <v>38</v>
      </c>
      <c r="B2" s="358"/>
      <c r="C2" s="358"/>
    </row>
    <row r="3" spans="1:9" ht="15.75" customHeight="1" x14ac:dyDescent="0.25">
      <c r="A3" s="352" t="s">
        <v>181</v>
      </c>
      <c r="B3" s="352"/>
      <c r="C3" s="352"/>
    </row>
    <row r="4" spans="1:9" ht="18.75" x14ac:dyDescent="0.25">
      <c r="A4" s="359" t="s">
        <v>74</v>
      </c>
      <c r="B4" s="359"/>
      <c r="C4" s="117"/>
    </row>
    <row r="6" spans="1:9" ht="110.25" x14ac:dyDescent="0.25">
      <c r="A6" s="5" t="s">
        <v>0</v>
      </c>
      <c r="B6" s="5" t="s">
        <v>1</v>
      </c>
      <c r="C6" s="36" t="s">
        <v>2</v>
      </c>
      <c r="D6" s="162" t="s">
        <v>26</v>
      </c>
      <c r="E6" s="12" t="s">
        <v>27</v>
      </c>
    </row>
    <row r="7" spans="1:9" ht="15.75" x14ac:dyDescent="0.25">
      <c r="A7" s="34">
        <v>1</v>
      </c>
      <c r="B7" s="34">
        <v>2</v>
      </c>
      <c r="C7" s="34">
        <v>3</v>
      </c>
      <c r="D7" s="28">
        <v>4</v>
      </c>
      <c r="E7" s="28">
        <v>5</v>
      </c>
    </row>
    <row r="8" spans="1:9" ht="15.75" x14ac:dyDescent="0.25">
      <c r="A8" s="4"/>
      <c r="B8" s="7" t="s">
        <v>7</v>
      </c>
      <c r="C8" s="34" t="s">
        <v>8</v>
      </c>
      <c r="D8" s="25"/>
      <c r="E8" s="23"/>
    </row>
    <row r="9" spans="1:9" ht="15.75" x14ac:dyDescent="0.25">
      <c r="A9" s="8">
        <v>1000</v>
      </c>
      <c r="B9" s="7" t="s">
        <v>9</v>
      </c>
      <c r="C9" s="284" t="s">
        <v>8</v>
      </c>
      <c r="D9" s="26">
        <f>D10+D15</f>
        <v>0.31</v>
      </c>
      <c r="E9" s="44">
        <f>E10+E15</f>
        <v>147.98000000000002</v>
      </c>
      <c r="G9" s="1"/>
    </row>
    <row r="10" spans="1:9" ht="15.75" x14ac:dyDescent="0.25">
      <c r="A10" s="280">
        <v>1100</v>
      </c>
      <c r="B10" s="280" t="s">
        <v>10</v>
      </c>
      <c r="C10" s="284"/>
      <c r="D10" s="26">
        <f>D11+D14</f>
        <v>0.24</v>
      </c>
      <c r="E10" s="44">
        <f>E11+E14</f>
        <v>115.49000000000001</v>
      </c>
    </row>
    <row r="11" spans="1:9" ht="15.75" x14ac:dyDescent="0.25">
      <c r="A11" s="16">
        <v>1110</v>
      </c>
      <c r="B11" s="16" t="s">
        <v>240</v>
      </c>
      <c r="C11" s="147" t="s">
        <v>262</v>
      </c>
      <c r="D11" s="62">
        <f>D12+D13</f>
        <v>0.22</v>
      </c>
      <c r="E11" s="114">
        <f>E12+E13</f>
        <v>104.99000000000001</v>
      </c>
    </row>
    <row r="12" spans="1:9" ht="77.45" customHeight="1" x14ac:dyDescent="0.25">
      <c r="A12" s="136"/>
      <c r="B12" s="139"/>
      <c r="C12" s="152" t="s">
        <v>1502</v>
      </c>
      <c r="D12" s="62">
        <f>ROUND((E12/480),2)</f>
        <v>7.0000000000000007E-2</v>
      </c>
      <c r="E12" s="114">
        <f>ROUND((48.84*12*0.056),2)</f>
        <v>32.82</v>
      </c>
      <c r="I12" s="87"/>
    </row>
    <row r="13" spans="1:9" ht="78.95" customHeight="1" x14ac:dyDescent="0.25">
      <c r="A13" s="138"/>
      <c r="B13" s="141"/>
      <c r="C13" s="132" t="s">
        <v>1503</v>
      </c>
      <c r="D13" s="62">
        <f>ROUND((E13/480),2)</f>
        <v>0.15</v>
      </c>
      <c r="E13" s="114">
        <f>ROUND((107.4*12*0.056),2)</f>
        <v>72.17</v>
      </c>
      <c r="I13" s="87"/>
    </row>
    <row r="14" spans="1:9" ht="47.25" x14ac:dyDescent="0.25">
      <c r="A14" s="131">
        <v>1140</v>
      </c>
      <c r="B14" s="5" t="s">
        <v>237</v>
      </c>
      <c r="C14" s="152" t="s">
        <v>1504</v>
      </c>
      <c r="D14" s="62">
        <f>ROUND((E14/480),2)</f>
        <v>0.02</v>
      </c>
      <c r="E14" s="114">
        <f>ROUND((32.82*0.1+72.17*0.1),2)</f>
        <v>10.5</v>
      </c>
      <c r="I14" s="87"/>
    </row>
    <row r="15" spans="1:9" ht="61.5" customHeight="1" x14ac:dyDescent="0.25">
      <c r="A15" s="7">
        <v>1200</v>
      </c>
      <c r="B15" s="166" t="s">
        <v>11</v>
      </c>
      <c r="C15" s="176" t="s">
        <v>1507</v>
      </c>
      <c r="D15" s="88">
        <f>D16+D17</f>
        <v>6.9999999999999993E-2</v>
      </c>
      <c r="E15" s="92">
        <f>ROUND((E16+E17),2)</f>
        <v>32.49</v>
      </c>
      <c r="I15" s="87"/>
    </row>
    <row r="16" spans="1:9" ht="31.5" customHeight="1" x14ac:dyDescent="0.25">
      <c r="A16" s="4">
        <v>1210</v>
      </c>
      <c r="B16" s="5" t="s">
        <v>239</v>
      </c>
      <c r="C16" s="176" t="s">
        <v>1505</v>
      </c>
      <c r="D16" s="62">
        <f>ROUND((E16/480),2)</f>
        <v>0.06</v>
      </c>
      <c r="E16" s="114">
        <f>ROUND((115.49*0.2359),2)</f>
        <v>27.24</v>
      </c>
      <c r="I16" s="87"/>
    </row>
    <row r="17" spans="1:9" ht="47.25" customHeight="1" x14ac:dyDescent="0.25">
      <c r="A17" s="4">
        <v>1227</v>
      </c>
      <c r="B17" s="5" t="s">
        <v>238</v>
      </c>
      <c r="C17" s="176" t="s">
        <v>1506</v>
      </c>
      <c r="D17" s="62">
        <f>ROUND((E17/480),2)</f>
        <v>0.01</v>
      </c>
      <c r="E17" s="114">
        <f>ROUND((32.82*0.05+72.17*0.05),2)</f>
        <v>5.25</v>
      </c>
      <c r="I17" s="87"/>
    </row>
    <row r="18" spans="1:9" ht="15.75" x14ac:dyDescent="0.25">
      <c r="A18" s="4"/>
      <c r="B18" s="9" t="s">
        <v>14</v>
      </c>
      <c r="C18" s="35" t="s">
        <v>16</v>
      </c>
      <c r="D18" s="26">
        <f>D9</f>
        <v>0.31</v>
      </c>
      <c r="E18" s="44">
        <f>E9</f>
        <v>147.98000000000002</v>
      </c>
    </row>
    <row r="19" spans="1:9" ht="15.75" x14ac:dyDescent="0.25">
      <c r="A19" s="4"/>
      <c r="B19" s="9" t="s">
        <v>15</v>
      </c>
      <c r="C19" s="34" t="s">
        <v>8</v>
      </c>
      <c r="D19" s="23"/>
      <c r="E19" s="43"/>
    </row>
    <row r="20" spans="1:9" ht="15.75" x14ac:dyDescent="0.25">
      <c r="A20" s="8">
        <v>1000</v>
      </c>
      <c r="B20" s="7" t="s">
        <v>9</v>
      </c>
      <c r="C20" s="34"/>
      <c r="D20" s="318">
        <f>SUM(D21+D32)</f>
        <v>0.42</v>
      </c>
      <c r="E20" s="318">
        <f>SUM(E21+E32)</f>
        <v>206.40999999999997</v>
      </c>
    </row>
    <row r="21" spans="1:9" ht="15.75" x14ac:dyDescent="0.25">
      <c r="A21" s="7">
        <v>1100</v>
      </c>
      <c r="B21" s="7" t="s">
        <v>10</v>
      </c>
      <c r="C21" s="147" t="s">
        <v>267</v>
      </c>
      <c r="D21" s="318">
        <f>SUM(D22:D31)</f>
        <v>0.33999999999999997</v>
      </c>
      <c r="E21" s="319">
        <f>SUM(E22:E31)</f>
        <v>167.00999999999996</v>
      </c>
    </row>
    <row r="22" spans="1:9" ht="77.25" customHeight="1" x14ac:dyDescent="0.25">
      <c r="A22" s="237"/>
      <c r="B22" s="238"/>
      <c r="C22" s="152" t="s">
        <v>1508</v>
      </c>
      <c r="D22" s="46">
        <f t="shared" ref="D22:D32" si="0">ROUND((E22/480),2)</f>
        <v>0</v>
      </c>
      <c r="E22" s="28">
        <f>ROUND((2.59*12*0.056),2)</f>
        <v>1.74</v>
      </c>
      <c r="G22" s="87"/>
    </row>
    <row r="23" spans="1:9" ht="78.75" x14ac:dyDescent="0.25">
      <c r="A23" s="355"/>
      <c r="B23" s="353"/>
      <c r="C23" s="152" t="s">
        <v>1509</v>
      </c>
      <c r="D23" s="46">
        <f t="shared" si="0"/>
        <v>0</v>
      </c>
      <c r="E23" s="46">
        <f>ROUND((1.9*12*0.056),2)</f>
        <v>1.28</v>
      </c>
      <c r="G23" s="87"/>
    </row>
    <row r="24" spans="1:9" ht="78.75" x14ac:dyDescent="0.25">
      <c r="A24" s="355"/>
      <c r="B24" s="353"/>
      <c r="C24" s="152" t="s">
        <v>1510</v>
      </c>
      <c r="D24" s="46">
        <f t="shared" si="0"/>
        <v>0</v>
      </c>
      <c r="E24" s="28">
        <f>ROUND((2.81*12*0.056),2)</f>
        <v>1.89</v>
      </c>
      <c r="G24" s="87"/>
    </row>
    <row r="25" spans="1:9" ht="78.75" x14ac:dyDescent="0.25">
      <c r="A25" s="355"/>
      <c r="B25" s="353"/>
      <c r="C25" s="152" t="s">
        <v>1511</v>
      </c>
      <c r="D25" s="46">
        <f t="shared" si="0"/>
        <v>0.01</v>
      </c>
      <c r="E25" s="28">
        <f>ROUND((4.96*12*0.056),2)</f>
        <v>3.33</v>
      </c>
      <c r="G25" s="51"/>
    </row>
    <row r="26" spans="1:9" ht="78.75" x14ac:dyDescent="0.25">
      <c r="A26" s="355"/>
      <c r="B26" s="353"/>
      <c r="C26" s="152" t="s">
        <v>1512</v>
      </c>
      <c r="D26" s="46">
        <f t="shared" si="0"/>
        <v>0</v>
      </c>
      <c r="E26" s="28">
        <f>ROUND((2.78*12*0.056),2)</f>
        <v>1.87</v>
      </c>
      <c r="G26" s="87"/>
    </row>
    <row r="27" spans="1:9" ht="78.75" x14ac:dyDescent="0.25">
      <c r="A27" s="355"/>
      <c r="B27" s="353"/>
      <c r="C27" s="152" t="s">
        <v>1513</v>
      </c>
      <c r="D27" s="28">
        <f t="shared" si="0"/>
        <v>0.11</v>
      </c>
      <c r="E27" s="28">
        <f>ROUND((75.87*12*0.056),2)</f>
        <v>50.98</v>
      </c>
      <c r="G27" s="87"/>
    </row>
    <row r="28" spans="1:9" ht="78" customHeight="1" x14ac:dyDescent="0.25">
      <c r="A28" s="355"/>
      <c r="B28" s="353"/>
      <c r="C28" s="152" t="s">
        <v>1514</v>
      </c>
      <c r="D28" s="28">
        <f t="shared" si="0"/>
        <v>0.06</v>
      </c>
      <c r="E28" s="28">
        <f>ROUND((40.27*12*0.056),2)</f>
        <v>27.06</v>
      </c>
      <c r="G28" s="87"/>
    </row>
    <row r="29" spans="1:9" ht="78.75" x14ac:dyDescent="0.25">
      <c r="A29" s="355"/>
      <c r="B29" s="353"/>
      <c r="C29" s="152" t="s">
        <v>1515</v>
      </c>
      <c r="D29" s="28">
        <f t="shared" si="0"/>
        <v>0.12</v>
      </c>
      <c r="E29" s="28">
        <f>ROUND((86.8*12*0.056),2)</f>
        <v>58.33</v>
      </c>
      <c r="G29" s="87"/>
    </row>
    <row r="30" spans="1:9" ht="94.5" customHeight="1" x14ac:dyDescent="0.25">
      <c r="A30" s="355"/>
      <c r="B30" s="353"/>
      <c r="C30" s="152" t="s">
        <v>1516</v>
      </c>
      <c r="D30" s="28">
        <f t="shared" si="0"/>
        <v>0.03</v>
      </c>
      <c r="E30" s="28">
        <f>ROUND((24.34*12*0.056),2)</f>
        <v>16.36</v>
      </c>
      <c r="G30" s="87"/>
    </row>
    <row r="31" spans="1:9" ht="78.75" x14ac:dyDescent="0.25">
      <c r="A31" s="356"/>
      <c r="B31" s="354"/>
      <c r="C31" s="152" t="s">
        <v>1517</v>
      </c>
      <c r="D31" s="46">
        <f t="shared" si="0"/>
        <v>0.01</v>
      </c>
      <c r="E31" s="46">
        <f>ROUND((6.2*12*0.056),2)</f>
        <v>4.17</v>
      </c>
      <c r="G31" s="87"/>
    </row>
    <row r="32" spans="1:9" ht="62.1" customHeight="1" x14ac:dyDescent="0.25">
      <c r="A32" s="7">
        <v>1200</v>
      </c>
      <c r="B32" s="166" t="s">
        <v>11</v>
      </c>
      <c r="C32" s="121" t="s">
        <v>1518</v>
      </c>
      <c r="D32" s="88">
        <f t="shared" si="0"/>
        <v>0.08</v>
      </c>
      <c r="E32" s="92">
        <f>ROUND((167.01*0.2359),2)</f>
        <v>39.4</v>
      </c>
      <c r="G32" s="87"/>
    </row>
    <row r="33" spans="1:7" ht="15.75" x14ac:dyDescent="0.25">
      <c r="A33" s="8">
        <v>2000</v>
      </c>
      <c r="B33" s="7" t="s">
        <v>12</v>
      </c>
      <c r="C33" s="34"/>
      <c r="D33" s="88">
        <f>SUM(D34:D43)</f>
        <v>1.8</v>
      </c>
      <c r="E33" s="44">
        <f>SUM(E34:E43)</f>
        <v>857.40999999999985</v>
      </c>
      <c r="G33" s="87"/>
    </row>
    <row r="34" spans="1:7" ht="30.75" customHeight="1" x14ac:dyDescent="0.25">
      <c r="A34" s="4">
        <v>2221</v>
      </c>
      <c r="B34" s="121" t="s">
        <v>60</v>
      </c>
      <c r="C34" s="5" t="s">
        <v>1529</v>
      </c>
      <c r="D34" s="28">
        <f t="shared" ref="D34:D43" si="1">ROUND((E34/480),2)</f>
        <v>0.83</v>
      </c>
      <c r="E34" s="45">
        <f>ROUND((7123.19*0.056),2)</f>
        <v>398.9</v>
      </c>
      <c r="G34" s="87"/>
    </row>
    <row r="35" spans="1:7" ht="31.5" x14ac:dyDescent="0.25">
      <c r="A35" s="4">
        <v>2222</v>
      </c>
      <c r="B35" s="5" t="s">
        <v>61</v>
      </c>
      <c r="C35" s="5" t="s">
        <v>1530</v>
      </c>
      <c r="D35" s="28">
        <f t="shared" si="1"/>
        <v>7.0000000000000007E-2</v>
      </c>
      <c r="E35" s="45">
        <f>ROUND((603.06*0.056),2)</f>
        <v>33.770000000000003</v>
      </c>
      <c r="G35" s="87"/>
    </row>
    <row r="36" spans="1:7" ht="31.5" x14ac:dyDescent="0.25">
      <c r="A36" s="4">
        <v>2223</v>
      </c>
      <c r="B36" s="5" t="s">
        <v>19</v>
      </c>
      <c r="C36" s="5" t="s">
        <v>1531</v>
      </c>
      <c r="D36" s="28">
        <f t="shared" si="1"/>
        <v>0.28000000000000003</v>
      </c>
      <c r="E36" s="45">
        <f>ROUND((2421.61* 0.056),2)</f>
        <v>135.61000000000001</v>
      </c>
      <c r="G36" s="87"/>
    </row>
    <row r="37" spans="1:7" ht="61.5" customHeight="1" x14ac:dyDescent="0.25">
      <c r="A37" s="4">
        <v>2224</v>
      </c>
      <c r="B37" s="176" t="s">
        <v>62</v>
      </c>
      <c r="C37" s="5" t="s">
        <v>1528</v>
      </c>
      <c r="D37" s="28">
        <f>ROUND((E37/480+0.01),2)</f>
        <v>0.05</v>
      </c>
      <c r="E37" s="28">
        <f>ROUND((379.71* 0.056),2)</f>
        <v>21.26</v>
      </c>
      <c r="G37" s="87"/>
    </row>
    <row r="38" spans="1:7" ht="31.5" x14ac:dyDescent="0.25">
      <c r="A38" s="174">
        <v>2241</v>
      </c>
      <c r="B38" s="176" t="s">
        <v>64</v>
      </c>
      <c r="C38" s="5" t="s">
        <v>1527</v>
      </c>
      <c r="D38" s="28">
        <f t="shared" si="1"/>
        <v>0.03</v>
      </c>
      <c r="E38" s="46">
        <f>ROUND((223.99*0.056),2)</f>
        <v>12.54</v>
      </c>
      <c r="G38" s="87"/>
    </row>
    <row r="39" spans="1:7" ht="61.5" customHeight="1" x14ac:dyDescent="0.25">
      <c r="A39" s="174">
        <v>2243</v>
      </c>
      <c r="B39" s="5" t="s">
        <v>21</v>
      </c>
      <c r="C39" s="5" t="s">
        <v>1576</v>
      </c>
      <c r="D39" s="28">
        <f t="shared" si="1"/>
        <v>0.02</v>
      </c>
      <c r="E39" s="28">
        <f>ROUND((151.11*0.056),2)</f>
        <v>8.4600000000000009</v>
      </c>
      <c r="G39" s="51"/>
    </row>
    <row r="40" spans="1:7" ht="47.25" x14ac:dyDescent="0.25">
      <c r="A40" s="4">
        <v>2244</v>
      </c>
      <c r="B40" s="4" t="s">
        <v>22</v>
      </c>
      <c r="C40" s="176" t="s">
        <v>1526</v>
      </c>
      <c r="D40" s="28">
        <f>ROUND((E40/480+0.01),2)</f>
        <v>0.44</v>
      </c>
      <c r="E40" s="45">
        <f>ROUND(3725.55*0.056,2)</f>
        <v>208.63</v>
      </c>
      <c r="G40" s="51"/>
    </row>
    <row r="41" spans="1:7" ht="32.25" customHeight="1" x14ac:dyDescent="0.25">
      <c r="A41" s="4">
        <v>2312</v>
      </c>
      <c r="B41" s="4" t="s">
        <v>13</v>
      </c>
      <c r="C41" s="176" t="s">
        <v>1523</v>
      </c>
      <c r="D41" s="46">
        <f t="shared" si="1"/>
        <v>0</v>
      </c>
      <c r="E41" s="46">
        <f>ROUND((16.04*0.056),2)</f>
        <v>0.9</v>
      </c>
      <c r="G41" s="87"/>
    </row>
    <row r="42" spans="1:7" ht="45.75" customHeight="1" x14ac:dyDescent="0.25">
      <c r="A42" s="4">
        <v>2350</v>
      </c>
      <c r="B42" s="5" t="s">
        <v>236</v>
      </c>
      <c r="C42" s="176" t="s">
        <v>1524</v>
      </c>
      <c r="D42" s="28">
        <f t="shared" si="1"/>
        <v>0.04</v>
      </c>
      <c r="E42" s="47">
        <f>ROUND((357.86*0.056),2)</f>
        <v>20.04</v>
      </c>
      <c r="G42" s="87"/>
    </row>
    <row r="43" spans="1:7" ht="33" customHeight="1" x14ac:dyDescent="0.25">
      <c r="A43" s="4">
        <v>2513</v>
      </c>
      <c r="B43" s="5" t="s">
        <v>63</v>
      </c>
      <c r="C43" s="176" t="s">
        <v>1525</v>
      </c>
      <c r="D43" s="46">
        <f t="shared" si="1"/>
        <v>0.04</v>
      </c>
      <c r="E43" s="46">
        <f>ROUND((308.85*0.056),2)</f>
        <v>17.3</v>
      </c>
      <c r="G43" s="87"/>
    </row>
    <row r="44" spans="1:7" ht="15.75" x14ac:dyDescent="0.25">
      <c r="A44" s="10">
        <v>5000</v>
      </c>
      <c r="B44" s="9" t="s">
        <v>17</v>
      </c>
      <c r="C44" s="34"/>
      <c r="D44" s="26">
        <f>SUM(D45:D48)</f>
        <v>0.1</v>
      </c>
      <c r="E44" s="26">
        <f>SUM(E45:E48)</f>
        <v>49.61</v>
      </c>
      <c r="G44" s="87"/>
    </row>
    <row r="45" spans="1:7" ht="31.5" customHeight="1" x14ac:dyDescent="0.25">
      <c r="A45" s="4">
        <v>5212</v>
      </c>
      <c r="B45" s="5" t="s">
        <v>31</v>
      </c>
      <c r="C45" s="176" t="s">
        <v>1519</v>
      </c>
      <c r="D45" s="46">
        <f>ROUND((E45/480),2)</f>
        <v>0.03</v>
      </c>
      <c r="E45" s="46">
        <f>ROUND((270.84*0.056),2)</f>
        <v>15.17</v>
      </c>
      <c r="G45" s="87"/>
    </row>
    <row r="46" spans="1:7" ht="30.75" customHeight="1" x14ac:dyDescent="0.25">
      <c r="A46" s="4">
        <v>5213</v>
      </c>
      <c r="B46" s="5" t="s">
        <v>32</v>
      </c>
      <c r="C46" s="176" t="s">
        <v>1520</v>
      </c>
      <c r="D46" s="46">
        <f>ROUND((E46/480),2)</f>
        <v>0</v>
      </c>
      <c r="E46" s="46">
        <f>ROUND((4.97*0.056),2)</f>
        <v>0.28000000000000003</v>
      </c>
      <c r="G46" s="87"/>
    </row>
    <row r="47" spans="1:7" ht="30" customHeight="1" x14ac:dyDescent="0.25">
      <c r="A47" s="19">
        <v>5218</v>
      </c>
      <c r="B47" s="38" t="s">
        <v>33</v>
      </c>
      <c r="C47" s="176" t="s">
        <v>1521</v>
      </c>
      <c r="D47" s="46">
        <f>ROUND((E47/480),2)</f>
        <v>0.01</v>
      </c>
      <c r="E47" s="46">
        <f>ROUND((58.8*0.056),2)</f>
        <v>3.29</v>
      </c>
      <c r="G47" s="87"/>
    </row>
    <row r="48" spans="1:7" ht="47.25" x14ac:dyDescent="0.25">
      <c r="A48" s="19">
        <v>5239</v>
      </c>
      <c r="B48" s="38" t="s">
        <v>18</v>
      </c>
      <c r="C48" s="176" t="s">
        <v>1522</v>
      </c>
      <c r="D48" s="46">
        <f>ROUND((E48/480),2)</f>
        <v>0.06</v>
      </c>
      <c r="E48" s="46">
        <f>ROUND((551.31*0.056),2)</f>
        <v>30.87</v>
      </c>
      <c r="G48" s="87"/>
    </row>
    <row r="49" spans="1:7" ht="15.75" x14ac:dyDescent="0.25">
      <c r="A49" s="4"/>
      <c r="B49" s="9" t="s">
        <v>23</v>
      </c>
      <c r="C49" s="34"/>
      <c r="D49" s="26">
        <f>SUM(D20+D33+D44)</f>
        <v>2.3200000000000003</v>
      </c>
      <c r="E49" s="41">
        <f>SUM(E20+E33+E44)</f>
        <v>1113.4299999999996</v>
      </c>
      <c r="G49" s="87"/>
    </row>
    <row r="50" spans="1:7" ht="31.5" x14ac:dyDescent="0.25">
      <c r="A50" s="4"/>
      <c r="B50" s="11" t="s">
        <v>28</v>
      </c>
      <c r="C50" s="34"/>
      <c r="D50" s="27">
        <f>D18+D49</f>
        <v>2.6300000000000003</v>
      </c>
      <c r="E50" s="42">
        <f>E18+E49</f>
        <v>1261.4099999999996</v>
      </c>
      <c r="G50" s="87"/>
    </row>
    <row r="51" spans="1:7" ht="15.75" x14ac:dyDescent="0.25">
      <c r="A51" s="21"/>
      <c r="B51" s="13" t="s">
        <v>29</v>
      </c>
      <c r="C51" s="34"/>
      <c r="D51" s="27">
        <f>D50*0.21</f>
        <v>0.55230000000000001</v>
      </c>
      <c r="E51" s="42">
        <f>E50*0.21</f>
        <v>264.89609999999993</v>
      </c>
      <c r="G51" s="87"/>
    </row>
    <row r="52" spans="1:7" ht="31.5" x14ac:dyDescent="0.25">
      <c r="A52" s="21"/>
      <c r="B52" s="179" t="s">
        <v>30</v>
      </c>
      <c r="C52" s="180"/>
      <c r="D52" s="181">
        <f>D50*1.21</f>
        <v>3.1823000000000001</v>
      </c>
      <c r="E52" s="182">
        <f>E50*1.21</f>
        <v>1526.3060999999996</v>
      </c>
      <c r="G52" s="87"/>
    </row>
    <row r="53" spans="1:7" ht="15.75" x14ac:dyDescent="0.25">
      <c r="A53" s="360" t="s">
        <v>42</v>
      </c>
      <c r="B53" s="360"/>
      <c r="C53" s="360"/>
      <c r="D53" s="8">
        <v>480</v>
      </c>
      <c r="E53" s="8" t="s">
        <v>196</v>
      </c>
    </row>
    <row r="54" spans="1:7" ht="33.950000000000003" customHeight="1" x14ac:dyDescent="0.25">
      <c r="A54" s="351" t="s">
        <v>65</v>
      </c>
      <c r="B54" s="351"/>
      <c r="C54" s="351"/>
      <c r="D54" s="183">
        <f>ROUND((E52/D53),2)</f>
        <v>3.18</v>
      </c>
      <c r="E54" s="8" t="s">
        <v>307</v>
      </c>
    </row>
    <row r="55" spans="1:7" ht="15.75" x14ac:dyDescent="0.25">
      <c r="A55" s="1"/>
      <c r="B55" s="1"/>
      <c r="C55" s="1"/>
    </row>
  </sheetData>
  <mergeCells count="8">
    <mergeCell ref="A53:C53"/>
    <mergeCell ref="A54:C54"/>
    <mergeCell ref="A1:C1"/>
    <mergeCell ref="A2:C2"/>
    <mergeCell ref="A3:C3"/>
    <mergeCell ref="A23:A31"/>
    <mergeCell ref="B23:B31"/>
    <mergeCell ref="A4:B4"/>
  </mergeCells>
  <pageMargins left="0.7" right="0.7" top="0.75" bottom="0.75" header="0.3" footer="0.3"/>
  <pageSetup paperSize="9" orientation="landscape" r:id="rId1"/>
  <rowBreaks count="5" manualBreakCount="5">
    <brk id="14" max="4" man="1"/>
    <brk id="23" max="16383" man="1"/>
    <brk id="29" max="16383" man="1"/>
    <brk id="37" max="16383" man="1"/>
    <brk id="47" max="16383" man="1"/>
  </rowBreaks>
  <ignoredErrors>
    <ignoredError sqref="D40 D37" formula="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0A53B-1DA9-4240-8F54-28F77D259DFF}">
  <dimension ref="A1:G61"/>
  <sheetViews>
    <sheetView topLeftCell="A46" zoomScaleNormal="100" workbookViewId="0">
      <selection activeCell="C15" sqref="C15"/>
    </sheetView>
  </sheetViews>
  <sheetFormatPr defaultRowHeight="15" x14ac:dyDescent="0.25"/>
  <cols>
    <col min="1" max="1" width="13.140625" customWidth="1"/>
    <col min="2" max="2" width="27.42578125" customWidth="1"/>
    <col min="3" max="3" width="65.5703125" customWidth="1"/>
    <col min="4" max="4" width="9.85546875" customWidth="1"/>
    <col min="5" max="5" width="17.5703125" customWidth="1"/>
  </cols>
  <sheetData>
    <row r="1" spans="1:7" ht="18.75" x14ac:dyDescent="0.3">
      <c r="A1" s="358" t="s">
        <v>178</v>
      </c>
      <c r="B1" s="358"/>
      <c r="C1" s="358"/>
    </row>
    <row r="2" spans="1:7" ht="18.75" x14ac:dyDescent="0.25">
      <c r="A2" s="113" t="s">
        <v>200</v>
      </c>
      <c r="B2" s="113"/>
      <c r="C2" s="113"/>
      <c r="D2" s="113"/>
      <c r="E2" s="113"/>
    </row>
    <row r="3" spans="1:7" ht="15.75" x14ac:dyDescent="0.25">
      <c r="A3" s="359" t="s">
        <v>74</v>
      </c>
      <c r="B3" s="359"/>
    </row>
    <row r="5" spans="1:7" ht="78.75" x14ac:dyDescent="0.25">
      <c r="A5" s="149" t="s">
        <v>0</v>
      </c>
      <c r="B5" s="149" t="s">
        <v>1</v>
      </c>
      <c r="C5" s="149" t="s">
        <v>2</v>
      </c>
      <c r="D5" s="162" t="s">
        <v>26</v>
      </c>
      <c r="E5" s="162" t="s">
        <v>27</v>
      </c>
    </row>
    <row r="6" spans="1:7" ht="15.75" x14ac:dyDescent="0.25">
      <c r="A6" s="48">
        <v>1</v>
      </c>
      <c r="B6" s="48">
        <v>2</v>
      </c>
      <c r="C6" s="48">
        <v>3</v>
      </c>
      <c r="D6" s="28">
        <v>4</v>
      </c>
      <c r="E6" s="28">
        <v>5</v>
      </c>
    </row>
    <row r="7" spans="1:7" ht="15.75" x14ac:dyDescent="0.25">
      <c r="A7" s="4"/>
      <c r="B7" s="7" t="s">
        <v>7</v>
      </c>
      <c r="C7" s="48" t="s">
        <v>8</v>
      </c>
      <c r="D7" s="25"/>
      <c r="E7" s="23"/>
    </row>
    <row r="8" spans="1:7" ht="15.75" x14ac:dyDescent="0.25">
      <c r="A8" s="8">
        <v>1000</v>
      </c>
      <c r="B8" s="7" t="s">
        <v>9</v>
      </c>
      <c r="C8" s="48"/>
      <c r="D8" s="44">
        <f>D9+D17</f>
        <v>13.57</v>
      </c>
      <c r="E8" s="44">
        <f>E9+E17</f>
        <v>3393.2699999999995</v>
      </c>
      <c r="G8" s="1"/>
    </row>
    <row r="9" spans="1:7" ht="15.75" x14ac:dyDescent="0.25">
      <c r="A9" s="280">
        <v>1100</v>
      </c>
      <c r="B9" s="280" t="s">
        <v>10</v>
      </c>
      <c r="D9" s="44">
        <f>SUM(D10+D16)</f>
        <v>10.59</v>
      </c>
      <c r="E9" s="44">
        <f>SUM(E10+E16)</f>
        <v>2648.1899999999996</v>
      </c>
    </row>
    <row r="10" spans="1:7" ht="15.75" x14ac:dyDescent="0.25">
      <c r="A10" s="16">
        <v>1110</v>
      </c>
      <c r="B10" s="16" t="s">
        <v>240</v>
      </c>
      <c r="C10" s="147" t="s">
        <v>241</v>
      </c>
      <c r="D10" s="114">
        <f>SUM(D11:D15)</f>
        <v>9.6300000000000008</v>
      </c>
      <c r="E10" s="114">
        <f>SUM(E11:E15)</f>
        <v>2407.4399999999996</v>
      </c>
    </row>
    <row r="11" spans="1:7" ht="78.75" customHeight="1" x14ac:dyDescent="0.25">
      <c r="A11" s="136"/>
      <c r="B11" s="139"/>
      <c r="C11" s="132" t="s">
        <v>364</v>
      </c>
      <c r="D11" s="114">
        <f t="shared" ref="D11:D15" si="0">ROUND((E11/250),2)</f>
        <v>1.9</v>
      </c>
      <c r="E11" s="114">
        <f>ROUND((486.2*12*0.0813),2)</f>
        <v>474.34</v>
      </c>
    </row>
    <row r="12" spans="1:7" ht="78.75" customHeight="1" x14ac:dyDescent="0.25">
      <c r="A12" s="153"/>
      <c r="B12" s="154"/>
      <c r="C12" s="132" t="s">
        <v>365</v>
      </c>
      <c r="D12" s="114">
        <f t="shared" si="0"/>
        <v>2.39</v>
      </c>
      <c r="E12" s="114">
        <f>ROUND((613.42*12*0.0813),2)</f>
        <v>598.45000000000005</v>
      </c>
    </row>
    <row r="13" spans="1:7" ht="79.5" customHeight="1" x14ac:dyDescent="0.25">
      <c r="A13" s="137"/>
      <c r="B13" s="140"/>
      <c r="C13" s="132" t="s">
        <v>366</v>
      </c>
      <c r="D13" s="114">
        <f t="shared" si="0"/>
        <v>2.2400000000000002</v>
      </c>
      <c r="E13" s="114">
        <f>ROUND((574.48*12*0.0813),2)</f>
        <v>560.46</v>
      </c>
    </row>
    <row r="14" spans="1:7" ht="77.25" customHeight="1" x14ac:dyDescent="0.25">
      <c r="A14" s="137"/>
      <c r="B14" s="140"/>
      <c r="C14" s="339" t="s">
        <v>367</v>
      </c>
      <c r="D14" s="340">
        <f t="shared" si="0"/>
        <v>2.02</v>
      </c>
      <c r="E14" s="340">
        <f>ROUND((516.85*12*0.0813),2)</f>
        <v>504.24</v>
      </c>
    </row>
    <row r="15" spans="1:7" ht="79.5" customHeight="1" x14ac:dyDescent="0.25">
      <c r="A15" s="138"/>
      <c r="B15" s="141"/>
      <c r="C15" s="341" t="s">
        <v>1575</v>
      </c>
      <c r="D15" s="342">
        <f t="shared" si="0"/>
        <v>1.08</v>
      </c>
      <c r="E15" s="342">
        <f>ROUND((276.7*12*0.0813),2)</f>
        <v>269.95</v>
      </c>
    </row>
    <row r="16" spans="1:7" ht="78.95" customHeight="1" x14ac:dyDescent="0.25">
      <c r="A16" s="131">
        <v>1140</v>
      </c>
      <c r="B16" s="5" t="s">
        <v>237</v>
      </c>
      <c r="C16" s="152" t="s">
        <v>1442</v>
      </c>
      <c r="D16" s="114">
        <f>ROUND((E16/250),2)</f>
        <v>0.96</v>
      </c>
      <c r="E16" s="114">
        <f>ROUND((474.34*0.1)+(598.45*0.1)+(560.46*0.1)+(504.24*0.1)+(269.95*0.1+0.01),2)</f>
        <v>240.75</v>
      </c>
      <c r="G16" s="40"/>
    </row>
    <row r="17" spans="1:5" ht="63.6" customHeight="1" x14ac:dyDescent="0.25">
      <c r="A17" s="7">
        <v>1200</v>
      </c>
      <c r="B17" s="285" t="s">
        <v>11</v>
      </c>
      <c r="C17" s="176" t="s">
        <v>1445</v>
      </c>
      <c r="D17" s="92">
        <f>D18+D19</f>
        <v>2.98</v>
      </c>
      <c r="E17" s="92">
        <f>E18+E19</f>
        <v>745.08</v>
      </c>
    </row>
    <row r="18" spans="1:5" ht="47.25" x14ac:dyDescent="0.25">
      <c r="A18" s="4">
        <v>1210</v>
      </c>
      <c r="B18" s="5" t="s">
        <v>239</v>
      </c>
      <c r="C18" s="176" t="s">
        <v>1443</v>
      </c>
      <c r="D18" s="45">
        <f>ROUND((E18/250),2)</f>
        <v>2.5</v>
      </c>
      <c r="E18" s="45">
        <f>ROUND((2648.19*0.2359),2)</f>
        <v>624.71</v>
      </c>
    </row>
    <row r="19" spans="1:5" ht="94.5" x14ac:dyDescent="0.25">
      <c r="A19" s="4">
        <v>1227</v>
      </c>
      <c r="B19" s="5" t="s">
        <v>238</v>
      </c>
      <c r="C19" s="176" t="s">
        <v>1444</v>
      </c>
      <c r="D19" s="45">
        <f>ROUND((E19/250),2)</f>
        <v>0.48</v>
      </c>
      <c r="E19" s="45">
        <f>ROUND((474.34*0.05)+(598.45*0.05)+(560.46*0.05)+(504.24*0.05)+(269.95*0.05),2)</f>
        <v>120.37</v>
      </c>
    </row>
    <row r="20" spans="1:5" ht="15.75" x14ac:dyDescent="0.25">
      <c r="A20" s="4"/>
      <c r="B20" s="9" t="s">
        <v>14</v>
      </c>
      <c r="C20" s="151" t="s">
        <v>16</v>
      </c>
      <c r="D20" s="44">
        <f>D8</f>
        <v>13.57</v>
      </c>
      <c r="E20" s="44">
        <f>E8</f>
        <v>3393.2699999999995</v>
      </c>
    </row>
    <row r="21" spans="1:5" ht="15.75" x14ac:dyDescent="0.25">
      <c r="A21" s="4"/>
      <c r="B21" s="9" t="s">
        <v>15</v>
      </c>
      <c r="C21" s="284" t="s">
        <v>8</v>
      </c>
      <c r="D21" s="43"/>
      <c r="E21" s="43"/>
    </row>
    <row r="22" spans="1:5" ht="15.75" x14ac:dyDescent="0.25">
      <c r="A22" s="8">
        <v>1000</v>
      </c>
      <c r="B22" s="7" t="s">
        <v>9</v>
      </c>
      <c r="C22" s="131"/>
      <c r="D22" s="92">
        <f>SUM(D23+D34)</f>
        <v>2.2400000000000002</v>
      </c>
      <c r="E22" s="92">
        <f>SUM(E23+E34)</f>
        <v>560.26</v>
      </c>
    </row>
    <row r="23" spans="1:5" ht="15.75" x14ac:dyDescent="0.25">
      <c r="A23" s="4">
        <v>1100</v>
      </c>
      <c r="B23" s="4" t="s">
        <v>10</v>
      </c>
      <c r="C23" s="131" t="s">
        <v>267</v>
      </c>
      <c r="D23" s="92">
        <f>SUM(D24:D33)</f>
        <v>1.81</v>
      </c>
      <c r="E23" s="92">
        <f>SUM(E24:E33)</f>
        <v>453.32000000000005</v>
      </c>
    </row>
    <row r="24" spans="1:5" ht="81" customHeight="1" x14ac:dyDescent="0.25">
      <c r="A24" s="237"/>
      <c r="B24" s="238"/>
      <c r="C24" s="132" t="s">
        <v>301</v>
      </c>
      <c r="D24" s="45">
        <f t="shared" ref="D24:D34" si="1">ROUND((E24/250),2)</f>
        <v>0.05</v>
      </c>
      <c r="E24" s="45">
        <f>ROUND((14.05*12*0.0813),2)</f>
        <v>13.71</v>
      </c>
    </row>
    <row r="25" spans="1:5" ht="78" customHeight="1" x14ac:dyDescent="0.25">
      <c r="A25" s="355"/>
      <c r="B25" s="353"/>
      <c r="C25" s="132" t="s">
        <v>302</v>
      </c>
      <c r="D25" s="45">
        <f>ROUND((E25/250),2)</f>
        <v>0.04</v>
      </c>
      <c r="E25" s="45">
        <f>ROUND((9.32*12*0.0813),2)</f>
        <v>9.09</v>
      </c>
    </row>
    <row r="26" spans="1:5" ht="78.75" customHeight="1" x14ac:dyDescent="0.25">
      <c r="A26" s="355"/>
      <c r="B26" s="353"/>
      <c r="C26" s="132" t="s">
        <v>1446</v>
      </c>
      <c r="D26" s="45">
        <f t="shared" si="1"/>
        <v>0.05</v>
      </c>
      <c r="E26" s="45">
        <f>ROUND((13.46*12*0.0813),2)</f>
        <v>13.13</v>
      </c>
    </row>
    <row r="27" spans="1:5" ht="78.75" x14ac:dyDescent="0.25">
      <c r="A27" s="355"/>
      <c r="B27" s="353"/>
      <c r="C27" s="132" t="s">
        <v>303</v>
      </c>
      <c r="D27" s="45">
        <f t="shared" si="1"/>
        <v>7.0000000000000007E-2</v>
      </c>
      <c r="E27" s="45">
        <f>ROUND((18.64*12*0.0813),2)</f>
        <v>18.190000000000001</v>
      </c>
    </row>
    <row r="28" spans="1:5" ht="77.45" customHeight="1" x14ac:dyDescent="0.25">
      <c r="A28" s="355"/>
      <c r="B28" s="353"/>
      <c r="C28" s="132" t="s">
        <v>304</v>
      </c>
      <c r="D28" s="45">
        <f t="shared" si="1"/>
        <v>0.05</v>
      </c>
      <c r="E28" s="45">
        <f>ROUND((13.16*12*0.0813),2)</f>
        <v>12.84</v>
      </c>
    </row>
    <row r="29" spans="1:5" ht="78" customHeight="1" x14ac:dyDescent="0.25">
      <c r="A29" s="355"/>
      <c r="B29" s="353"/>
      <c r="C29" s="132" t="s">
        <v>305</v>
      </c>
      <c r="D29" s="45">
        <f t="shared" si="1"/>
        <v>0.3</v>
      </c>
      <c r="E29" s="45">
        <f>ROUND((75.79*12*0.0813),2)</f>
        <v>73.94</v>
      </c>
    </row>
    <row r="30" spans="1:5" ht="79.5" customHeight="1" x14ac:dyDescent="0.25">
      <c r="A30" s="355"/>
      <c r="B30" s="353"/>
      <c r="C30" s="132" t="s">
        <v>300</v>
      </c>
      <c r="D30" s="45">
        <f>ROUND((E30/250),2)</f>
        <v>0.3</v>
      </c>
      <c r="E30" s="45">
        <f>ROUND((77.25*12*0.0813),2)</f>
        <v>75.37</v>
      </c>
    </row>
    <row r="31" spans="1:5" ht="80.25" customHeight="1" x14ac:dyDescent="0.25">
      <c r="A31" s="355"/>
      <c r="B31" s="353"/>
      <c r="C31" s="132" t="s">
        <v>299</v>
      </c>
      <c r="D31" s="45">
        <f t="shared" si="1"/>
        <v>0.39</v>
      </c>
      <c r="E31" s="45">
        <f>ROUND((98.97*12*0.0813),2)</f>
        <v>96.56</v>
      </c>
    </row>
    <row r="32" spans="1:5" ht="95.25" customHeight="1" x14ac:dyDescent="0.25">
      <c r="A32" s="355"/>
      <c r="B32" s="353"/>
      <c r="C32" s="132" t="s">
        <v>298</v>
      </c>
      <c r="D32" s="45">
        <f t="shared" si="1"/>
        <v>0.45</v>
      </c>
      <c r="E32" s="45">
        <f>ROUND((114.88*12*0.0813),2)</f>
        <v>112.08</v>
      </c>
    </row>
    <row r="33" spans="1:5" ht="78.75" customHeight="1" x14ac:dyDescent="0.25">
      <c r="A33" s="356"/>
      <c r="B33" s="354"/>
      <c r="C33" s="132" t="s">
        <v>297</v>
      </c>
      <c r="D33" s="45">
        <f t="shared" si="1"/>
        <v>0.11</v>
      </c>
      <c r="E33" s="45">
        <f>ROUND((29.12*12*0.0813),2)</f>
        <v>28.41</v>
      </c>
    </row>
    <row r="34" spans="1:5" ht="63.75" customHeight="1" x14ac:dyDescent="0.25">
      <c r="A34" s="324">
        <v>1200</v>
      </c>
      <c r="B34" s="320" t="s">
        <v>11</v>
      </c>
      <c r="C34" s="5" t="s">
        <v>1094</v>
      </c>
      <c r="D34" s="92">
        <f t="shared" si="1"/>
        <v>0.43</v>
      </c>
      <c r="E34" s="92">
        <f>ROUND((453.32*0.2359),2)</f>
        <v>106.94</v>
      </c>
    </row>
    <row r="35" spans="1:5" ht="15.75" x14ac:dyDescent="0.25">
      <c r="A35" s="8">
        <v>2000</v>
      </c>
      <c r="B35" s="7" t="s">
        <v>12</v>
      </c>
      <c r="C35" s="131"/>
      <c r="D35" s="44">
        <f>SUM(D36:D49)</f>
        <v>38.35</v>
      </c>
      <c r="E35" s="44">
        <f>SUM(E36:E49)</f>
        <v>9587.5700000000015</v>
      </c>
    </row>
    <row r="36" spans="1:5" ht="30.75" customHeight="1" x14ac:dyDescent="0.25">
      <c r="A36" s="4">
        <v>2221</v>
      </c>
      <c r="B36" s="112" t="s">
        <v>60</v>
      </c>
      <c r="C36" s="5" t="s">
        <v>1095</v>
      </c>
      <c r="D36" s="45">
        <f t="shared" ref="D36:D42" si="2">ROUND((E36/250),2)</f>
        <v>26.97</v>
      </c>
      <c r="E36" s="45">
        <f>ROUND((82944.32*0.0813),2)</f>
        <v>6743.37</v>
      </c>
    </row>
    <row r="37" spans="1:5" ht="30" customHeight="1" x14ac:dyDescent="0.25">
      <c r="A37" s="4">
        <v>2222</v>
      </c>
      <c r="B37" s="5" t="s">
        <v>61</v>
      </c>
      <c r="C37" s="5" t="s">
        <v>1096</v>
      </c>
      <c r="D37" s="45">
        <f t="shared" si="2"/>
        <v>1.37</v>
      </c>
      <c r="E37" s="45">
        <f>ROUND((4203.76*0.0813),2)</f>
        <v>341.77</v>
      </c>
    </row>
    <row r="38" spans="1:5" ht="31.5" customHeight="1" x14ac:dyDescent="0.25">
      <c r="A38" s="4">
        <v>2223</v>
      </c>
      <c r="B38" s="5" t="s">
        <v>19</v>
      </c>
      <c r="C38" s="5" t="s">
        <v>1097</v>
      </c>
      <c r="D38" s="45">
        <f t="shared" si="2"/>
        <v>2.54</v>
      </c>
      <c r="E38" s="45">
        <f>ROUND((7807.39*0.0813),2)</f>
        <v>634.74</v>
      </c>
    </row>
    <row r="39" spans="1:5" ht="76.5" customHeight="1" x14ac:dyDescent="0.25">
      <c r="A39" s="4">
        <v>2224</v>
      </c>
      <c r="B39" s="112" t="s">
        <v>62</v>
      </c>
      <c r="C39" s="5" t="s">
        <v>1098</v>
      </c>
      <c r="D39" s="45">
        <f t="shared" si="2"/>
        <v>0.09</v>
      </c>
      <c r="E39" s="45">
        <f>ROUND((275.91*0.0813),2)</f>
        <v>22.43</v>
      </c>
    </row>
    <row r="40" spans="1:5" ht="31.5" x14ac:dyDescent="0.25">
      <c r="A40" s="4">
        <v>2232</v>
      </c>
      <c r="B40" s="125" t="s">
        <v>45</v>
      </c>
      <c r="C40" s="126" t="s">
        <v>1099</v>
      </c>
      <c r="D40" s="45">
        <f t="shared" si="2"/>
        <v>0.05</v>
      </c>
      <c r="E40" s="45">
        <f>ROUND((149.11*0.0813),2)</f>
        <v>12.12</v>
      </c>
    </row>
    <row r="41" spans="1:5" ht="31.5" x14ac:dyDescent="0.25">
      <c r="A41" s="4">
        <v>2239</v>
      </c>
      <c r="B41" s="58" t="s">
        <v>20</v>
      </c>
      <c r="C41" s="126" t="s">
        <v>1100</v>
      </c>
      <c r="D41" s="45">
        <f t="shared" si="2"/>
        <v>0.02</v>
      </c>
      <c r="E41" s="45">
        <f>ROUND((57*0.0813),2)</f>
        <v>4.63</v>
      </c>
    </row>
    <row r="42" spans="1:5" ht="33" customHeight="1" x14ac:dyDescent="0.25">
      <c r="A42" s="4">
        <v>2241</v>
      </c>
      <c r="B42" s="112" t="s">
        <v>64</v>
      </c>
      <c r="C42" s="5" t="s">
        <v>1101</v>
      </c>
      <c r="D42" s="45">
        <f t="shared" si="2"/>
        <v>0.61</v>
      </c>
      <c r="E42" s="45">
        <f>ROUND((1875.92*0.0813),2)</f>
        <v>152.51</v>
      </c>
    </row>
    <row r="43" spans="1:5" ht="48" customHeight="1" x14ac:dyDescent="0.25">
      <c r="A43" s="4">
        <v>2243</v>
      </c>
      <c r="B43" s="55" t="s">
        <v>21</v>
      </c>
      <c r="C43" s="126" t="s">
        <v>1102</v>
      </c>
      <c r="D43" s="45">
        <f t="shared" ref="D43" si="3">ROUND((E43/250),2)</f>
        <v>0.31</v>
      </c>
      <c r="E43" s="45">
        <f>ROUND((956.5*0.0813),2)</f>
        <v>77.760000000000005</v>
      </c>
    </row>
    <row r="44" spans="1:5" ht="48.75" customHeight="1" x14ac:dyDescent="0.25">
      <c r="A44" s="4">
        <v>2244</v>
      </c>
      <c r="B44" s="57" t="s">
        <v>22</v>
      </c>
      <c r="C44" s="5" t="s">
        <v>1103</v>
      </c>
      <c r="D44" s="45">
        <f>ROUND((E44/250),2)</f>
        <v>1.1000000000000001</v>
      </c>
      <c r="E44" s="45">
        <f>ROUND(3378.56*0.0813,2)</f>
        <v>274.68</v>
      </c>
    </row>
    <row r="45" spans="1:5" ht="30" customHeight="1" x14ac:dyDescent="0.25">
      <c r="A45" s="4">
        <v>2249</v>
      </c>
      <c r="B45" s="57" t="s">
        <v>50</v>
      </c>
      <c r="C45" s="5" t="s">
        <v>1104</v>
      </c>
      <c r="D45" s="45">
        <f>ROUND((E45/250),2)-0.01</f>
        <v>1.2</v>
      </c>
      <c r="E45" s="45">
        <f>ROUND(3705.93*0.0813,2)</f>
        <v>301.29000000000002</v>
      </c>
    </row>
    <row r="46" spans="1:5" ht="30" customHeight="1" x14ac:dyDescent="0.25">
      <c r="A46" s="4">
        <v>2312</v>
      </c>
      <c r="B46" s="4" t="s">
        <v>13</v>
      </c>
      <c r="C46" s="5" t="s">
        <v>1105</v>
      </c>
      <c r="D46" s="45">
        <f>ROUND((E46/250),2)</f>
        <v>0.28000000000000003</v>
      </c>
      <c r="E46" s="45">
        <f>ROUND(856.97*0.0813,2)</f>
        <v>69.67</v>
      </c>
    </row>
    <row r="47" spans="1:5" ht="47.25" customHeight="1" x14ac:dyDescent="0.25">
      <c r="A47" s="4">
        <v>2350</v>
      </c>
      <c r="B47" s="5" t="s">
        <v>236</v>
      </c>
      <c r="C47" s="163" t="s">
        <v>1106</v>
      </c>
      <c r="D47" s="45">
        <f>ROUND((E47/250),2)</f>
        <v>0.56000000000000005</v>
      </c>
      <c r="E47" s="114">
        <f>ROUND((1711.8*0.0813),2)</f>
        <v>139.16999999999999</v>
      </c>
    </row>
    <row r="48" spans="1:5" ht="33" customHeight="1" x14ac:dyDescent="0.25">
      <c r="A48" s="4">
        <v>2513</v>
      </c>
      <c r="B48" s="5" t="s">
        <v>63</v>
      </c>
      <c r="C48" s="5" t="s">
        <v>1107</v>
      </c>
      <c r="D48" s="45">
        <f t="shared" ref="D48:D49" si="4">ROUND((E48/250),2)</f>
        <v>2.63</v>
      </c>
      <c r="E48" s="45">
        <f>ROUND((8084.39*0.0813),2)</f>
        <v>657.26</v>
      </c>
    </row>
    <row r="49" spans="1:5" ht="30.75" customHeight="1" x14ac:dyDescent="0.25">
      <c r="A49" s="4">
        <v>2515</v>
      </c>
      <c r="B49" s="5" t="s">
        <v>49</v>
      </c>
      <c r="C49" s="5" t="s">
        <v>1108</v>
      </c>
      <c r="D49" s="45">
        <f t="shared" si="4"/>
        <v>0.62</v>
      </c>
      <c r="E49" s="45">
        <f>ROUND((1920.89*0.0813),2)</f>
        <v>156.16999999999999</v>
      </c>
    </row>
    <row r="50" spans="1:5" ht="15.75" x14ac:dyDescent="0.25">
      <c r="A50" s="10">
        <v>5000</v>
      </c>
      <c r="B50" s="9" t="s">
        <v>17</v>
      </c>
      <c r="C50" s="131"/>
      <c r="D50" s="44">
        <f>SUM(D51:D54)</f>
        <v>2.58</v>
      </c>
      <c r="E50" s="44">
        <f>SUM(E51:E54)</f>
        <v>645.81999999999994</v>
      </c>
    </row>
    <row r="51" spans="1:5" ht="31.5" customHeight="1" x14ac:dyDescent="0.25">
      <c r="A51" s="4">
        <v>5212</v>
      </c>
      <c r="B51" s="5" t="s">
        <v>31</v>
      </c>
      <c r="C51" s="5" t="s">
        <v>1109</v>
      </c>
      <c r="D51" s="45">
        <f>ROUND((E51/250),2)</f>
        <v>1.24</v>
      </c>
      <c r="E51" s="45">
        <f>ROUND((3809.72*0.0813),2)</f>
        <v>309.73</v>
      </c>
    </row>
    <row r="52" spans="1:5" ht="30" customHeight="1" x14ac:dyDescent="0.25">
      <c r="A52" s="4">
        <v>5213</v>
      </c>
      <c r="B52" s="5" t="s">
        <v>32</v>
      </c>
      <c r="C52" s="5" t="s">
        <v>1110</v>
      </c>
      <c r="D52" s="45">
        <f>ROUND((E52/250),2)</f>
        <v>0.08</v>
      </c>
      <c r="E52" s="45">
        <f>ROUND((251.64*0.0813),2)</f>
        <v>20.46</v>
      </c>
    </row>
    <row r="53" spans="1:5" ht="32.25" customHeight="1" x14ac:dyDescent="0.25">
      <c r="A53" s="19">
        <v>5218</v>
      </c>
      <c r="B53" s="50" t="s">
        <v>33</v>
      </c>
      <c r="C53" s="5" t="s">
        <v>1111</v>
      </c>
      <c r="D53" s="45">
        <f>ROUND((E53/250),2)</f>
        <v>0.37</v>
      </c>
      <c r="E53" s="45">
        <f>ROUND((1134.21*0.0813),2)</f>
        <v>92.21</v>
      </c>
    </row>
    <row r="54" spans="1:5" ht="47.25" x14ac:dyDescent="0.25">
      <c r="A54" s="19">
        <v>5239</v>
      </c>
      <c r="B54" s="50" t="s">
        <v>18</v>
      </c>
      <c r="C54" s="5" t="s">
        <v>1112</v>
      </c>
      <c r="D54" s="45">
        <f>ROUND((E54/250),2)</f>
        <v>0.89</v>
      </c>
      <c r="E54" s="45">
        <f>ROUND((2748.15*0.0813),2)</f>
        <v>223.42</v>
      </c>
    </row>
    <row r="55" spans="1:5" ht="15.75" x14ac:dyDescent="0.25">
      <c r="A55" s="4"/>
      <c r="B55" s="9" t="s">
        <v>23</v>
      </c>
      <c r="C55" s="48"/>
      <c r="D55" s="26">
        <f>SUM(D22+D35+D50)</f>
        <v>43.17</v>
      </c>
      <c r="E55" s="41">
        <f>SUM(E22+E35+E50)</f>
        <v>10793.650000000001</v>
      </c>
    </row>
    <row r="56" spans="1:5" ht="31.5" x14ac:dyDescent="0.25">
      <c r="A56" s="4"/>
      <c r="B56" s="11" t="s">
        <v>28</v>
      </c>
      <c r="C56" s="48"/>
      <c r="D56" s="27">
        <f>D20+D55</f>
        <v>56.74</v>
      </c>
      <c r="E56" s="42">
        <f>E20+E55</f>
        <v>14186.920000000002</v>
      </c>
    </row>
    <row r="57" spans="1:5" ht="15.75" x14ac:dyDescent="0.25">
      <c r="A57" s="21"/>
      <c r="B57" s="13" t="s">
        <v>29</v>
      </c>
      <c r="C57" s="48"/>
      <c r="D57" s="27">
        <f>D56*0.21</f>
        <v>11.9154</v>
      </c>
      <c r="E57" s="42">
        <f>E56*0.21</f>
        <v>2979.2532000000001</v>
      </c>
    </row>
    <row r="58" spans="1:5" ht="31.5" x14ac:dyDescent="0.25">
      <c r="A58" s="21"/>
      <c r="B58" s="179" t="s">
        <v>30</v>
      </c>
      <c r="C58" s="180"/>
      <c r="D58" s="181">
        <f>D56*1.21</f>
        <v>68.6554</v>
      </c>
      <c r="E58" s="182">
        <f>E56*1.21</f>
        <v>17166.173200000001</v>
      </c>
    </row>
    <row r="59" spans="1:5" ht="18" customHeight="1" x14ac:dyDescent="0.25">
      <c r="A59" s="360" t="s">
        <v>66</v>
      </c>
      <c r="B59" s="360"/>
      <c r="C59" s="360"/>
      <c r="D59" s="8">
        <v>250</v>
      </c>
      <c r="E59" s="8" t="s">
        <v>196</v>
      </c>
    </row>
    <row r="60" spans="1:5" ht="33.950000000000003" customHeight="1" x14ac:dyDescent="0.25">
      <c r="A60" s="351" t="s">
        <v>65</v>
      </c>
      <c r="B60" s="351"/>
      <c r="C60" s="351"/>
      <c r="D60" s="183">
        <f>E58/D59</f>
        <v>68.664692799999997</v>
      </c>
      <c r="E60" s="8" t="s">
        <v>307</v>
      </c>
    </row>
    <row r="61" spans="1:5" ht="15.75" x14ac:dyDescent="0.25">
      <c r="A61" s="1"/>
      <c r="B61" s="1"/>
      <c r="C61" s="1"/>
    </row>
  </sheetData>
  <mergeCells count="6">
    <mergeCell ref="A59:C59"/>
    <mergeCell ref="A60:C60"/>
    <mergeCell ref="A1:C1"/>
    <mergeCell ref="A3:B3"/>
    <mergeCell ref="A25:A33"/>
    <mergeCell ref="B25:B33"/>
  </mergeCells>
  <pageMargins left="0.7" right="0.7" top="0.75" bottom="0.75" header="0.3" footer="0.3"/>
  <pageSetup paperSize="9" scale="96" orientation="landscape" r:id="rId1"/>
  <rowBreaks count="5" manualBreakCount="5">
    <brk id="13" max="4" man="1"/>
    <brk id="20" max="16383" man="1"/>
    <brk id="28" max="16383" man="1"/>
    <brk id="34" max="16383" man="1"/>
    <brk id="45" max="16383" man="1"/>
  </rowBreaks>
  <ignoredErrors>
    <ignoredError sqref="D45 D17" 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BAF01-6AA6-4B49-BB10-B241279F7350}">
  <dimension ref="A1:I60"/>
  <sheetViews>
    <sheetView topLeftCell="A46" zoomScaleNormal="100" workbookViewId="0">
      <selection activeCell="C15" sqref="C15"/>
    </sheetView>
  </sheetViews>
  <sheetFormatPr defaultRowHeight="15" x14ac:dyDescent="0.25"/>
  <cols>
    <col min="1" max="1" width="13.140625" customWidth="1"/>
    <col min="2" max="2" width="27.140625" customWidth="1"/>
    <col min="3" max="3" width="64.140625" customWidth="1"/>
    <col min="4" max="4" width="9.85546875" customWidth="1"/>
    <col min="5" max="5" width="18" customWidth="1"/>
  </cols>
  <sheetData>
    <row r="1" spans="1:5" ht="18.75" x14ac:dyDescent="0.3">
      <c r="A1" s="358" t="s">
        <v>178</v>
      </c>
      <c r="B1" s="358"/>
      <c r="C1" s="358"/>
    </row>
    <row r="2" spans="1:5" ht="18.75" x14ac:dyDescent="0.25">
      <c r="A2" s="113" t="s">
        <v>199</v>
      </c>
      <c r="B2" s="113"/>
      <c r="C2" s="113"/>
      <c r="D2" s="113"/>
      <c r="E2" s="113"/>
    </row>
    <row r="3" spans="1:5" ht="15.75" x14ac:dyDescent="0.25">
      <c r="A3" s="359" t="s">
        <v>74</v>
      </c>
      <c r="B3" s="359"/>
    </row>
    <row r="5" spans="1:5" ht="78.75" x14ac:dyDescent="0.25">
      <c r="A5" s="149" t="s">
        <v>0</v>
      </c>
      <c r="B5" s="149" t="s">
        <v>1</v>
      </c>
      <c r="C5" s="149" t="s">
        <v>2</v>
      </c>
      <c r="D5" s="162" t="s">
        <v>26</v>
      </c>
      <c r="E5" s="162" t="s">
        <v>27</v>
      </c>
    </row>
    <row r="6" spans="1:5" ht="15.75" x14ac:dyDescent="0.25">
      <c r="A6" s="109">
        <v>1</v>
      </c>
      <c r="B6" s="109">
        <v>2</v>
      </c>
      <c r="C6" s="109">
        <v>3</v>
      </c>
      <c r="D6" s="28">
        <v>4</v>
      </c>
      <c r="E6" s="28">
        <v>5</v>
      </c>
    </row>
    <row r="7" spans="1:5" ht="15.75" x14ac:dyDescent="0.25">
      <c r="A7" s="4"/>
      <c r="B7" s="7" t="s">
        <v>7</v>
      </c>
      <c r="C7" s="109" t="s">
        <v>8</v>
      </c>
      <c r="D7" s="25"/>
      <c r="E7" s="23"/>
    </row>
    <row r="8" spans="1:5" ht="15.75" x14ac:dyDescent="0.25">
      <c r="A8" s="8">
        <v>1000</v>
      </c>
      <c r="B8" s="7" t="s">
        <v>9</v>
      </c>
      <c r="C8" s="109"/>
      <c r="D8" s="26">
        <f>D9+D17</f>
        <v>6.8100000000000005</v>
      </c>
      <c r="E8" s="26">
        <f>E9+E17</f>
        <v>375.62408499999998</v>
      </c>
    </row>
    <row r="9" spans="1:5" ht="15.75" x14ac:dyDescent="0.25">
      <c r="A9" s="280">
        <v>1100</v>
      </c>
      <c r="B9" s="280" t="s">
        <v>10</v>
      </c>
      <c r="D9" s="26">
        <f>SUM(D10+D16)</f>
        <v>5.3100000000000005</v>
      </c>
      <c r="E9" s="26">
        <f>SUM(E10+E16)</f>
        <v>293.14999999999998</v>
      </c>
    </row>
    <row r="10" spans="1:5" ht="15.75" x14ac:dyDescent="0.25">
      <c r="A10" s="16">
        <v>1110</v>
      </c>
      <c r="B10" s="16" t="s">
        <v>240</v>
      </c>
      <c r="C10" s="147" t="s">
        <v>241</v>
      </c>
      <c r="D10" s="62">
        <f>SUM(D11:D15)</f>
        <v>4.83</v>
      </c>
      <c r="E10" s="62">
        <f>SUM(E11:E15)</f>
        <v>266.5</v>
      </c>
    </row>
    <row r="11" spans="1:5" ht="80.25" customHeight="1" x14ac:dyDescent="0.25">
      <c r="A11" s="136"/>
      <c r="B11" s="139"/>
      <c r="C11" s="152" t="s">
        <v>371</v>
      </c>
      <c r="D11" s="62">
        <f>ROUND((E11/55),2)</f>
        <v>0.95</v>
      </c>
      <c r="E11" s="114">
        <f>ROUND((486.2*12*0.009),2)</f>
        <v>52.51</v>
      </c>
    </row>
    <row r="12" spans="1:5" ht="79.5" customHeight="1" x14ac:dyDescent="0.25">
      <c r="A12" s="153"/>
      <c r="B12" s="154"/>
      <c r="C12" s="152" t="s">
        <v>370</v>
      </c>
      <c r="D12" s="62">
        <f t="shared" ref="D12:D19" si="0">ROUND((E12/55),2)</f>
        <v>1.2</v>
      </c>
      <c r="E12" s="114">
        <f>ROUND((613.42*12*0.009),2)</f>
        <v>66.25</v>
      </c>
    </row>
    <row r="13" spans="1:5" ht="78.75" customHeight="1" x14ac:dyDescent="0.25">
      <c r="A13" s="137"/>
      <c r="B13" s="140"/>
      <c r="C13" s="152" t="s">
        <v>369</v>
      </c>
      <c r="D13" s="62">
        <f t="shared" si="0"/>
        <v>1.1299999999999999</v>
      </c>
      <c r="E13" s="114">
        <f>ROUND((574.48*12*0.009),2)</f>
        <v>62.04</v>
      </c>
    </row>
    <row r="14" spans="1:5" ht="78.75" x14ac:dyDescent="0.25">
      <c r="A14" s="137"/>
      <c r="B14" s="140"/>
      <c r="C14" s="152" t="s">
        <v>368</v>
      </c>
      <c r="D14" s="62">
        <f t="shared" si="0"/>
        <v>1.01</v>
      </c>
      <c r="E14" s="114">
        <f>ROUND((516.85*12*0.009),2)</f>
        <v>55.82</v>
      </c>
    </row>
    <row r="15" spans="1:5" ht="78.75" x14ac:dyDescent="0.25">
      <c r="A15" s="138"/>
      <c r="B15" s="141"/>
      <c r="C15" s="152" t="s">
        <v>1574</v>
      </c>
      <c r="D15" s="62">
        <f t="shared" si="0"/>
        <v>0.54</v>
      </c>
      <c r="E15" s="114">
        <f>ROUND((276.7*12*0.009),2)</f>
        <v>29.88</v>
      </c>
    </row>
    <row r="16" spans="1:5" ht="78.75" customHeight="1" x14ac:dyDescent="0.25">
      <c r="A16" s="131">
        <v>1140</v>
      </c>
      <c r="B16" s="5" t="s">
        <v>237</v>
      </c>
      <c r="C16" s="152" t="s">
        <v>308</v>
      </c>
      <c r="D16" s="62">
        <f t="shared" si="0"/>
        <v>0.48</v>
      </c>
      <c r="E16" s="114">
        <f>ROUND((52.51*0.1)+(66.25*0.1)+(62.04*0.1)+(55.82*0.1)+(29.88*0.1),2)</f>
        <v>26.65</v>
      </c>
    </row>
    <row r="17" spans="1:9" ht="64.5" customHeight="1" x14ac:dyDescent="0.25">
      <c r="A17" s="7">
        <v>1200</v>
      </c>
      <c r="B17" s="285" t="s">
        <v>11</v>
      </c>
      <c r="C17" s="176" t="s">
        <v>311</v>
      </c>
      <c r="D17" s="88">
        <f>D18+D19</f>
        <v>1.5</v>
      </c>
      <c r="E17" s="92">
        <f>E18+E19</f>
        <v>82.474085000000002</v>
      </c>
    </row>
    <row r="18" spans="1:9" ht="50.25" customHeight="1" x14ac:dyDescent="0.25">
      <c r="A18" s="4">
        <v>1210</v>
      </c>
      <c r="B18" s="5" t="s">
        <v>239</v>
      </c>
      <c r="C18" s="176" t="s">
        <v>309</v>
      </c>
      <c r="D18" s="62">
        <f t="shared" si="0"/>
        <v>1.26</v>
      </c>
      <c r="E18" s="45">
        <f>293.15*0.2359</f>
        <v>69.154084999999995</v>
      </c>
    </row>
    <row r="19" spans="1:9" ht="78.75" customHeight="1" x14ac:dyDescent="0.25">
      <c r="A19" s="4">
        <v>1227</v>
      </c>
      <c r="B19" s="5" t="s">
        <v>238</v>
      </c>
      <c r="C19" s="176" t="s">
        <v>310</v>
      </c>
      <c r="D19" s="62">
        <f t="shared" si="0"/>
        <v>0.24</v>
      </c>
      <c r="E19" s="114">
        <f>ROUND((52.51*0.05)+(66.25*0.05)+(62.04*0.05)+(55.82*0.05)+(29.88*0.05)-0.01,2)</f>
        <v>13.32</v>
      </c>
      <c r="F19" s="40"/>
    </row>
    <row r="20" spans="1:9" ht="15.75" x14ac:dyDescent="0.25">
      <c r="A20" s="4"/>
      <c r="B20" s="9" t="s">
        <v>14</v>
      </c>
      <c r="C20" s="110" t="s">
        <v>16</v>
      </c>
      <c r="D20" s="26">
        <f>D8</f>
        <v>6.8100000000000005</v>
      </c>
      <c r="E20" s="44">
        <f>E8</f>
        <v>375.62408499999998</v>
      </c>
    </row>
    <row r="21" spans="1:9" ht="15.75" x14ac:dyDescent="0.25">
      <c r="A21" s="4"/>
      <c r="B21" s="9" t="s">
        <v>15</v>
      </c>
      <c r="C21" s="109" t="s">
        <v>8</v>
      </c>
      <c r="D21" s="23"/>
      <c r="E21" s="43"/>
    </row>
    <row r="22" spans="1:9" ht="15.75" x14ac:dyDescent="0.25">
      <c r="A22" s="8">
        <v>1000</v>
      </c>
      <c r="B22" s="7" t="s">
        <v>9</v>
      </c>
      <c r="C22" s="109"/>
      <c r="D22" s="88">
        <f>SUM(D23+D34)</f>
        <v>1.1499999999999999</v>
      </c>
      <c r="E22" s="88">
        <f>SUM(E23+E34)</f>
        <v>62.019999999999996</v>
      </c>
    </row>
    <row r="23" spans="1:9" ht="15.75" x14ac:dyDescent="0.25">
      <c r="A23" s="7">
        <v>1100</v>
      </c>
      <c r="B23" s="7" t="s">
        <v>10</v>
      </c>
      <c r="C23" s="147" t="s">
        <v>267</v>
      </c>
      <c r="D23" s="88">
        <f>SUM(D24:D33)</f>
        <v>0.92999999999999994</v>
      </c>
      <c r="E23" s="88">
        <f>SUM(E24:E33)</f>
        <v>50.179999999999993</v>
      </c>
    </row>
    <row r="24" spans="1:9" ht="80.25" customHeight="1" x14ac:dyDescent="0.25">
      <c r="A24" s="237"/>
      <c r="B24" s="238"/>
      <c r="C24" s="111" t="s">
        <v>1066</v>
      </c>
      <c r="D24" s="28">
        <f>ROUND((E24/55),2)</f>
        <v>0.03</v>
      </c>
      <c r="E24" s="28">
        <f>ROUND((14.05*12*0.009),2)</f>
        <v>1.52</v>
      </c>
      <c r="I24" s="87"/>
    </row>
    <row r="25" spans="1:9" ht="81" customHeight="1" x14ac:dyDescent="0.25">
      <c r="A25" s="355"/>
      <c r="B25" s="353"/>
      <c r="C25" s="152" t="s">
        <v>1067</v>
      </c>
      <c r="D25" s="28">
        <f t="shared" ref="D25:D34" si="1">ROUND((E25/55),2)</f>
        <v>0.02</v>
      </c>
      <c r="E25" s="28">
        <f>ROUND((9.32*12*0.009),2)</f>
        <v>1.01</v>
      </c>
      <c r="I25" s="87"/>
    </row>
    <row r="26" spans="1:9" ht="79.5" customHeight="1" x14ac:dyDescent="0.25">
      <c r="A26" s="355"/>
      <c r="B26" s="353"/>
      <c r="C26" s="152" t="s">
        <v>1068</v>
      </c>
      <c r="D26" s="28">
        <f t="shared" si="1"/>
        <v>0.03</v>
      </c>
      <c r="E26" s="28">
        <f>ROUND((13.46*12*0.009),2)</f>
        <v>1.45</v>
      </c>
      <c r="I26" s="87"/>
    </row>
    <row r="27" spans="1:9" ht="80.25" customHeight="1" x14ac:dyDescent="0.25">
      <c r="A27" s="355"/>
      <c r="B27" s="353"/>
      <c r="C27" s="152" t="s">
        <v>1069</v>
      </c>
      <c r="D27" s="28">
        <f t="shared" si="1"/>
        <v>0.04</v>
      </c>
      <c r="E27" s="28">
        <f>ROUND((18.64*12*0.009),2)</f>
        <v>2.0099999999999998</v>
      </c>
      <c r="I27" s="87"/>
    </row>
    <row r="28" spans="1:9" ht="78" customHeight="1" x14ac:dyDescent="0.25">
      <c r="A28" s="355"/>
      <c r="B28" s="353"/>
      <c r="C28" s="111" t="s">
        <v>1070</v>
      </c>
      <c r="D28" s="28">
        <f t="shared" si="1"/>
        <v>0.03</v>
      </c>
      <c r="E28" s="28">
        <f>ROUND((13.16*12*0.009),2)</f>
        <v>1.42</v>
      </c>
      <c r="I28" s="87"/>
    </row>
    <row r="29" spans="1:9" ht="78.75" customHeight="1" x14ac:dyDescent="0.25">
      <c r="A29" s="355"/>
      <c r="B29" s="353"/>
      <c r="C29" s="111" t="s">
        <v>1071</v>
      </c>
      <c r="D29" s="28">
        <f t="shared" si="1"/>
        <v>0.15</v>
      </c>
      <c r="E29" s="47">
        <f>ROUND((75.79*12*0.009),2)</f>
        <v>8.19</v>
      </c>
      <c r="I29" s="87"/>
    </row>
    <row r="30" spans="1:9" ht="78.75" customHeight="1" x14ac:dyDescent="0.25">
      <c r="A30" s="355"/>
      <c r="B30" s="353"/>
      <c r="C30" s="111" t="s">
        <v>1072</v>
      </c>
      <c r="D30" s="28">
        <f t="shared" si="1"/>
        <v>0.15</v>
      </c>
      <c r="E30" s="28">
        <f>ROUND((77.25*12*0.009),2)</f>
        <v>8.34</v>
      </c>
      <c r="I30" s="87"/>
    </row>
    <row r="31" spans="1:9" ht="78.75" x14ac:dyDescent="0.25">
      <c r="A31" s="355"/>
      <c r="B31" s="353"/>
      <c r="C31" s="111" t="s">
        <v>1073</v>
      </c>
      <c r="D31" s="164">
        <f t="shared" si="1"/>
        <v>0.19</v>
      </c>
      <c r="E31" s="46">
        <f>ROUND((98.97*12*0.009),2)</f>
        <v>10.69</v>
      </c>
      <c r="I31" s="87"/>
    </row>
    <row r="32" spans="1:9" ht="94.5" x14ac:dyDescent="0.25">
      <c r="A32" s="355"/>
      <c r="B32" s="353"/>
      <c r="C32" s="111" t="s">
        <v>1074</v>
      </c>
      <c r="D32" s="28">
        <f t="shared" si="1"/>
        <v>0.23</v>
      </c>
      <c r="E32" s="28">
        <f>ROUND((114.88*12*0.009),2)</f>
        <v>12.41</v>
      </c>
      <c r="I32" s="87"/>
    </row>
    <row r="33" spans="1:5" ht="78.75" customHeight="1" x14ac:dyDescent="0.25">
      <c r="A33" s="356"/>
      <c r="B33" s="354"/>
      <c r="C33" s="111" t="s">
        <v>1075</v>
      </c>
      <c r="D33" s="28">
        <f t="shared" si="1"/>
        <v>0.06</v>
      </c>
      <c r="E33" s="28">
        <f>ROUND((29.12*12*0.009),2)</f>
        <v>3.14</v>
      </c>
    </row>
    <row r="34" spans="1:5" ht="64.5" customHeight="1" x14ac:dyDescent="0.25">
      <c r="A34" s="7">
        <v>1200</v>
      </c>
      <c r="B34" s="166" t="s">
        <v>11</v>
      </c>
      <c r="C34" s="112" t="s">
        <v>1076</v>
      </c>
      <c r="D34" s="291">
        <f t="shared" si="1"/>
        <v>0.22</v>
      </c>
      <c r="E34" s="92">
        <f>ROUND((50.18*0.2359),2)</f>
        <v>11.84</v>
      </c>
    </row>
    <row r="35" spans="1:5" ht="15.75" x14ac:dyDescent="0.25">
      <c r="A35" s="8">
        <v>2000</v>
      </c>
      <c r="B35" s="7" t="s">
        <v>12</v>
      </c>
      <c r="C35" s="109"/>
      <c r="D35" s="26">
        <f>SUM(D36:D49)</f>
        <v>19.29</v>
      </c>
      <c r="E35" s="24">
        <f>SUM(E36:E49)</f>
        <v>1061.3500000000001</v>
      </c>
    </row>
    <row r="36" spans="1:5" ht="32.25" customHeight="1" x14ac:dyDescent="0.25">
      <c r="A36" s="4">
        <v>2221</v>
      </c>
      <c r="B36" s="112" t="s">
        <v>60</v>
      </c>
      <c r="C36" s="112" t="s">
        <v>1077</v>
      </c>
      <c r="D36" s="47">
        <f>ROUND((E36/55),2)</f>
        <v>13.57</v>
      </c>
      <c r="E36" s="114">
        <f>ROUND((82944.32*0.009),2)</f>
        <v>746.5</v>
      </c>
    </row>
    <row r="37" spans="1:5" ht="31.5" customHeight="1" x14ac:dyDescent="0.25">
      <c r="A37" s="4">
        <v>2222</v>
      </c>
      <c r="B37" s="5" t="s">
        <v>61</v>
      </c>
      <c r="C37" s="176" t="s">
        <v>1078</v>
      </c>
      <c r="D37" s="47">
        <f t="shared" ref="D37:D49" si="2">ROUND((E37/55),2)</f>
        <v>0.69</v>
      </c>
      <c r="E37" s="114">
        <f>ROUND((4203.76*0.009),2)</f>
        <v>37.83</v>
      </c>
    </row>
    <row r="38" spans="1:5" ht="31.5" customHeight="1" x14ac:dyDescent="0.25">
      <c r="A38" s="4">
        <v>2223</v>
      </c>
      <c r="B38" s="5" t="s">
        <v>19</v>
      </c>
      <c r="C38" s="176" t="s">
        <v>1079</v>
      </c>
      <c r="D38" s="47">
        <f t="shared" si="2"/>
        <v>1.28</v>
      </c>
      <c r="E38" s="114">
        <f>ROUND((7807.39*0.009),2)</f>
        <v>70.27</v>
      </c>
    </row>
    <row r="39" spans="1:5" ht="78" customHeight="1" x14ac:dyDescent="0.25">
      <c r="A39" s="4">
        <v>2224</v>
      </c>
      <c r="B39" s="112" t="s">
        <v>62</v>
      </c>
      <c r="C39" s="112" t="s">
        <v>1080</v>
      </c>
      <c r="D39" s="47">
        <f>ROUND((E39/55-0.01),2)</f>
        <v>0.04</v>
      </c>
      <c r="E39" s="47">
        <f>ROUND((275.91*0.009),2)</f>
        <v>2.48</v>
      </c>
    </row>
    <row r="40" spans="1:5" ht="31.5" x14ac:dyDescent="0.25">
      <c r="A40" s="4">
        <v>2232</v>
      </c>
      <c r="B40" s="123" t="s">
        <v>45</v>
      </c>
      <c r="C40" s="124" t="s">
        <v>1081</v>
      </c>
      <c r="D40" s="133">
        <f t="shared" si="2"/>
        <v>0.02</v>
      </c>
      <c r="E40" s="47">
        <f>ROUND((149.11*0.009),2)</f>
        <v>1.34</v>
      </c>
    </row>
    <row r="41" spans="1:5" ht="31.5" x14ac:dyDescent="0.25">
      <c r="A41" s="4">
        <v>2239</v>
      </c>
      <c r="B41" s="58" t="s">
        <v>20</v>
      </c>
      <c r="C41" s="124" t="s">
        <v>1082</v>
      </c>
      <c r="D41" s="47">
        <f t="shared" si="2"/>
        <v>0.01</v>
      </c>
      <c r="E41" s="47">
        <f>ROUND((57*0.009),2)</f>
        <v>0.51</v>
      </c>
    </row>
    <row r="42" spans="1:5" ht="33" customHeight="1" x14ac:dyDescent="0.25">
      <c r="A42" s="4">
        <v>2241</v>
      </c>
      <c r="B42" s="176" t="s">
        <v>64</v>
      </c>
      <c r="C42" s="176" t="s">
        <v>1083</v>
      </c>
      <c r="D42" s="47">
        <f t="shared" si="2"/>
        <v>0.31</v>
      </c>
      <c r="E42" s="62">
        <f>ROUND((1875.92*0.009),2)</f>
        <v>16.88</v>
      </c>
    </row>
    <row r="43" spans="1:5" ht="45.75" customHeight="1" x14ac:dyDescent="0.25">
      <c r="A43" s="4">
        <v>2243</v>
      </c>
      <c r="B43" s="112" t="s">
        <v>21</v>
      </c>
      <c r="C43" s="90" t="s">
        <v>1084</v>
      </c>
      <c r="D43" s="47">
        <f t="shared" si="2"/>
        <v>0.16</v>
      </c>
      <c r="E43" s="47">
        <f>ROUND((956.5*0.009),2)</f>
        <v>8.61</v>
      </c>
    </row>
    <row r="44" spans="1:5" ht="47.25" customHeight="1" x14ac:dyDescent="0.25">
      <c r="A44" s="4">
        <v>2244</v>
      </c>
      <c r="B44" s="112" t="s">
        <v>22</v>
      </c>
      <c r="C44" s="112" t="s">
        <v>1085</v>
      </c>
      <c r="D44" s="47">
        <f t="shared" si="2"/>
        <v>0.55000000000000004</v>
      </c>
      <c r="E44" s="114">
        <f>ROUND((3378.56*0.009),2)</f>
        <v>30.41</v>
      </c>
    </row>
    <row r="45" spans="1:5" ht="31.5" customHeight="1" x14ac:dyDescent="0.25">
      <c r="A45" s="4">
        <v>2249</v>
      </c>
      <c r="B45" s="112" t="s">
        <v>50</v>
      </c>
      <c r="C45" s="112" t="s">
        <v>1086</v>
      </c>
      <c r="D45" s="47">
        <f t="shared" si="2"/>
        <v>0.61</v>
      </c>
      <c r="E45" s="114">
        <f>ROUND(3705.93*0.009,2)</f>
        <v>33.35</v>
      </c>
    </row>
    <row r="46" spans="1:5" ht="31.5" customHeight="1" x14ac:dyDescent="0.25">
      <c r="A46" s="4">
        <v>2312</v>
      </c>
      <c r="B46" s="4" t="s">
        <v>13</v>
      </c>
      <c r="C46" s="112" t="s">
        <v>1087</v>
      </c>
      <c r="D46" s="47">
        <f t="shared" si="2"/>
        <v>0.14000000000000001</v>
      </c>
      <c r="E46" s="114">
        <f>ROUND(856.97*0.009,2)</f>
        <v>7.71</v>
      </c>
    </row>
    <row r="47" spans="1:5" ht="47.25" customHeight="1" x14ac:dyDescent="0.25">
      <c r="A47" s="4">
        <v>2350</v>
      </c>
      <c r="B47" s="5" t="s">
        <v>236</v>
      </c>
      <c r="C47" s="122" t="s">
        <v>1088</v>
      </c>
      <c r="D47" s="47">
        <f t="shared" si="2"/>
        <v>0.28000000000000003</v>
      </c>
      <c r="E47" s="62">
        <f>ROUND((1711.8*0.009),2)</f>
        <v>15.41</v>
      </c>
    </row>
    <row r="48" spans="1:5" ht="33.75" customHeight="1" x14ac:dyDescent="0.25">
      <c r="A48" s="4">
        <v>2513</v>
      </c>
      <c r="B48" s="5" t="s">
        <v>63</v>
      </c>
      <c r="C48" s="112" t="s">
        <v>1089</v>
      </c>
      <c r="D48" s="47">
        <f t="shared" si="2"/>
        <v>1.32</v>
      </c>
      <c r="E48" s="47">
        <f>ROUND((8084.39*0.009),2)</f>
        <v>72.760000000000005</v>
      </c>
    </row>
    <row r="49" spans="1:5" ht="35.25" customHeight="1" x14ac:dyDescent="0.25">
      <c r="A49" s="4">
        <v>2515</v>
      </c>
      <c r="B49" s="5" t="s">
        <v>49</v>
      </c>
      <c r="C49" s="112" t="s">
        <v>1090</v>
      </c>
      <c r="D49" s="47">
        <f t="shared" si="2"/>
        <v>0.31</v>
      </c>
      <c r="E49" s="47">
        <f>ROUND((1920.89*0.009),2)</f>
        <v>17.29</v>
      </c>
    </row>
    <row r="50" spans="1:5" ht="15.75" x14ac:dyDescent="0.25">
      <c r="A50" s="10">
        <v>5000</v>
      </c>
      <c r="B50" s="9" t="s">
        <v>17</v>
      </c>
      <c r="C50" s="109"/>
      <c r="D50" s="26">
        <f>SUM(D51:D53)</f>
        <v>0.68</v>
      </c>
      <c r="E50" s="26">
        <f>SUM(E51:E53)</f>
        <v>37.200000000000003</v>
      </c>
    </row>
    <row r="51" spans="1:5" ht="30.75" customHeight="1" x14ac:dyDescent="0.25">
      <c r="A51" s="4">
        <v>5213</v>
      </c>
      <c r="B51" s="5" t="s">
        <v>32</v>
      </c>
      <c r="C51" s="112" t="s">
        <v>1091</v>
      </c>
      <c r="D51" s="46">
        <f t="shared" ref="D51:D53" si="3">ROUND((E51/55),2)</f>
        <v>0.04</v>
      </c>
      <c r="E51" s="46">
        <f>ROUND((251.64*0.009),2)</f>
        <v>2.2599999999999998</v>
      </c>
    </row>
    <row r="52" spans="1:5" ht="30.75" customHeight="1" x14ac:dyDescent="0.25">
      <c r="A52" s="19">
        <v>5218</v>
      </c>
      <c r="B52" s="112" t="s">
        <v>33</v>
      </c>
      <c r="C52" s="112" t="s">
        <v>1092</v>
      </c>
      <c r="D52" s="46">
        <f t="shared" si="3"/>
        <v>0.19</v>
      </c>
      <c r="E52" s="46">
        <f>ROUND((1134.21*0.009),2)</f>
        <v>10.210000000000001</v>
      </c>
    </row>
    <row r="53" spans="1:5" ht="47.25" x14ac:dyDescent="0.25">
      <c r="A53" s="19">
        <v>5239</v>
      </c>
      <c r="B53" s="112" t="s">
        <v>18</v>
      </c>
      <c r="C53" s="112" t="s">
        <v>1093</v>
      </c>
      <c r="D53" s="46">
        <f t="shared" si="3"/>
        <v>0.45</v>
      </c>
      <c r="E53" s="46">
        <f>ROUND((2748.15*0.009),2)</f>
        <v>24.73</v>
      </c>
    </row>
    <row r="54" spans="1:5" ht="15.75" x14ac:dyDescent="0.25">
      <c r="A54" s="4"/>
      <c r="B54" s="9" t="s">
        <v>23</v>
      </c>
      <c r="C54" s="109"/>
      <c r="D54" s="26">
        <f>SUM(D22+D35+D50)</f>
        <v>21.119999999999997</v>
      </c>
      <c r="E54" s="41">
        <f>SUM(E22+E35+E50)</f>
        <v>1160.5700000000002</v>
      </c>
    </row>
    <row r="55" spans="1:5" ht="31.5" x14ac:dyDescent="0.25">
      <c r="A55" s="4"/>
      <c r="B55" s="11" t="s">
        <v>28</v>
      </c>
      <c r="C55" s="109"/>
      <c r="D55" s="27">
        <f>D20+D54</f>
        <v>27.93</v>
      </c>
      <c r="E55" s="42">
        <f>E20+E54</f>
        <v>1536.1940850000001</v>
      </c>
    </row>
    <row r="56" spans="1:5" ht="15.75" x14ac:dyDescent="0.25">
      <c r="A56" s="21"/>
      <c r="B56" s="13" t="s">
        <v>29</v>
      </c>
      <c r="C56" s="109"/>
      <c r="D56" s="27">
        <f>D55*0.21</f>
        <v>5.8652999999999995</v>
      </c>
      <c r="E56" s="42">
        <f>E55*0.21</f>
        <v>322.60075784999998</v>
      </c>
    </row>
    <row r="57" spans="1:5" ht="31.5" x14ac:dyDescent="0.25">
      <c r="A57" s="21"/>
      <c r="B57" s="179" t="s">
        <v>30</v>
      </c>
      <c r="C57" s="180"/>
      <c r="D57" s="181">
        <f>D55*1.21</f>
        <v>33.795299999999997</v>
      </c>
      <c r="E57" s="182">
        <f>E55*1.21</f>
        <v>1858.7948428500001</v>
      </c>
    </row>
    <row r="58" spans="1:5" ht="18" customHeight="1" x14ac:dyDescent="0.25">
      <c r="A58" s="360" t="s">
        <v>67</v>
      </c>
      <c r="B58" s="360"/>
      <c r="C58" s="360"/>
      <c r="D58" s="8">
        <v>55</v>
      </c>
      <c r="E58" s="8" t="s">
        <v>196</v>
      </c>
    </row>
    <row r="59" spans="1:5" ht="33.950000000000003" customHeight="1" x14ac:dyDescent="0.25">
      <c r="A59" s="351" t="s">
        <v>65</v>
      </c>
      <c r="B59" s="351"/>
      <c r="C59" s="351"/>
      <c r="D59" s="183">
        <f>E57/D58</f>
        <v>33.796269870000003</v>
      </c>
      <c r="E59" s="8" t="s">
        <v>307</v>
      </c>
    </row>
    <row r="60" spans="1:5" ht="15.75" x14ac:dyDescent="0.25">
      <c r="A60" s="1"/>
      <c r="B60" s="1"/>
      <c r="C60" s="1"/>
    </row>
  </sheetData>
  <mergeCells count="6">
    <mergeCell ref="A58:C58"/>
    <mergeCell ref="A59:C59"/>
    <mergeCell ref="A3:B3"/>
    <mergeCell ref="A1:C1"/>
    <mergeCell ref="A25:A33"/>
    <mergeCell ref="B25:B33"/>
  </mergeCells>
  <pageMargins left="0.7" right="0.7" top="0.75" bottom="0.75" header="0.3" footer="0.3"/>
  <pageSetup paperSize="9" orientation="landscape" r:id="rId1"/>
  <rowBreaks count="2" manualBreakCount="2">
    <brk id="20" max="16383" man="1"/>
    <brk id="34" max="16383" man="1"/>
  </rowBreaks>
  <ignoredErrors>
    <ignoredError sqref="D39" formula="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637EF-E512-4562-A9B1-54A2FE2AA091}">
  <dimension ref="A1:F57"/>
  <sheetViews>
    <sheetView topLeftCell="A44" zoomScaleNormal="100" workbookViewId="0">
      <selection activeCell="G59" sqref="G59"/>
    </sheetView>
  </sheetViews>
  <sheetFormatPr defaultRowHeight="15" x14ac:dyDescent="0.25"/>
  <cols>
    <col min="1" max="1" width="12.140625" customWidth="1"/>
    <col min="2" max="2" width="27" customWidth="1"/>
    <col min="3" max="3" width="63.140625" customWidth="1"/>
    <col min="4" max="4" width="10" customWidth="1"/>
    <col min="5" max="5" width="18.140625" customWidth="1"/>
  </cols>
  <sheetData>
    <row r="1" spans="1:5" ht="18.75" x14ac:dyDescent="0.3">
      <c r="A1" s="358" t="s">
        <v>177</v>
      </c>
      <c r="B1" s="358"/>
      <c r="C1" s="358"/>
    </row>
    <row r="2" spans="1:5" ht="18.75" x14ac:dyDescent="0.3">
      <c r="A2" s="54" t="s">
        <v>176</v>
      </c>
      <c r="C2" s="2"/>
    </row>
    <row r="3" spans="1:5" ht="18.75" x14ac:dyDescent="0.25">
      <c r="A3" s="352" t="s">
        <v>182</v>
      </c>
      <c r="B3" s="352"/>
      <c r="C3" s="352"/>
    </row>
    <row r="4" spans="1:5" ht="18.75" x14ac:dyDescent="0.25">
      <c r="A4" s="359" t="s">
        <v>74</v>
      </c>
      <c r="B4" s="359"/>
      <c r="C4" s="108"/>
    </row>
    <row r="6" spans="1:5" ht="80.25" customHeight="1" x14ac:dyDescent="0.25">
      <c r="A6" s="149" t="s">
        <v>0</v>
      </c>
      <c r="B6" s="149" t="s">
        <v>1</v>
      </c>
      <c r="C6" s="149" t="s">
        <v>2</v>
      </c>
      <c r="D6" s="162" t="s">
        <v>26</v>
      </c>
      <c r="E6" s="162" t="s">
        <v>27</v>
      </c>
    </row>
    <row r="7" spans="1:5" x14ac:dyDescent="0.25">
      <c r="A7" s="292">
        <v>1</v>
      </c>
      <c r="B7" s="292">
        <v>2</v>
      </c>
      <c r="C7" s="292">
        <v>3</v>
      </c>
      <c r="D7" s="47">
        <v>4</v>
      </c>
      <c r="E7" s="47">
        <v>5</v>
      </c>
    </row>
    <row r="8" spans="1:5" ht="15.75" x14ac:dyDescent="0.25">
      <c r="A8" s="4"/>
      <c r="B8" s="7" t="s">
        <v>7</v>
      </c>
      <c r="C8" s="34" t="s">
        <v>8</v>
      </c>
      <c r="D8" s="25"/>
      <c r="E8" s="23"/>
    </row>
    <row r="9" spans="1:5" ht="15.75" x14ac:dyDescent="0.25">
      <c r="A9" s="8">
        <v>1000</v>
      </c>
      <c r="B9" s="7" t="s">
        <v>9</v>
      </c>
      <c r="C9" s="34"/>
      <c r="D9" s="26">
        <f>D10+D16</f>
        <v>3.5300000000000002</v>
      </c>
      <c r="E9" s="26">
        <f>E10+E16</f>
        <v>353.34499999999997</v>
      </c>
    </row>
    <row r="10" spans="1:5" ht="15.75" x14ac:dyDescent="0.25">
      <c r="A10" s="280">
        <v>1100</v>
      </c>
      <c r="B10" s="280" t="s">
        <v>10</v>
      </c>
      <c r="C10" s="48"/>
      <c r="D10" s="26">
        <f>SUM(D12:D15)</f>
        <v>2.75</v>
      </c>
      <c r="E10" s="26">
        <f>SUM(E12:E15)</f>
        <v>275.77</v>
      </c>
    </row>
    <row r="11" spans="1:5" ht="15.75" x14ac:dyDescent="0.25">
      <c r="A11" s="16">
        <v>1110</v>
      </c>
      <c r="B11" s="16" t="s">
        <v>240</v>
      </c>
      <c r="C11" s="147" t="s">
        <v>241</v>
      </c>
      <c r="D11" s="62">
        <f>SUM(D12:D14)</f>
        <v>2.5</v>
      </c>
      <c r="E11" s="62">
        <f>SUM(E12:E14)</f>
        <v>250.7</v>
      </c>
    </row>
    <row r="12" spans="1:5" ht="78" customHeight="1" x14ac:dyDescent="0.25">
      <c r="A12" s="136"/>
      <c r="B12" s="139"/>
      <c r="C12" s="152" t="s">
        <v>312</v>
      </c>
      <c r="D12" s="62">
        <f>ROUND((E12/100),2)</f>
        <v>0.57999999999999996</v>
      </c>
      <c r="E12" s="114">
        <f>ROUND((23.61*12*0.205),2)</f>
        <v>58.08</v>
      </c>
    </row>
    <row r="13" spans="1:5" ht="78.75" customHeight="1" x14ac:dyDescent="0.25">
      <c r="A13" s="153"/>
      <c r="B13" s="154"/>
      <c r="C13" s="152" t="s">
        <v>755</v>
      </c>
      <c r="D13" s="62">
        <f>ROUND((E13/100),2)</f>
        <v>1.1599999999999999</v>
      </c>
      <c r="E13" s="114">
        <f>ROUND((47.21*12*0.205),2)</f>
        <v>116.14</v>
      </c>
    </row>
    <row r="14" spans="1:5" ht="77.25" customHeight="1" x14ac:dyDescent="0.25">
      <c r="A14" s="137"/>
      <c r="B14" s="140"/>
      <c r="C14" s="152" t="s">
        <v>316</v>
      </c>
      <c r="D14" s="62">
        <f>ROUND((E14/100),2)</f>
        <v>0.76</v>
      </c>
      <c r="E14" s="114">
        <f>ROUND((31.09*12*0.205),2)</f>
        <v>76.48</v>
      </c>
    </row>
    <row r="15" spans="1:5" ht="62.25" customHeight="1" x14ac:dyDescent="0.25">
      <c r="A15" s="131">
        <v>1140</v>
      </c>
      <c r="B15" s="5" t="s">
        <v>237</v>
      </c>
      <c r="C15" s="152" t="s">
        <v>313</v>
      </c>
      <c r="D15" s="62">
        <f>ROUND((E15/100),2)</f>
        <v>0.25</v>
      </c>
      <c r="E15" s="114">
        <f>58.08*0.1+116.14*0.1+76.48*0.1</f>
        <v>25.07</v>
      </c>
    </row>
    <row r="16" spans="1:5" ht="61.5" customHeight="1" x14ac:dyDescent="0.25">
      <c r="A16" s="7">
        <v>1200</v>
      </c>
      <c r="B16" s="288" t="s">
        <v>11</v>
      </c>
      <c r="C16" s="176" t="s">
        <v>315</v>
      </c>
      <c r="D16" s="88">
        <f>D17+D18</f>
        <v>0.78</v>
      </c>
      <c r="E16" s="88">
        <f>E17+E18</f>
        <v>77.575000000000003</v>
      </c>
    </row>
    <row r="17" spans="1:5" ht="47.25" customHeight="1" x14ac:dyDescent="0.25">
      <c r="A17" s="4">
        <v>1210</v>
      </c>
      <c r="B17" s="5" t="s">
        <v>239</v>
      </c>
      <c r="C17" s="176" t="s">
        <v>314</v>
      </c>
      <c r="D17" s="46">
        <f t="shared" ref="D17" si="0">ROUND((E17/100),2)</f>
        <v>0.65</v>
      </c>
      <c r="E17" s="45">
        <f>ROUND((275.77*0.2359),2)</f>
        <v>65.05</v>
      </c>
    </row>
    <row r="18" spans="1:5" ht="62.25" customHeight="1" x14ac:dyDescent="0.25">
      <c r="A18" s="4">
        <v>1227</v>
      </c>
      <c r="B18" s="5" t="s">
        <v>238</v>
      </c>
      <c r="C18" s="176" t="s">
        <v>1434</v>
      </c>
      <c r="D18" s="46">
        <f>ROUND((E18/100),2)</f>
        <v>0.13</v>
      </c>
      <c r="E18" s="114">
        <f>58.08*0.05+116.14*0.05+76.48*0.05-0.01</f>
        <v>12.525</v>
      </c>
    </row>
    <row r="19" spans="1:5" ht="15.75" x14ac:dyDescent="0.25">
      <c r="A19" s="4"/>
      <c r="B19" s="9" t="s">
        <v>14</v>
      </c>
      <c r="C19" s="35" t="s">
        <v>16</v>
      </c>
      <c r="D19" s="26">
        <f>D9</f>
        <v>3.5300000000000002</v>
      </c>
      <c r="E19" s="44">
        <f>E9</f>
        <v>353.34499999999997</v>
      </c>
    </row>
    <row r="20" spans="1:5" ht="15.75" x14ac:dyDescent="0.25">
      <c r="A20" s="4"/>
      <c r="B20" s="9" t="s">
        <v>15</v>
      </c>
      <c r="C20" s="34" t="s">
        <v>8</v>
      </c>
      <c r="D20" s="23"/>
      <c r="E20" s="43"/>
    </row>
    <row r="21" spans="1:5" ht="15.75" x14ac:dyDescent="0.25">
      <c r="A21" s="8">
        <v>1000</v>
      </c>
      <c r="B21" s="7" t="s">
        <v>9</v>
      </c>
      <c r="C21" s="34"/>
      <c r="D21" s="88">
        <f>SUM(D22+D34)</f>
        <v>3.67</v>
      </c>
      <c r="E21" s="88">
        <f>SUM(E22+E34)</f>
        <v>366.55999999999995</v>
      </c>
    </row>
    <row r="22" spans="1:5" ht="15.75" x14ac:dyDescent="0.25">
      <c r="A22" s="4">
        <v>1100</v>
      </c>
      <c r="B22" s="4" t="s">
        <v>10</v>
      </c>
      <c r="C22" s="147" t="s">
        <v>267</v>
      </c>
      <c r="D22" s="88">
        <f>SUM(D23:D33)</f>
        <v>2.9699999999999998</v>
      </c>
      <c r="E22" s="88">
        <f>SUM(E23:E33)</f>
        <v>296.58999999999997</v>
      </c>
    </row>
    <row r="23" spans="1:5" ht="79.5" customHeight="1" x14ac:dyDescent="0.25">
      <c r="A23" s="237"/>
      <c r="B23" s="238"/>
      <c r="C23" s="152" t="s">
        <v>1058</v>
      </c>
      <c r="D23" s="28">
        <f>ROUND((E23/100),2)</f>
        <v>0.21</v>
      </c>
      <c r="E23" s="28">
        <f>ROUND((8.37*12*0.205),2)</f>
        <v>20.59</v>
      </c>
    </row>
    <row r="24" spans="1:5" ht="77.25" customHeight="1" x14ac:dyDescent="0.25">
      <c r="A24" s="242"/>
      <c r="B24" s="243"/>
      <c r="C24" s="152" t="s">
        <v>1059</v>
      </c>
      <c r="D24" s="28">
        <f>ROUND((E24/100),2)</f>
        <v>0.03</v>
      </c>
      <c r="E24" s="28">
        <f>ROUND((1.27*12*0.205),2)</f>
        <v>3.12</v>
      </c>
    </row>
    <row r="25" spans="1:5" ht="80.25" customHeight="1" x14ac:dyDescent="0.25">
      <c r="A25" s="355"/>
      <c r="B25" s="353"/>
      <c r="C25" s="152" t="s">
        <v>317</v>
      </c>
      <c r="D25" s="28">
        <f>ROUND((E25/100),2)</f>
        <v>0.02</v>
      </c>
      <c r="E25" s="28">
        <f>ROUND((0.76*12*0.205),2)</f>
        <v>1.87</v>
      </c>
    </row>
    <row r="26" spans="1:5" ht="79.5" customHeight="1" x14ac:dyDescent="0.25">
      <c r="A26" s="355"/>
      <c r="B26" s="353"/>
      <c r="C26" s="152" t="s">
        <v>1060</v>
      </c>
      <c r="D26" s="28">
        <f t="shared" ref="D26:D31" si="1">ROUND((E26/100),2)</f>
        <v>0.03</v>
      </c>
      <c r="E26" s="28">
        <f>ROUND((1.23*12*0.205),2)</f>
        <v>3.03</v>
      </c>
    </row>
    <row r="27" spans="1:5" ht="78.75" customHeight="1" x14ac:dyDescent="0.25">
      <c r="A27" s="355"/>
      <c r="B27" s="353"/>
      <c r="C27" s="152" t="s">
        <v>1061</v>
      </c>
      <c r="D27" s="28">
        <f t="shared" si="1"/>
        <v>0.04</v>
      </c>
      <c r="E27" s="28">
        <f>ROUND((1.5*12*0.205),2)</f>
        <v>3.69</v>
      </c>
    </row>
    <row r="28" spans="1:5" ht="78.75" customHeight="1" x14ac:dyDescent="0.25">
      <c r="A28" s="355"/>
      <c r="B28" s="353"/>
      <c r="C28" s="111" t="s">
        <v>1062</v>
      </c>
      <c r="D28" s="28">
        <f t="shared" si="1"/>
        <v>0.03</v>
      </c>
      <c r="E28" s="28">
        <f>ROUND((1.21*12*0.205),2)</f>
        <v>2.98</v>
      </c>
    </row>
    <row r="29" spans="1:5" ht="79.5" customHeight="1" x14ac:dyDescent="0.25">
      <c r="A29" s="355"/>
      <c r="B29" s="353"/>
      <c r="C29" s="49" t="s">
        <v>1063</v>
      </c>
      <c r="D29" s="28">
        <f t="shared" si="1"/>
        <v>0.68</v>
      </c>
      <c r="E29" s="28">
        <f>ROUND((27.54*12*0.205),2)</f>
        <v>67.75</v>
      </c>
    </row>
    <row r="30" spans="1:5" ht="77.25" customHeight="1" x14ac:dyDescent="0.25">
      <c r="A30" s="355"/>
      <c r="B30" s="353"/>
      <c r="C30" s="49" t="s">
        <v>1064</v>
      </c>
      <c r="D30" s="28">
        <f t="shared" si="1"/>
        <v>0.69</v>
      </c>
      <c r="E30" s="28">
        <f>ROUND((28.06*12*0.205),2)</f>
        <v>69.03</v>
      </c>
    </row>
    <row r="31" spans="1:5" ht="78" customHeight="1" x14ac:dyDescent="0.25">
      <c r="A31" s="355"/>
      <c r="B31" s="353"/>
      <c r="C31" s="49" t="s">
        <v>1436</v>
      </c>
      <c r="D31" s="28">
        <f t="shared" si="1"/>
        <v>0.96</v>
      </c>
      <c r="E31" s="28">
        <f>ROUND((39.21*12*0.205),2)</f>
        <v>96.46</v>
      </c>
    </row>
    <row r="32" spans="1:5" ht="93" customHeight="1" x14ac:dyDescent="0.25">
      <c r="A32" s="355"/>
      <c r="B32" s="353"/>
      <c r="C32" s="152" t="s">
        <v>1065</v>
      </c>
      <c r="D32" s="28">
        <f>ROUND((E32/100),2)</f>
        <v>0.23</v>
      </c>
      <c r="E32" s="28">
        <f>ROUND((9.25*12*0.205),2)</f>
        <v>22.76</v>
      </c>
    </row>
    <row r="33" spans="1:5" ht="78" customHeight="1" x14ac:dyDescent="0.25">
      <c r="A33" s="356"/>
      <c r="B33" s="354"/>
      <c r="C33" s="49" t="s">
        <v>1044</v>
      </c>
      <c r="D33" s="28">
        <f>ROUND((E33/100),2)</f>
        <v>0.05</v>
      </c>
      <c r="E33" s="28">
        <f>ROUND((2.16*12*0.205),2)</f>
        <v>5.31</v>
      </c>
    </row>
    <row r="34" spans="1:5" ht="62.1" customHeight="1" x14ac:dyDescent="0.25">
      <c r="A34" s="7">
        <v>1200</v>
      </c>
      <c r="B34" s="166" t="s">
        <v>11</v>
      </c>
      <c r="C34" s="176" t="s">
        <v>1438</v>
      </c>
      <c r="D34" s="88">
        <f>ROUND((E34/100),2)</f>
        <v>0.7</v>
      </c>
      <c r="E34" s="92">
        <f>ROUND((296.59*0.2359),2)</f>
        <v>69.97</v>
      </c>
    </row>
    <row r="35" spans="1:5" ht="15.75" x14ac:dyDescent="0.25">
      <c r="A35" s="8">
        <v>2000</v>
      </c>
      <c r="B35" s="7" t="s">
        <v>12</v>
      </c>
      <c r="C35" s="34"/>
      <c r="D35" s="24">
        <f>SUM(D36:D45)</f>
        <v>13.769999999999998</v>
      </c>
      <c r="E35" s="44">
        <f>SUM(E36:E45)</f>
        <v>1377.61</v>
      </c>
    </row>
    <row r="36" spans="1:5" ht="31.5" customHeight="1" x14ac:dyDescent="0.25">
      <c r="A36" s="4">
        <v>2221</v>
      </c>
      <c r="B36" s="5" t="s">
        <v>60</v>
      </c>
      <c r="C36" s="176" t="s">
        <v>1046</v>
      </c>
      <c r="D36" s="28">
        <f t="shared" ref="D36:D45" si="2">ROUND((E36/100),2)</f>
        <v>6.45</v>
      </c>
      <c r="E36" s="45">
        <f>ROUND((3147.44*0.205),2)</f>
        <v>645.23</v>
      </c>
    </row>
    <row r="37" spans="1:5" ht="31.5" x14ac:dyDescent="0.25">
      <c r="A37" s="4">
        <v>2222</v>
      </c>
      <c r="B37" s="5" t="s">
        <v>61</v>
      </c>
      <c r="C37" s="176" t="s">
        <v>1045</v>
      </c>
      <c r="D37" s="28">
        <f t="shared" si="2"/>
        <v>0.46</v>
      </c>
      <c r="E37" s="45">
        <f>ROUND((222.64*0.205),2)</f>
        <v>45.64</v>
      </c>
    </row>
    <row r="38" spans="1:5" ht="30.75" customHeight="1" x14ac:dyDescent="0.25">
      <c r="A38" s="4">
        <v>2223</v>
      </c>
      <c r="B38" s="5" t="s">
        <v>19</v>
      </c>
      <c r="C38" s="176" t="s">
        <v>1047</v>
      </c>
      <c r="D38" s="46">
        <f t="shared" si="2"/>
        <v>2.7</v>
      </c>
      <c r="E38" s="45">
        <f>ROUND((1318.92*0.205),2)</f>
        <v>270.38</v>
      </c>
    </row>
    <row r="39" spans="1:5" ht="78" customHeight="1" x14ac:dyDescent="0.25">
      <c r="A39" s="171">
        <v>2224</v>
      </c>
      <c r="B39" s="185" t="s">
        <v>62</v>
      </c>
      <c r="C39" s="185" t="s">
        <v>1435</v>
      </c>
      <c r="D39" s="241">
        <f t="shared" si="2"/>
        <v>0.41</v>
      </c>
      <c r="E39" s="241">
        <f>ROUND((200.6*0.205),2)</f>
        <v>41.12</v>
      </c>
    </row>
    <row r="40" spans="1:5" ht="31.5" customHeight="1" x14ac:dyDescent="0.25">
      <c r="A40" s="4">
        <v>2229</v>
      </c>
      <c r="B40" s="5" t="s">
        <v>44</v>
      </c>
      <c r="C40" s="187" t="s">
        <v>1048</v>
      </c>
      <c r="D40" s="28">
        <f t="shared" si="2"/>
        <v>0.02</v>
      </c>
      <c r="E40" s="28">
        <f>ROUND((9.71*0.205),2)</f>
        <v>1.99</v>
      </c>
    </row>
    <row r="41" spans="1:5" ht="31.5" x14ac:dyDescent="0.25">
      <c r="A41" s="184">
        <v>2232</v>
      </c>
      <c r="B41" s="188" t="s">
        <v>45</v>
      </c>
      <c r="C41" s="124" t="s">
        <v>1049</v>
      </c>
      <c r="D41" s="28">
        <f>ROUND((E41/100),2)-0.01</f>
        <v>1.9999999999999997E-2</v>
      </c>
      <c r="E41" s="28">
        <f>ROUND((12.4*0.205),2)</f>
        <v>2.54</v>
      </c>
    </row>
    <row r="42" spans="1:5" ht="95.25" customHeight="1" x14ac:dyDescent="0.25">
      <c r="A42" s="4">
        <v>2243</v>
      </c>
      <c r="B42" s="5" t="s">
        <v>21</v>
      </c>
      <c r="C42" s="90" t="s">
        <v>1050</v>
      </c>
      <c r="D42" s="28">
        <f t="shared" si="2"/>
        <v>0.12</v>
      </c>
      <c r="E42" s="28">
        <f>ROUND((58.41*0.205),2)</f>
        <v>11.97</v>
      </c>
    </row>
    <row r="43" spans="1:5" ht="46.5" customHeight="1" x14ac:dyDescent="0.25">
      <c r="A43" s="4">
        <v>2244</v>
      </c>
      <c r="B43" s="5" t="s">
        <v>22</v>
      </c>
      <c r="C43" s="38" t="s">
        <v>1051</v>
      </c>
      <c r="D43" s="28">
        <f t="shared" si="2"/>
        <v>3.22</v>
      </c>
      <c r="E43" s="45">
        <f>ROUND(1571.23*0.205,2)</f>
        <v>322.10000000000002</v>
      </c>
    </row>
    <row r="44" spans="1:5" ht="47.25" customHeight="1" x14ac:dyDescent="0.25">
      <c r="A44" s="4">
        <v>2350</v>
      </c>
      <c r="B44" s="5" t="s">
        <v>236</v>
      </c>
      <c r="C44" s="38" t="s">
        <v>1052</v>
      </c>
      <c r="D44" s="46">
        <f t="shared" si="2"/>
        <v>0.1</v>
      </c>
      <c r="E44" s="47">
        <f>ROUND((49.02*0.205),2)</f>
        <v>10.050000000000001</v>
      </c>
    </row>
    <row r="45" spans="1:5" ht="30.75" customHeight="1" x14ac:dyDescent="0.25">
      <c r="A45" s="4">
        <v>2513</v>
      </c>
      <c r="B45" s="5" t="s">
        <v>63</v>
      </c>
      <c r="C45" s="38" t="s">
        <v>1053</v>
      </c>
      <c r="D45" s="46">
        <f t="shared" si="2"/>
        <v>0.27</v>
      </c>
      <c r="E45" s="28">
        <f>ROUND((129.73*0.205),2)</f>
        <v>26.59</v>
      </c>
    </row>
    <row r="46" spans="1:5" ht="18" customHeight="1" x14ac:dyDescent="0.25">
      <c r="A46" s="10">
        <v>5000</v>
      </c>
      <c r="B46" s="166" t="s">
        <v>17</v>
      </c>
      <c r="C46" s="284"/>
      <c r="D46" s="244">
        <f>SUM(D47:D50)</f>
        <v>2.06</v>
      </c>
      <c r="E46" s="244">
        <f>SUM(E47:E50)</f>
        <v>205.64000000000001</v>
      </c>
    </row>
    <row r="47" spans="1:5" ht="33" customHeight="1" x14ac:dyDescent="0.25">
      <c r="A47" s="4">
        <v>5212</v>
      </c>
      <c r="B47" s="5" t="s">
        <v>31</v>
      </c>
      <c r="C47" s="38" t="s">
        <v>1054</v>
      </c>
      <c r="D47" s="46">
        <f>ROUND((E47/100),2)</f>
        <v>0.74</v>
      </c>
      <c r="E47" s="46">
        <f>ROUND((359.42*0.205),2)</f>
        <v>73.680000000000007</v>
      </c>
    </row>
    <row r="48" spans="1:5" ht="31.5" customHeight="1" x14ac:dyDescent="0.25">
      <c r="A48" s="4">
        <v>5213</v>
      </c>
      <c r="B48" s="5" t="s">
        <v>32</v>
      </c>
      <c r="C48" s="38" t="s">
        <v>1055</v>
      </c>
      <c r="D48" s="46">
        <f>ROUND((E48/100),2)</f>
        <v>0.53</v>
      </c>
      <c r="E48" s="46">
        <f>ROUND((256.96*0.205),2)</f>
        <v>52.68</v>
      </c>
    </row>
    <row r="49" spans="1:6" ht="32.25" customHeight="1" x14ac:dyDescent="0.25">
      <c r="A49" s="19">
        <v>5218</v>
      </c>
      <c r="B49" s="38" t="s">
        <v>33</v>
      </c>
      <c r="C49" s="38" t="s">
        <v>1056</v>
      </c>
      <c r="D49" s="46">
        <f>ROUND((E49/100),2)</f>
        <v>0.35</v>
      </c>
      <c r="E49" s="46">
        <f>ROUND((169.48*0.205),2)</f>
        <v>34.74</v>
      </c>
    </row>
    <row r="50" spans="1:6" ht="46.5" customHeight="1" x14ac:dyDescent="0.25">
      <c r="A50" s="19">
        <v>5239</v>
      </c>
      <c r="B50" s="38" t="s">
        <v>18</v>
      </c>
      <c r="C50" s="38" t="s">
        <v>1057</v>
      </c>
      <c r="D50" s="46">
        <f>ROUND((E50/100-0.01),2)</f>
        <v>0.44</v>
      </c>
      <c r="E50" s="46">
        <f>ROUND((217.29*0.205),2)</f>
        <v>44.54</v>
      </c>
    </row>
    <row r="51" spans="1:6" ht="15.75" x14ac:dyDescent="0.25">
      <c r="A51" s="4"/>
      <c r="B51" s="9" t="s">
        <v>23</v>
      </c>
      <c r="C51" s="34"/>
      <c r="D51" s="26">
        <f>SUM(D21+D35+D46)</f>
        <v>19.499999999999996</v>
      </c>
      <c r="E51" s="41">
        <f>SUM(E21+E35+E46)</f>
        <v>1949.81</v>
      </c>
    </row>
    <row r="52" spans="1:6" ht="31.5" x14ac:dyDescent="0.25">
      <c r="A52" s="4"/>
      <c r="B52" s="11" t="s">
        <v>28</v>
      </c>
      <c r="C52" s="34"/>
      <c r="D52" s="27">
        <f>D19+D51</f>
        <v>23.029999999999998</v>
      </c>
      <c r="E52" s="42">
        <f>E19+E51</f>
        <v>2303.1549999999997</v>
      </c>
    </row>
    <row r="53" spans="1:6" ht="15.75" x14ac:dyDescent="0.25">
      <c r="A53" s="171"/>
      <c r="B53" s="13" t="s">
        <v>29</v>
      </c>
      <c r="C53" s="34"/>
      <c r="D53" s="27">
        <f>D52*0.21</f>
        <v>4.8362999999999996</v>
      </c>
      <c r="E53" s="42">
        <f>E52*0.21</f>
        <v>483.66254999999995</v>
      </c>
    </row>
    <row r="54" spans="1:6" ht="31.5" x14ac:dyDescent="0.25">
      <c r="A54" s="6"/>
      <c r="B54" s="179" t="s">
        <v>30</v>
      </c>
      <c r="C54" s="180"/>
      <c r="D54" s="181">
        <f>D52*1.21</f>
        <v>27.866299999999995</v>
      </c>
      <c r="E54" s="182">
        <f>E52*1.21</f>
        <v>2786.8175499999998</v>
      </c>
    </row>
    <row r="55" spans="1:6" ht="15.75" x14ac:dyDescent="0.25">
      <c r="A55" s="360" t="s">
        <v>46</v>
      </c>
      <c r="B55" s="360"/>
      <c r="C55" s="360"/>
      <c r="D55" s="8">
        <v>100</v>
      </c>
      <c r="E55" s="8" t="s">
        <v>196</v>
      </c>
    </row>
    <row r="56" spans="1:6" ht="33.950000000000003" customHeight="1" x14ac:dyDescent="0.25">
      <c r="A56" s="351" t="s">
        <v>65</v>
      </c>
      <c r="B56" s="351"/>
      <c r="C56" s="351"/>
      <c r="D56" s="183">
        <f>ROUND((E54/D55),2)</f>
        <v>27.87</v>
      </c>
      <c r="E56" s="8" t="s">
        <v>307</v>
      </c>
    </row>
    <row r="57" spans="1:6" ht="15.75" x14ac:dyDescent="0.25">
      <c r="A57" s="1"/>
      <c r="B57" s="1"/>
      <c r="C57" s="1"/>
      <c r="F57" s="14"/>
    </row>
  </sheetData>
  <mergeCells count="7">
    <mergeCell ref="A55:C55"/>
    <mergeCell ref="A56:C56"/>
    <mergeCell ref="A1:C1"/>
    <mergeCell ref="A4:B4"/>
    <mergeCell ref="A25:A33"/>
    <mergeCell ref="B25:B33"/>
    <mergeCell ref="A3:C3"/>
  </mergeCells>
  <pageMargins left="0.70866141732283472" right="0.70866141732283472" top="0.74803149606299213" bottom="0.74803149606299213" header="0.31496062992125984" footer="0.31496062992125984"/>
  <pageSetup paperSize="9" orientation="landscape" r:id="rId1"/>
  <rowBreaks count="4" manualBreakCount="4">
    <brk id="24" max="4" man="1"/>
    <brk id="30" max="4" man="1"/>
    <brk id="39" max="16383" man="1"/>
    <brk id="49" max="16383" man="1"/>
  </rowBreaks>
  <ignoredErrors>
    <ignoredError sqref="D16"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12860-9BC2-4A91-A4AC-830F8BE9B1FC}">
  <dimension ref="A1:I56"/>
  <sheetViews>
    <sheetView topLeftCell="A42" zoomScaleNormal="100" workbookViewId="0">
      <selection activeCell="C61" sqref="C61"/>
    </sheetView>
  </sheetViews>
  <sheetFormatPr defaultRowHeight="15" x14ac:dyDescent="0.25"/>
  <cols>
    <col min="1" max="1" width="12" customWidth="1"/>
    <col min="2" max="2" width="27.28515625" customWidth="1"/>
    <col min="3" max="3" width="61" customWidth="1"/>
    <col min="4" max="4" width="11.28515625" customWidth="1"/>
    <col min="5" max="5" width="17.85546875" customWidth="1"/>
  </cols>
  <sheetData>
    <row r="1" spans="1:5" ht="17.25" customHeight="1" x14ac:dyDescent="0.3">
      <c r="A1" s="358" t="s">
        <v>178</v>
      </c>
      <c r="B1" s="358"/>
      <c r="C1" s="358"/>
    </row>
    <row r="2" spans="1:5" ht="18.75" x14ac:dyDescent="0.3">
      <c r="A2" s="54" t="s">
        <v>176</v>
      </c>
    </row>
    <row r="3" spans="1:5" ht="18.75" x14ac:dyDescent="0.25">
      <c r="A3" s="352" t="s">
        <v>183</v>
      </c>
      <c r="B3" s="352"/>
      <c r="C3" s="352"/>
    </row>
    <row r="4" spans="1:5" ht="18.75" x14ac:dyDescent="0.3">
      <c r="A4" s="359" t="s">
        <v>74</v>
      </c>
      <c r="B4" s="359"/>
      <c r="C4" s="54"/>
    </row>
    <row r="6" spans="1:5" ht="78.75" x14ac:dyDescent="0.25">
      <c r="A6" s="149" t="s">
        <v>0</v>
      </c>
      <c r="B6" s="149" t="s">
        <v>1</v>
      </c>
      <c r="C6" s="149" t="s">
        <v>2</v>
      </c>
      <c r="D6" s="162" t="s">
        <v>26</v>
      </c>
      <c r="E6" s="53" t="s">
        <v>27</v>
      </c>
    </row>
    <row r="7" spans="1:5" x14ac:dyDescent="0.25">
      <c r="A7" s="292">
        <v>1</v>
      </c>
      <c r="B7" s="292">
        <v>2</v>
      </c>
      <c r="C7" s="292">
        <v>3</v>
      </c>
      <c r="D7" s="28">
        <v>4</v>
      </c>
      <c r="E7" s="28">
        <v>5</v>
      </c>
    </row>
    <row r="8" spans="1:5" ht="15.75" x14ac:dyDescent="0.25">
      <c r="A8" s="4"/>
      <c r="B8" s="7" t="s">
        <v>7</v>
      </c>
      <c r="C8" s="34" t="s">
        <v>8</v>
      </c>
      <c r="D8" s="25"/>
      <c r="E8" s="23"/>
    </row>
    <row r="9" spans="1:5" ht="15.75" x14ac:dyDescent="0.25">
      <c r="A9" s="8">
        <v>1000</v>
      </c>
      <c r="B9" s="7" t="s">
        <v>9</v>
      </c>
      <c r="C9" s="284"/>
      <c r="D9" s="44">
        <f>D10+D16</f>
        <v>4.5600000000000005</v>
      </c>
      <c r="E9" s="44">
        <f>E10+E16</f>
        <v>1368.6299999999999</v>
      </c>
    </row>
    <row r="10" spans="1:5" ht="15.75" x14ac:dyDescent="0.25">
      <c r="A10" s="280">
        <v>1100</v>
      </c>
      <c r="B10" s="280" t="s">
        <v>10</v>
      </c>
      <c r="C10" s="284"/>
      <c r="D10" s="44">
        <f>SUM(D12:D15)</f>
        <v>3.56</v>
      </c>
      <c r="E10" s="44">
        <f>SUM(E12:E15)</f>
        <v>1068.1099999999999</v>
      </c>
    </row>
    <row r="11" spans="1:5" ht="15.75" x14ac:dyDescent="0.25">
      <c r="A11" s="16">
        <v>1110</v>
      </c>
      <c r="B11" s="16" t="s">
        <v>240</v>
      </c>
      <c r="C11" s="147" t="s">
        <v>241</v>
      </c>
      <c r="D11" s="345">
        <f>SUM(D12:D14)</f>
        <v>3.24</v>
      </c>
      <c r="E11" s="345">
        <f>SUM(E12:E14)</f>
        <v>971.01</v>
      </c>
    </row>
    <row r="12" spans="1:5" ht="78.75" customHeight="1" x14ac:dyDescent="0.25">
      <c r="A12" s="136"/>
      <c r="B12" s="139"/>
      <c r="C12" s="152" t="s">
        <v>321</v>
      </c>
      <c r="D12" s="345">
        <f>ROUND((E12/300),2)</f>
        <v>0.75</v>
      </c>
      <c r="E12" s="345">
        <f>ROUND((23.61*12*0.794),2)</f>
        <v>224.96</v>
      </c>
    </row>
    <row r="13" spans="1:5" ht="79.5" customHeight="1" x14ac:dyDescent="0.25">
      <c r="A13" s="242"/>
      <c r="B13" s="243"/>
      <c r="C13" s="152" t="s">
        <v>1029</v>
      </c>
      <c r="D13" s="345">
        <f>ROUND((E13/300),2)</f>
        <v>1.5</v>
      </c>
      <c r="E13" s="345">
        <f>ROUND((47.21*12*0.794),2)</f>
        <v>449.82</v>
      </c>
    </row>
    <row r="14" spans="1:5" ht="80.25" customHeight="1" x14ac:dyDescent="0.25">
      <c r="A14" s="137"/>
      <c r="B14" s="140"/>
      <c r="C14" s="129" t="s">
        <v>322</v>
      </c>
      <c r="D14" s="346">
        <f>ROUND((E14/300),2)</f>
        <v>0.99</v>
      </c>
      <c r="E14" s="346">
        <f>ROUND((31.09*12*0.794),2)</f>
        <v>296.23</v>
      </c>
    </row>
    <row r="15" spans="1:5" ht="63.75" customHeight="1" x14ac:dyDescent="0.25">
      <c r="A15" s="131">
        <v>1140</v>
      </c>
      <c r="B15" s="5" t="s">
        <v>237</v>
      </c>
      <c r="C15" s="152" t="s">
        <v>323</v>
      </c>
      <c r="D15" s="346">
        <f>ROUND((E15/300),2)</f>
        <v>0.32</v>
      </c>
      <c r="E15" s="346">
        <f>ROUND((224.96*0.1+449.82*0.1+296.23*0.1),2)</f>
        <v>97.1</v>
      </c>
    </row>
    <row r="16" spans="1:5" ht="63" customHeight="1" x14ac:dyDescent="0.25">
      <c r="A16" s="7">
        <v>1200</v>
      </c>
      <c r="B16" s="328" t="s">
        <v>11</v>
      </c>
      <c r="C16" s="176" t="s">
        <v>319</v>
      </c>
      <c r="D16" s="347">
        <f>ROUND((D17+D18),2)</f>
        <v>1</v>
      </c>
      <c r="E16" s="347">
        <f>ROUND((E17+E18),2)</f>
        <v>300.52</v>
      </c>
    </row>
    <row r="17" spans="1:9" ht="47.25" customHeight="1" x14ac:dyDescent="0.25">
      <c r="A17" s="4">
        <v>1210</v>
      </c>
      <c r="B17" s="5" t="s">
        <v>239</v>
      </c>
      <c r="C17" s="176" t="s">
        <v>318</v>
      </c>
      <c r="D17" s="345">
        <f t="shared" ref="D17:D18" si="0">ROUND((E17/300),2)</f>
        <v>0.84</v>
      </c>
      <c r="E17" s="345">
        <f>1068.11*0.2359</f>
        <v>251.96714899999998</v>
      </c>
    </row>
    <row r="18" spans="1:9" ht="78.75" x14ac:dyDescent="0.25">
      <c r="A18" s="4">
        <v>1227</v>
      </c>
      <c r="B18" s="5" t="s">
        <v>238</v>
      </c>
      <c r="C18" s="176" t="s">
        <v>320</v>
      </c>
      <c r="D18" s="345">
        <f t="shared" si="0"/>
        <v>0.16</v>
      </c>
      <c r="E18" s="346">
        <f>ROUND((224.96*0.05+449.82*0.05+296.23*0.05),2)</f>
        <v>48.55</v>
      </c>
    </row>
    <row r="19" spans="1:9" ht="15.75" x14ac:dyDescent="0.25">
      <c r="A19" s="4"/>
      <c r="B19" s="9" t="s">
        <v>14</v>
      </c>
      <c r="C19" s="151" t="s">
        <v>16</v>
      </c>
      <c r="D19" s="276">
        <f>D9</f>
        <v>4.5600000000000005</v>
      </c>
      <c r="E19" s="276">
        <f>E9</f>
        <v>1368.6299999999999</v>
      </c>
    </row>
    <row r="20" spans="1:9" ht="15.75" x14ac:dyDescent="0.25">
      <c r="A20" s="4"/>
      <c r="B20" s="9" t="s">
        <v>15</v>
      </c>
      <c r="C20" s="284" t="s">
        <v>8</v>
      </c>
      <c r="D20" s="348"/>
      <c r="E20" s="348"/>
    </row>
    <row r="21" spans="1:9" ht="15.75" x14ac:dyDescent="0.25">
      <c r="A21" s="8">
        <v>1000</v>
      </c>
      <c r="B21" s="7" t="s">
        <v>9</v>
      </c>
      <c r="C21" s="284"/>
      <c r="D21" s="347">
        <f>SUM(D22+D34)</f>
        <v>4.7300000000000004</v>
      </c>
      <c r="E21" s="347">
        <f>SUM(E22+E34)</f>
        <v>1417.3099999999997</v>
      </c>
    </row>
    <row r="22" spans="1:9" ht="15.75" x14ac:dyDescent="0.25">
      <c r="A22" s="4">
        <v>1100</v>
      </c>
      <c r="B22" s="4" t="s">
        <v>10</v>
      </c>
      <c r="C22" s="147" t="s">
        <v>267</v>
      </c>
      <c r="D22" s="347">
        <f>SUM(D23:D33)</f>
        <v>3.83</v>
      </c>
      <c r="E22" s="347">
        <f>SUM(E23:E33)</f>
        <v>1146.7799999999997</v>
      </c>
    </row>
    <row r="23" spans="1:9" ht="94.5" x14ac:dyDescent="0.25">
      <c r="A23" s="237"/>
      <c r="B23" s="238"/>
      <c r="C23" s="152" t="s">
        <v>329</v>
      </c>
      <c r="D23" s="345">
        <f t="shared" ref="D23:D34" si="1">ROUND((E23/300),2)</f>
        <v>0.27</v>
      </c>
      <c r="E23" s="345">
        <f>ROUND((8.37*12*0.794),2)</f>
        <v>79.75</v>
      </c>
      <c r="I23" s="87"/>
    </row>
    <row r="24" spans="1:9" ht="94.5" x14ac:dyDescent="0.25">
      <c r="A24" s="242"/>
      <c r="B24" s="243"/>
      <c r="C24" s="152" t="s">
        <v>328</v>
      </c>
      <c r="D24" s="345">
        <f t="shared" si="1"/>
        <v>0.04</v>
      </c>
      <c r="E24" s="345">
        <f>ROUND((1.27*12*0.794),2)</f>
        <v>12.1</v>
      </c>
      <c r="I24" s="87"/>
    </row>
    <row r="25" spans="1:9" ht="80.25" customHeight="1" x14ac:dyDescent="0.25">
      <c r="A25" s="355"/>
      <c r="B25" s="353"/>
      <c r="C25" s="152" t="s">
        <v>327</v>
      </c>
      <c r="D25" s="345">
        <f t="shared" si="1"/>
        <v>0.02</v>
      </c>
      <c r="E25" s="345">
        <f>ROUND((0.76*12*0.794),2)</f>
        <v>7.24</v>
      </c>
      <c r="I25" s="87"/>
    </row>
    <row r="26" spans="1:9" ht="81" customHeight="1" x14ac:dyDescent="0.25">
      <c r="A26" s="355"/>
      <c r="B26" s="353"/>
      <c r="C26" s="152" t="s">
        <v>1440</v>
      </c>
      <c r="D26" s="345">
        <f t="shared" si="1"/>
        <v>0.04</v>
      </c>
      <c r="E26" s="345">
        <f>ROUND((1.12*12*0.794),2)</f>
        <v>10.67</v>
      </c>
      <c r="I26" s="87"/>
    </row>
    <row r="27" spans="1:9" ht="78.75" customHeight="1" x14ac:dyDescent="0.25">
      <c r="A27" s="355"/>
      <c r="B27" s="353"/>
      <c r="C27" s="152" t="s">
        <v>326</v>
      </c>
      <c r="D27" s="345">
        <f t="shared" si="1"/>
        <v>0.05</v>
      </c>
      <c r="E27" s="345">
        <f>ROUND((1.5*12*0.794),2)</f>
        <v>14.29</v>
      </c>
      <c r="I27" s="87"/>
    </row>
    <row r="28" spans="1:9" ht="79.5" customHeight="1" x14ac:dyDescent="0.25">
      <c r="A28" s="355"/>
      <c r="B28" s="353"/>
      <c r="C28" s="152" t="s">
        <v>325</v>
      </c>
      <c r="D28" s="345">
        <f t="shared" si="1"/>
        <v>0.04</v>
      </c>
      <c r="E28" s="345">
        <f>ROUND((1.21*12*0.794),2)</f>
        <v>11.53</v>
      </c>
      <c r="I28" s="87"/>
    </row>
    <row r="29" spans="1:9" ht="78.75" x14ac:dyDescent="0.25">
      <c r="A29" s="355"/>
      <c r="B29" s="353"/>
      <c r="C29" s="152" t="s">
        <v>1439</v>
      </c>
      <c r="D29" s="345">
        <f t="shared" si="1"/>
        <v>0.87</v>
      </c>
      <c r="E29" s="345">
        <f>ROUND((27.45*12*0.794),2)</f>
        <v>261.54000000000002</v>
      </c>
      <c r="F29" s="87"/>
      <c r="I29" s="87"/>
    </row>
    <row r="30" spans="1:9" ht="80.25" customHeight="1" x14ac:dyDescent="0.25">
      <c r="A30" s="355"/>
      <c r="B30" s="353"/>
      <c r="C30" s="152" t="s">
        <v>324</v>
      </c>
      <c r="D30" s="345">
        <f t="shared" si="1"/>
        <v>0.89</v>
      </c>
      <c r="E30" s="345">
        <f>ROUND((28.06*12*0.794),2)</f>
        <v>267.36</v>
      </c>
      <c r="I30" s="87"/>
    </row>
    <row r="31" spans="1:9" ht="80.25" customHeight="1" x14ac:dyDescent="0.25">
      <c r="A31" s="355"/>
      <c r="B31" s="353"/>
      <c r="C31" s="152" t="s">
        <v>1437</v>
      </c>
      <c r="D31" s="345">
        <f t="shared" si="1"/>
        <v>1.25</v>
      </c>
      <c r="E31" s="345">
        <f>ROUND((39.21*12*0.794),2)</f>
        <v>373.59</v>
      </c>
      <c r="I31" s="87"/>
    </row>
    <row r="32" spans="1:9" ht="94.5" customHeight="1" x14ac:dyDescent="0.25">
      <c r="A32" s="355"/>
      <c r="B32" s="353"/>
      <c r="C32" s="132" t="s">
        <v>330</v>
      </c>
      <c r="D32" s="345">
        <f t="shared" si="1"/>
        <v>0.28999999999999998</v>
      </c>
      <c r="E32" s="345">
        <f>ROUND((9.25*12*0.794),2)</f>
        <v>88.13</v>
      </c>
      <c r="I32" s="87"/>
    </row>
    <row r="33" spans="1:9" ht="80.25" customHeight="1" x14ac:dyDescent="0.25">
      <c r="A33" s="356"/>
      <c r="B33" s="354"/>
      <c r="C33" s="152" t="s">
        <v>331</v>
      </c>
      <c r="D33" s="345">
        <f t="shared" si="1"/>
        <v>7.0000000000000007E-2</v>
      </c>
      <c r="E33" s="345">
        <f>ROUND((2.16*12*0.794),2)</f>
        <v>20.58</v>
      </c>
      <c r="I33" s="87"/>
    </row>
    <row r="34" spans="1:9" ht="63.75" customHeight="1" x14ac:dyDescent="0.25">
      <c r="A34" s="7">
        <v>1200</v>
      </c>
      <c r="B34" s="166" t="s">
        <v>11</v>
      </c>
      <c r="C34" s="176" t="s">
        <v>1441</v>
      </c>
      <c r="D34" s="347">
        <f t="shared" si="1"/>
        <v>0.9</v>
      </c>
      <c r="E34" s="347">
        <f>ROUND((1146.78*0.2359),2)</f>
        <v>270.52999999999997</v>
      </c>
      <c r="I34" s="87"/>
    </row>
    <row r="35" spans="1:9" ht="15.75" x14ac:dyDescent="0.25">
      <c r="A35" s="8">
        <v>2000</v>
      </c>
      <c r="B35" s="7" t="s">
        <v>12</v>
      </c>
      <c r="C35" s="284"/>
      <c r="D35" s="276">
        <f>SUM(D36:D45)</f>
        <v>17.779999999999998</v>
      </c>
      <c r="E35" s="276">
        <f>SUM(E36:E45)</f>
        <v>5335.7800000000007</v>
      </c>
      <c r="I35" s="87"/>
    </row>
    <row r="36" spans="1:9" ht="31.5" x14ac:dyDescent="0.25">
      <c r="A36" s="4">
        <v>2221</v>
      </c>
      <c r="B36" s="5" t="s">
        <v>60</v>
      </c>
      <c r="C36" s="120" t="s">
        <v>1030</v>
      </c>
      <c r="D36" s="345">
        <f t="shared" ref="D36:D45" si="2">ROUND((E36/300),2)</f>
        <v>8.33</v>
      </c>
      <c r="E36" s="345">
        <f>ROUND((3147.44*0.794),2)</f>
        <v>2499.0700000000002</v>
      </c>
      <c r="I36" s="87"/>
    </row>
    <row r="37" spans="1:9" ht="31.5" x14ac:dyDescent="0.25">
      <c r="A37" s="4">
        <v>2222</v>
      </c>
      <c r="B37" s="5" t="s">
        <v>61</v>
      </c>
      <c r="C37" s="120" t="s">
        <v>1031</v>
      </c>
      <c r="D37" s="345">
        <f t="shared" si="2"/>
        <v>0.59</v>
      </c>
      <c r="E37" s="345">
        <f>ROUND((222.64*0.794),2)</f>
        <v>176.78</v>
      </c>
      <c r="I37" s="87"/>
    </row>
    <row r="38" spans="1:9" ht="31.5" x14ac:dyDescent="0.25">
      <c r="A38" s="4">
        <v>2223</v>
      </c>
      <c r="B38" s="5" t="s">
        <v>19</v>
      </c>
      <c r="C38" s="120" t="s">
        <v>1032</v>
      </c>
      <c r="D38" s="345">
        <f t="shared" si="2"/>
        <v>3.49</v>
      </c>
      <c r="E38" s="345">
        <f>ROUND((1318.92*0.794),2)</f>
        <v>1047.22</v>
      </c>
      <c r="I38" s="87"/>
    </row>
    <row r="39" spans="1:9" s="255" customFormat="1" ht="78.75" x14ac:dyDescent="0.25">
      <c r="A39" s="343">
        <v>2224</v>
      </c>
      <c r="B39" s="176" t="s">
        <v>62</v>
      </c>
      <c r="C39" s="176" t="s">
        <v>1033</v>
      </c>
      <c r="D39" s="345">
        <f t="shared" si="2"/>
        <v>0.53</v>
      </c>
      <c r="E39" s="345">
        <f>ROUND((200.6*0.794),2)</f>
        <v>159.28</v>
      </c>
      <c r="I39" s="344"/>
    </row>
    <row r="40" spans="1:9" ht="33" customHeight="1" x14ac:dyDescent="0.25">
      <c r="A40" s="174">
        <v>2229</v>
      </c>
      <c r="B40" s="5" t="s">
        <v>44</v>
      </c>
      <c r="C40" s="187" t="s">
        <v>1034</v>
      </c>
      <c r="D40" s="345">
        <f t="shared" si="2"/>
        <v>0.03</v>
      </c>
      <c r="E40" s="345">
        <f>ROUND((9.71*0.794),2)</f>
        <v>7.71</v>
      </c>
      <c r="I40" s="87"/>
    </row>
    <row r="41" spans="1:9" ht="31.5" x14ac:dyDescent="0.25">
      <c r="A41" s="174">
        <v>2232</v>
      </c>
      <c r="B41" s="126" t="s">
        <v>45</v>
      </c>
      <c r="C41" s="124" t="s">
        <v>1035</v>
      </c>
      <c r="D41" s="345">
        <f t="shared" si="2"/>
        <v>0.03</v>
      </c>
      <c r="E41" s="345">
        <f>ROUND((12.4*0.794),2)</f>
        <v>9.85</v>
      </c>
      <c r="I41" s="87"/>
    </row>
    <row r="42" spans="1:9" ht="96" customHeight="1" x14ac:dyDescent="0.25">
      <c r="A42" s="4">
        <v>2243</v>
      </c>
      <c r="B42" s="5" t="s">
        <v>21</v>
      </c>
      <c r="C42" s="90" t="s">
        <v>1036</v>
      </c>
      <c r="D42" s="345">
        <f t="shared" si="2"/>
        <v>0.15</v>
      </c>
      <c r="E42" s="345">
        <f>ROUND((58.41*0.794),2)</f>
        <v>46.38</v>
      </c>
      <c r="I42" s="87"/>
    </row>
    <row r="43" spans="1:9" ht="47.25" x14ac:dyDescent="0.25">
      <c r="A43" s="4">
        <v>2244</v>
      </c>
      <c r="B43" s="5" t="s">
        <v>22</v>
      </c>
      <c r="C43" s="176" t="s">
        <v>1037</v>
      </c>
      <c r="D43" s="345">
        <f t="shared" si="2"/>
        <v>4.16</v>
      </c>
      <c r="E43" s="345">
        <f>ROUND(1571.23*0.794,2)</f>
        <v>1247.56</v>
      </c>
      <c r="I43" s="87"/>
    </row>
    <row r="44" spans="1:9" ht="48.75" customHeight="1" x14ac:dyDescent="0.25">
      <c r="A44" s="4">
        <v>2350</v>
      </c>
      <c r="B44" s="5" t="s">
        <v>236</v>
      </c>
      <c r="C44" s="176" t="s">
        <v>1038</v>
      </c>
      <c r="D44" s="345">
        <f t="shared" si="2"/>
        <v>0.13</v>
      </c>
      <c r="E44" s="345">
        <f>ROUND((49.02*0.794),2)</f>
        <v>38.92</v>
      </c>
      <c r="I44" s="87"/>
    </row>
    <row r="45" spans="1:9" ht="31.5" x14ac:dyDescent="0.25">
      <c r="A45" s="4">
        <v>2513</v>
      </c>
      <c r="B45" s="5" t="s">
        <v>63</v>
      </c>
      <c r="C45" s="176" t="s">
        <v>1039</v>
      </c>
      <c r="D45" s="345">
        <f t="shared" si="2"/>
        <v>0.34</v>
      </c>
      <c r="E45" s="345">
        <f>ROUND((129.73*0.794),2)</f>
        <v>103.01</v>
      </c>
      <c r="I45" s="87"/>
    </row>
    <row r="46" spans="1:9" ht="15.75" x14ac:dyDescent="0.25">
      <c r="A46" s="10">
        <v>5000</v>
      </c>
      <c r="B46" s="9" t="s">
        <v>17</v>
      </c>
      <c r="C46" s="48"/>
      <c r="D46" s="44">
        <f>SUM(D47:D50)</f>
        <v>2.66</v>
      </c>
      <c r="E46" s="44">
        <f>SUM(E47:E50)</f>
        <v>796.51</v>
      </c>
      <c r="I46" s="87"/>
    </row>
    <row r="47" spans="1:9" ht="31.5" customHeight="1" x14ac:dyDescent="0.25">
      <c r="A47" s="4">
        <v>5212</v>
      </c>
      <c r="B47" s="5" t="s">
        <v>31</v>
      </c>
      <c r="C47" s="50" t="s">
        <v>1040</v>
      </c>
      <c r="D47" s="45">
        <f>ROUND((E47/300),2)</f>
        <v>0.95</v>
      </c>
      <c r="E47" s="45">
        <f>ROUND((359.42*0.794),2)</f>
        <v>285.38</v>
      </c>
      <c r="I47" s="87"/>
    </row>
    <row r="48" spans="1:9" ht="33.75" customHeight="1" x14ac:dyDescent="0.25">
      <c r="A48" s="4">
        <v>5213</v>
      </c>
      <c r="B48" s="5" t="s">
        <v>32</v>
      </c>
      <c r="C48" s="50" t="s">
        <v>1041</v>
      </c>
      <c r="D48" s="45">
        <f>ROUND((E48/300),2)</f>
        <v>0.68</v>
      </c>
      <c r="E48" s="45">
        <f>ROUND((256.96*0.794),2)</f>
        <v>204.03</v>
      </c>
      <c r="I48" s="87"/>
    </row>
    <row r="49" spans="1:9" ht="33" customHeight="1" x14ac:dyDescent="0.25">
      <c r="A49" s="19">
        <v>5218</v>
      </c>
      <c r="B49" s="50" t="s">
        <v>33</v>
      </c>
      <c r="C49" s="50" t="s">
        <v>1042</v>
      </c>
      <c r="D49" s="45">
        <f>ROUND((E49/300),2)</f>
        <v>0.45</v>
      </c>
      <c r="E49" s="45">
        <f>ROUND((169.48*0.794),2)</f>
        <v>134.57</v>
      </c>
      <c r="I49" s="87"/>
    </row>
    <row r="50" spans="1:9" ht="47.25" x14ac:dyDescent="0.25">
      <c r="A50" s="19">
        <v>5239</v>
      </c>
      <c r="B50" s="50" t="s">
        <v>18</v>
      </c>
      <c r="C50" s="50" t="s">
        <v>1043</v>
      </c>
      <c r="D50" s="45">
        <f>ROUND((E50/300),2)</f>
        <v>0.57999999999999996</v>
      </c>
      <c r="E50" s="45">
        <f>ROUND((217.29*0.794),2)</f>
        <v>172.53</v>
      </c>
      <c r="I50" s="87"/>
    </row>
    <row r="51" spans="1:9" ht="15.75" x14ac:dyDescent="0.25">
      <c r="A51" s="4"/>
      <c r="B51" s="9" t="s">
        <v>23</v>
      </c>
      <c r="C51" s="48"/>
      <c r="D51" s="44">
        <f>SUM(D21+D35+D46)</f>
        <v>25.169999999999998</v>
      </c>
      <c r="E51" s="41">
        <f>SUM(E21+E35+E46)</f>
        <v>7549.6</v>
      </c>
      <c r="I51" s="87"/>
    </row>
    <row r="52" spans="1:9" ht="31.5" x14ac:dyDescent="0.25">
      <c r="A52" s="4"/>
      <c r="B52" s="11" t="s">
        <v>28</v>
      </c>
      <c r="C52" s="48"/>
      <c r="D52" s="93">
        <f>D19+D51</f>
        <v>29.729999999999997</v>
      </c>
      <c r="E52" s="42">
        <f>E19+E51</f>
        <v>8918.23</v>
      </c>
      <c r="I52" s="87"/>
    </row>
    <row r="53" spans="1:9" ht="15.75" x14ac:dyDescent="0.25">
      <c r="A53" s="21"/>
      <c r="B53" s="13" t="s">
        <v>29</v>
      </c>
      <c r="C53" s="48"/>
      <c r="D53" s="93">
        <f>D52*0.21</f>
        <v>6.2432999999999987</v>
      </c>
      <c r="E53" s="42">
        <f>E52*0.21</f>
        <v>1872.8282999999999</v>
      </c>
      <c r="I53" s="87"/>
    </row>
    <row r="54" spans="1:9" ht="31.5" x14ac:dyDescent="0.25">
      <c r="A54" s="21"/>
      <c r="B54" s="179" t="s">
        <v>30</v>
      </c>
      <c r="C54" s="180"/>
      <c r="D54" s="189">
        <f>D52*1.21</f>
        <v>35.973299999999995</v>
      </c>
      <c r="E54" s="182">
        <f>E52*1.21</f>
        <v>10791.058299999999</v>
      </c>
      <c r="I54" s="87"/>
    </row>
    <row r="55" spans="1:9" ht="15.75" x14ac:dyDescent="0.25">
      <c r="A55" s="360" t="s">
        <v>47</v>
      </c>
      <c r="B55" s="360"/>
      <c r="C55" s="360"/>
      <c r="D55" s="8">
        <v>300</v>
      </c>
      <c r="E55" s="8" t="s">
        <v>196</v>
      </c>
    </row>
    <row r="56" spans="1:9" ht="30" customHeight="1" x14ac:dyDescent="0.25">
      <c r="A56" s="351" t="s">
        <v>65</v>
      </c>
      <c r="B56" s="351"/>
      <c r="C56" s="351"/>
      <c r="D56" s="183">
        <f>E54/D55</f>
        <v>35.970194333333332</v>
      </c>
      <c r="E56" s="8" t="s">
        <v>197</v>
      </c>
    </row>
  </sheetData>
  <mergeCells count="7">
    <mergeCell ref="A55:C55"/>
    <mergeCell ref="A56:C56"/>
    <mergeCell ref="A1:C1"/>
    <mergeCell ref="A4:B4"/>
    <mergeCell ref="A3:C3"/>
    <mergeCell ref="A25:A33"/>
    <mergeCell ref="B25:B33"/>
  </mergeCells>
  <pageMargins left="0.7" right="0.7" top="0.75" bottom="0.75" header="0.3" footer="0.3"/>
  <pageSetup paperSize="9" orientation="landscape" r:id="rId1"/>
  <rowBreaks count="3" manualBreakCount="3">
    <brk id="23" max="16383" man="1"/>
    <brk id="28" max="16383" man="1"/>
    <brk id="3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35569-BE0E-4317-8443-A9C62AC4A18D}">
  <dimension ref="A1:J62"/>
  <sheetViews>
    <sheetView zoomScaleNormal="100" workbookViewId="0">
      <selection activeCell="A3" sqref="A3:E3"/>
    </sheetView>
  </sheetViews>
  <sheetFormatPr defaultRowHeight="15" x14ac:dyDescent="0.25"/>
  <cols>
    <col min="1" max="1" width="12.28515625" customWidth="1"/>
    <col min="2" max="2" width="27" customWidth="1"/>
    <col min="3" max="3" width="62.5703125" customWidth="1"/>
    <col min="4" max="4" width="9.42578125" customWidth="1"/>
    <col min="5" max="5" width="17.28515625" customWidth="1"/>
  </cols>
  <sheetData>
    <row r="1" spans="1:5" ht="18.75" x14ac:dyDescent="0.3">
      <c r="A1" s="158" t="s">
        <v>51</v>
      </c>
    </row>
    <row r="2" spans="1:5" ht="18.75" x14ac:dyDescent="0.3">
      <c r="A2" s="358" t="s">
        <v>52</v>
      </c>
      <c r="B2" s="358"/>
      <c r="C2" s="358"/>
    </row>
    <row r="3" spans="1:5" ht="18.75" x14ac:dyDescent="0.25">
      <c r="A3" s="352" t="s">
        <v>1583</v>
      </c>
      <c r="B3" s="352"/>
      <c r="C3" s="352"/>
      <c r="D3" s="352"/>
      <c r="E3" s="352"/>
    </row>
    <row r="4" spans="1:5" ht="15.75" x14ac:dyDescent="0.25">
      <c r="A4" s="359" t="s">
        <v>74</v>
      </c>
      <c r="B4" s="359"/>
    </row>
    <row r="6" spans="1:5" ht="78.599999999999994" customHeight="1" x14ac:dyDescent="0.25">
      <c r="A6" s="149" t="s">
        <v>0</v>
      </c>
      <c r="B6" s="149" t="s">
        <v>1</v>
      </c>
      <c r="C6" s="149" t="s">
        <v>2</v>
      </c>
      <c r="D6" s="162" t="s">
        <v>26</v>
      </c>
      <c r="E6" s="162" t="s">
        <v>27</v>
      </c>
    </row>
    <row r="7" spans="1:5" x14ac:dyDescent="0.25">
      <c r="A7" s="292">
        <v>1</v>
      </c>
      <c r="B7" s="292">
        <v>2</v>
      </c>
      <c r="C7" s="292">
        <v>3</v>
      </c>
      <c r="D7" s="292">
        <v>4</v>
      </c>
      <c r="E7" s="292">
        <v>5</v>
      </c>
    </row>
    <row r="8" spans="1:5" ht="15.75" x14ac:dyDescent="0.25">
      <c r="A8" s="4"/>
      <c r="B8" s="7" t="s">
        <v>7</v>
      </c>
      <c r="C8" s="59" t="s">
        <v>8</v>
      </c>
      <c r="D8" s="25"/>
      <c r="E8" s="23"/>
    </row>
    <row r="9" spans="1:5" ht="15.75" x14ac:dyDescent="0.25">
      <c r="A9" s="8">
        <v>1000</v>
      </c>
      <c r="B9" s="7" t="s">
        <v>9</v>
      </c>
      <c r="C9" s="284"/>
      <c r="D9" s="44">
        <f>D10+D18</f>
        <v>14.179999999999998</v>
      </c>
      <c r="E9" s="44">
        <f>E10+E18</f>
        <v>2128.6099999999997</v>
      </c>
    </row>
    <row r="10" spans="1:5" ht="15.75" x14ac:dyDescent="0.25">
      <c r="A10" s="280">
        <v>1100</v>
      </c>
      <c r="B10" s="280" t="s">
        <v>10</v>
      </c>
      <c r="D10" s="44">
        <f>SUM(D12:D17)</f>
        <v>11.069999999999999</v>
      </c>
      <c r="E10" s="44">
        <f>SUM(E12:E17)</f>
        <v>1661.2099999999998</v>
      </c>
    </row>
    <row r="11" spans="1:5" ht="15.75" x14ac:dyDescent="0.25">
      <c r="A11" s="16">
        <v>1110</v>
      </c>
      <c r="B11" s="16" t="s">
        <v>240</v>
      </c>
      <c r="C11" s="147" t="s">
        <v>241</v>
      </c>
      <c r="D11" s="114">
        <f>SUM(D12:D16)</f>
        <v>10.059999999999999</v>
      </c>
      <c r="E11" s="114">
        <f>SUM(E12:E16)</f>
        <v>1510.1899999999998</v>
      </c>
    </row>
    <row r="12" spans="1:5" ht="80.25" customHeight="1" x14ac:dyDescent="0.25">
      <c r="A12" s="136"/>
      <c r="B12" s="139"/>
      <c r="C12" s="152" t="s">
        <v>333</v>
      </c>
      <c r="D12" s="62">
        <f t="shared" ref="D12:D20" si="0">ROUND((E12/150),2)</f>
        <v>1.98</v>
      </c>
      <c r="E12" s="114">
        <f>ROUND((486.2*12*0.051),2)</f>
        <v>297.55</v>
      </c>
    </row>
    <row r="13" spans="1:5" ht="79.5" customHeight="1" x14ac:dyDescent="0.25">
      <c r="A13" s="153"/>
      <c r="B13" s="154"/>
      <c r="C13" s="152" t="s">
        <v>530</v>
      </c>
      <c r="D13" s="62">
        <f t="shared" si="0"/>
        <v>2.5</v>
      </c>
      <c r="E13" s="114">
        <f>ROUND((613.42*12*0.051),2)</f>
        <v>375.41</v>
      </c>
    </row>
    <row r="14" spans="1:5" ht="80.25" customHeight="1" x14ac:dyDescent="0.25">
      <c r="A14" s="137"/>
      <c r="B14" s="140"/>
      <c r="C14" s="152" t="s">
        <v>531</v>
      </c>
      <c r="D14" s="62">
        <f t="shared" si="0"/>
        <v>2.34</v>
      </c>
      <c r="E14" s="114">
        <f>ROUND((574.48*12*0.051),2)</f>
        <v>351.58</v>
      </c>
    </row>
    <row r="15" spans="1:5" ht="77.25" customHeight="1" x14ac:dyDescent="0.25">
      <c r="A15" s="137"/>
      <c r="B15" s="140"/>
      <c r="C15" s="152" t="s">
        <v>334</v>
      </c>
      <c r="D15" s="62">
        <f t="shared" si="0"/>
        <v>2.11</v>
      </c>
      <c r="E15" s="114">
        <f>ROUND((516.85*12*0.051),2)</f>
        <v>316.31</v>
      </c>
    </row>
    <row r="16" spans="1:5" ht="81.75" customHeight="1" x14ac:dyDescent="0.25">
      <c r="A16" s="138"/>
      <c r="B16" s="141"/>
      <c r="C16" s="152" t="s">
        <v>1573</v>
      </c>
      <c r="D16" s="62">
        <f t="shared" si="0"/>
        <v>1.1299999999999999</v>
      </c>
      <c r="E16" s="114">
        <f>ROUND((276.7*12*0.051),2)</f>
        <v>169.34</v>
      </c>
    </row>
    <row r="17" spans="1:10" ht="95.25" customHeight="1" x14ac:dyDescent="0.25">
      <c r="A17" s="131">
        <v>1140</v>
      </c>
      <c r="B17" s="5" t="s">
        <v>237</v>
      </c>
      <c r="C17" s="152" t="s">
        <v>1419</v>
      </c>
      <c r="D17" s="62">
        <f t="shared" si="0"/>
        <v>1.01</v>
      </c>
      <c r="E17" s="114">
        <f>ROUND((297.55*0.1+375.41*0.1+351.58*0.1+316.31*0.1+169.34*0.1),2)</f>
        <v>151.02000000000001</v>
      </c>
    </row>
    <row r="18" spans="1:10" ht="63" x14ac:dyDescent="0.25">
      <c r="A18" s="7">
        <v>1200</v>
      </c>
      <c r="B18" s="289" t="s">
        <v>11</v>
      </c>
      <c r="C18" s="176" t="s">
        <v>1421</v>
      </c>
      <c r="D18" s="291">
        <f>D19+D20</f>
        <v>3.11</v>
      </c>
      <c r="E18" s="92">
        <f>E19+E20</f>
        <v>467.4</v>
      </c>
    </row>
    <row r="19" spans="1:10" ht="47.25" customHeight="1" x14ac:dyDescent="0.25">
      <c r="A19" s="4">
        <v>1210</v>
      </c>
      <c r="B19" s="5" t="s">
        <v>239</v>
      </c>
      <c r="C19" s="176" t="s">
        <v>332</v>
      </c>
      <c r="D19" s="47">
        <f t="shared" si="0"/>
        <v>2.61</v>
      </c>
      <c r="E19" s="114">
        <f>ROUND((1661.21*0.2359),2)</f>
        <v>391.88</v>
      </c>
    </row>
    <row r="20" spans="1:10" ht="93" customHeight="1" x14ac:dyDescent="0.25">
      <c r="A20" s="4">
        <v>1227</v>
      </c>
      <c r="B20" s="5" t="s">
        <v>238</v>
      </c>
      <c r="C20" s="176" t="s">
        <v>1420</v>
      </c>
      <c r="D20" s="62">
        <f t="shared" si="0"/>
        <v>0.5</v>
      </c>
      <c r="E20" s="114">
        <f>ROUND((297.55*0.05+375.41*0.05+351.58*0.05+316.31*0.05+169.34*0.05+0.01),2)</f>
        <v>75.52</v>
      </c>
    </row>
    <row r="21" spans="1:10" ht="15.75" x14ac:dyDescent="0.25">
      <c r="A21" s="4"/>
      <c r="B21" s="9" t="s">
        <v>14</v>
      </c>
      <c r="C21" s="60" t="s">
        <v>16</v>
      </c>
      <c r="D21" s="26">
        <f>D9</f>
        <v>14.179999999999998</v>
      </c>
      <c r="E21" s="44">
        <f>E9</f>
        <v>2128.6099999999997</v>
      </c>
    </row>
    <row r="22" spans="1:10" ht="15.75" x14ac:dyDescent="0.25">
      <c r="A22" s="4"/>
      <c r="B22" s="9" t="s">
        <v>15</v>
      </c>
      <c r="C22" s="59" t="s">
        <v>8</v>
      </c>
      <c r="D22" s="23"/>
      <c r="E22" s="43"/>
    </row>
    <row r="23" spans="1:10" ht="15.75" x14ac:dyDescent="0.25">
      <c r="A23" s="8">
        <v>1000</v>
      </c>
      <c r="B23" s="7" t="s">
        <v>9</v>
      </c>
      <c r="C23" s="59"/>
      <c r="D23" s="247">
        <f>SUM(D24+D35)</f>
        <v>2.35</v>
      </c>
      <c r="E23" s="247">
        <f>SUM(E24+E35)</f>
        <v>351.43999999999994</v>
      </c>
    </row>
    <row r="24" spans="1:10" ht="15.75" x14ac:dyDescent="0.25">
      <c r="A24" s="7">
        <v>1100</v>
      </c>
      <c r="B24" s="7" t="s">
        <v>10</v>
      </c>
      <c r="C24" s="147" t="s">
        <v>267</v>
      </c>
      <c r="D24" s="247">
        <f>SUM(D25:D34)</f>
        <v>1.9</v>
      </c>
      <c r="E24" s="247">
        <f>SUM(E25:E34)</f>
        <v>284.35999999999996</v>
      </c>
    </row>
    <row r="25" spans="1:10" ht="80.25" customHeight="1" x14ac:dyDescent="0.25">
      <c r="A25" s="237"/>
      <c r="B25" s="238"/>
      <c r="C25" s="152" t="s">
        <v>338</v>
      </c>
      <c r="D25" s="28">
        <f t="shared" ref="D25:D35" si="1">ROUND((E25/150),2)</f>
        <v>0.06</v>
      </c>
      <c r="E25" s="46">
        <f>ROUND((14.05*12*0.051),2)</f>
        <v>8.6</v>
      </c>
    </row>
    <row r="26" spans="1:10" ht="79.5" customHeight="1" x14ac:dyDescent="0.25">
      <c r="A26" s="355"/>
      <c r="B26" s="353"/>
      <c r="C26" s="152" t="s">
        <v>339</v>
      </c>
      <c r="D26" s="28">
        <f t="shared" si="1"/>
        <v>0.04</v>
      </c>
      <c r="E26" s="46">
        <f>ROUND((9.32*12*0.051),2)</f>
        <v>5.7</v>
      </c>
    </row>
    <row r="27" spans="1:10" ht="78" customHeight="1" x14ac:dyDescent="0.25">
      <c r="A27" s="355"/>
      <c r="B27" s="353"/>
      <c r="C27" s="132" t="s">
        <v>372</v>
      </c>
      <c r="D27" s="28">
        <f t="shared" si="1"/>
        <v>0.05</v>
      </c>
      <c r="E27" s="46">
        <f>ROUND((13.46*12*0.051),2)</f>
        <v>8.24</v>
      </c>
      <c r="J27" s="87"/>
    </row>
    <row r="28" spans="1:10" ht="78" customHeight="1" x14ac:dyDescent="0.25">
      <c r="A28" s="355"/>
      <c r="B28" s="353"/>
      <c r="C28" s="132" t="s">
        <v>337</v>
      </c>
      <c r="D28" s="28">
        <f t="shared" si="1"/>
        <v>0.08</v>
      </c>
      <c r="E28" s="28">
        <f>ROUND((18.64*12*0.051),2)</f>
        <v>11.41</v>
      </c>
    </row>
    <row r="29" spans="1:10" ht="78" customHeight="1" x14ac:dyDescent="0.25">
      <c r="A29" s="355"/>
      <c r="B29" s="353"/>
      <c r="C29" s="132" t="s">
        <v>336</v>
      </c>
      <c r="D29" s="28">
        <f t="shared" si="1"/>
        <v>0.05</v>
      </c>
      <c r="E29" s="28">
        <f>ROUND((13.16*12*0.051),2)</f>
        <v>8.0500000000000007</v>
      </c>
    </row>
    <row r="30" spans="1:10" ht="78.75" customHeight="1" x14ac:dyDescent="0.25">
      <c r="A30" s="355"/>
      <c r="B30" s="353"/>
      <c r="C30" s="132" t="s">
        <v>335</v>
      </c>
      <c r="D30" s="28">
        <f t="shared" si="1"/>
        <v>0.31</v>
      </c>
      <c r="E30" s="28">
        <f>ROUND((75.79*12*0.051),2)</f>
        <v>46.38</v>
      </c>
    </row>
    <row r="31" spans="1:10" ht="80.25" customHeight="1" x14ac:dyDescent="0.25">
      <c r="A31" s="355"/>
      <c r="B31" s="353"/>
      <c r="C31" s="132" t="s">
        <v>340</v>
      </c>
      <c r="D31" s="28">
        <f t="shared" si="1"/>
        <v>0.32</v>
      </c>
      <c r="E31" s="28">
        <f>ROUND((77.25*12*0.051),2)</f>
        <v>47.28</v>
      </c>
    </row>
    <row r="32" spans="1:10" ht="78.75" customHeight="1" x14ac:dyDescent="0.25">
      <c r="A32" s="355"/>
      <c r="B32" s="353"/>
      <c r="C32" s="132" t="s">
        <v>360</v>
      </c>
      <c r="D32" s="46">
        <f t="shared" si="1"/>
        <v>0.4</v>
      </c>
      <c r="E32" s="28">
        <f>ROUND((98.97*12*0.051),2)</f>
        <v>60.57</v>
      </c>
      <c r="H32" s="87"/>
    </row>
    <row r="33" spans="1:10" ht="93.75" customHeight="1" x14ac:dyDescent="0.25">
      <c r="A33" s="355"/>
      <c r="B33" s="353"/>
      <c r="C33" s="132" t="s">
        <v>361</v>
      </c>
      <c r="D33" s="28">
        <f t="shared" si="1"/>
        <v>0.47</v>
      </c>
      <c r="E33" s="28">
        <f>ROUND((114.88*12*0.051),2)</f>
        <v>70.31</v>
      </c>
      <c r="H33" s="87"/>
    </row>
    <row r="34" spans="1:10" ht="77.25" customHeight="1" x14ac:dyDescent="0.25">
      <c r="A34" s="356"/>
      <c r="B34" s="354"/>
      <c r="C34" s="132" t="s">
        <v>341</v>
      </c>
      <c r="D34" s="28">
        <f t="shared" si="1"/>
        <v>0.12</v>
      </c>
      <c r="E34" s="28">
        <f>ROUND((29.12*12*0.051),2)</f>
        <v>17.82</v>
      </c>
      <c r="H34" s="87"/>
    </row>
    <row r="35" spans="1:10" ht="65.25" customHeight="1" x14ac:dyDescent="0.25">
      <c r="A35" s="7">
        <v>1200</v>
      </c>
      <c r="B35" s="166" t="s">
        <v>11</v>
      </c>
      <c r="C35" s="5" t="s">
        <v>373</v>
      </c>
      <c r="D35" s="291">
        <f t="shared" si="1"/>
        <v>0.45</v>
      </c>
      <c r="E35" s="92">
        <f>ROUND((284.36*0.2359),2)</f>
        <v>67.08</v>
      </c>
      <c r="H35" s="87"/>
    </row>
    <row r="36" spans="1:10" ht="15.75" x14ac:dyDescent="0.25">
      <c r="A36" s="8">
        <v>2000</v>
      </c>
      <c r="B36" s="7" t="s">
        <v>12</v>
      </c>
      <c r="C36" s="131"/>
      <c r="D36" s="24">
        <f>SUM(D37:D50)</f>
        <v>40.089999999999996</v>
      </c>
      <c r="E36" s="24">
        <f>SUM(E37:E50)</f>
        <v>6014.3500000000013</v>
      </c>
      <c r="H36" s="87"/>
    </row>
    <row r="37" spans="1:10" ht="31.5" x14ac:dyDescent="0.25">
      <c r="A37" s="4">
        <v>2221</v>
      </c>
      <c r="B37" s="112" t="s">
        <v>60</v>
      </c>
      <c r="C37" s="176" t="s">
        <v>342</v>
      </c>
      <c r="D37" s="46">
        <f t="shared" ref="D37:D50" si="2">ROUND((E37/150),2)</f>
        <v>28.2</v>
      </c>
      <c r="E37" s="45">
        <f>ROUND((82944.32*0.051),2)</f>
        <v>4230.16</v>
      </c>
      <c r="H37" s="87"/>
    </row>
    <row r="38" spans="1:10" ht="31.5" x14ac:dyDescent="0.25">
      <c r="A38" s="4">
        <v>2222</v>
      </c>
      <c r="B38" s="5" t="s">
        <v>61</v>
      </c>
      <c r="C38" s="5" t="s">
        <v>343</v>
      </c>
      <c r="D38" s="28">
        <f t="shared" si="2"/>
        <v>1.43</v>
      </c>
      <c r="E38" s="45">
        <f>ROUND((4203.76*0.051),2)</f>
        <v>214.39</v>
      </c>
      <c r="H38" s="87"/>
    </row>
    <row r="39" spans="1:10" ht="31.5" customHeight="1" x14ac:dyDescent="0.25">
      <c r="A39" s="4">
        <v>2223</v>
      </c>
      <c r="B39" s="5" t="s">
        <v>19</v>
      </c>
      <c r="C39" s="5" t="s">
        <v>344</v>
      </c>
      <c r="D39" s="28">
        <f>ROUND((E39/150),2)</f>
        <v>2.65</v>
      </c>
      <c r="E39" s="45">
        <f>ROUND((7807.39*0.051),2)</f>
        <v>398.18</v>
      </c>
      <c r="H39" s="87"/>
      <c r="J39" s="51"/>
    </row>
    <row r="40" spans="1:10" ht="78" customHeight="1" x14ac:dyDescent="0.25">
      <c r="A40" s="4">
        <v>2224</v>
      </c>
      <c r="B40" s="112" t="s">
        <v>62</v>
      </c>
      <c r="C40" s="5" t="s">
        <v>345</v>
      </c>
      <c r="D40" s="28">
        <f t="shared" si="2"/>
        <v>0.09</v>
      </c>
      <c r="E40" s="28">
        <f>ROUND((275.91*0.051),2)</f>
        <v>14.07</v>
      </c>
      <c r="H40" s="87"/>
    </row>
    <row r="41" spans="1:10" ht="31.5" x14ac:dyDescent="0.25">
      <c r="A41" s="4">
        <v>2232</v>
      </c>
      <c r="B41" s="125" t="s">
        <v>45</v>
      </c>
      <c r="C41" s="126" t="s">
        <v>346</v>
      </c>
      <c r="D41" s="28">
        <f t="shared" si="2"/>
        <v>0.05</v>
      </c>
      <c r="E41" s="46">
        <f>ROUND((149.11*0.051),2)</f>
        <v>7.6</v>
      </c>
      <c r="H41" s="87"/>
    </row>
    <row r="42" spans="1:10" ht="31.5" x14ac:dyDescent="0.25">
      <c r="A42" s="4">
        <v>2239</v>
      </c>
      <c r="B42" s="58" t="s">
        <v>20</v>
      </c>
      <c r="C42" s="126" t="s">
        <v>347</v>
      </c>
      <c r="D42" s="28">
        <f t="shared" si="2"/>
        <v>0.02</v>
      </c>
      <c r="E42" s="28">
        <f>ROUND((57*0.051),2)</f>
        <v>2.91</v>
      </c>
      <c r="H42" s="87"/>
    </row>
    <row r="43" spans="1:10" ht="31.5" x14ac:dyDescent="0.25">
      <c r="A43" s="4">
        <v>2241</v>
      </c>
      <c r="B43" s="61" t="s">
        <v>64</v>
      </c>
      <c r="C43" s="5" t="s">
        <v>348</v>
      </c>
      <c r="D43" s="28">
        <f t="shared" si="2"/>
        <v>0.64</v>
      </c>
      <c r="E43" s="28">
        <f>ROUND((1875.92*0.051),2)</f>
        <v>95.67</v>
      </c>
      <c r="H43" s="87"/>
    </row>
    <row r="44" spans="1:10" ht="47.25" x14ac:dyDescent="0.25">
      <c r="A44" s="4">
        <v>2243</v>
      </c>
      <c r="B44" s="61" t="s">
        <v>21</v>
      </c>
      <c r="C44" s="126" t="s">
        <v>349</v>
      </c>
      <c r="D44" s="47">
        <f>ROUND((E44/150),2)</f>
        <v>0.33</v>
      </c>
      <c r="E44" s="28">
        <f>ROUND((956.5*0.051),2)</f>
        <v>48.78</v>
      </c>
      <c r="H44" s="87"/>
    </row>
    <row r="45" spans="1:10" ht="47.25" x14ac:dyDescent="0.25">
      <c r="A45" s="4">
        <v>2244</v>
      </c>
      <c r="B45" s="61" t="s">
        <v>22</v>
      </c>
      <c r="C45" s="5" t="s">
        <v>350</v>
      </c>
      <c r="D45" s="28">
        <f t="shared" si="2"/>
        <v>1.1499999999999999</v>
      </c>
      <c r="E45" s="45">
        <f>ROUND((3378.56*0.051),2)</f>
        <v>172.31</v>
      </c>
      <c r="H45" s="87"/>
    </row>
    <row r="46" spans="1:10" ht="47.25" x14ac:dyDescent="0.25">
      <c r="A46" s="4">
        <v>2249</v>
      </c>
      <c r="B46" s="61" t="s">
        <v>50</v>
      </c>
      <c r="C46" s="61" t="s">
        <v>351</v>
      </c>
      <c r="D46" s="28">
        <f t="shared" si="2"/>
        <v>1.26</v>
      </c>
      <c r="E46" s="45">
        <f>ROUND((3705.93*0.051),2)</f>
        <v>189</v>
      </c>
      <c r="H46" s="87"/>
    </row>
    <row r="47" spans="1:10" ht="31.5" x14ac:dyDescent="0.25">
      <c r="A47" s="4">
        <v>2312</v>
      </c>
      <c r="B47" s="4" t="s">
        <v>13</v>
      </c>
      <c r="C47" s="61" t="s">
        <v>352</v>
      </c>
      <c r="D47" s="28">
        <f t="shared" si="2"/>
        <v>0.28999999999999998</v>
      </c>
      <c r="E47" s="45">
        <f>ROUND((856.97*0.051),2)</f>
        <v>43.71</v>
      </c>
      <c r="H47" s="87"/>
    </row>
    <row r="48" spans="1:10" ht="46.5" customHeight="1" x14ac:dyDescent="0.25">
      <c r="A48" s="4">
        <v>2350</v>
      </c>
      <c r="B48" s="5" t="s">
        <v>236</v>
      </c>
      <c r="C48" s="67" t="s">
        <v>353</v>
      </c>
      <c r="D48" s="46">
        <f t="shared" si="2"/>
        <v>0.57999999999999996</v>
      </c>
      <c r="E48" s="62">
        <f>ROUND((1711.8*0.051),2)</f>
        <v>87.3</v>
      </c>
      <c r="H48" s="87"/>
    </row>
    <row r="49" spans="1:8" ht="33" customHeight="1" x14ac:dyDescent="0.25">
      <c r="A49" s="4">
        <v>2513</v>
      </c>
      <c r="B49" s="5" t="s">
        <v>63</v>
      </c>
      <c r="C49" s="61" t="s">
        <v>356</v>
      </c>
      <c r="D49" s="46">
        <f t="shared" si="2"/>
        <v>2.75</v>
      </c>
      <c r="E49" s="46">
        <f>ROUND((8084.39*0.051),2)</f>
        <v>412.3</v>
      </c>
      <c r="H49" s="87"/>
    </row>
    <row r="50" spans="1:8" ht="30" customHeight="1" x14ac:dyDescent="0.25">
      <c r="A50" s="4">
        <v>2515</v>
      </c>
      <c r="B50" s="5" t="s">
        <v>49</v>
      </c>
      <c r="C50" s="61" t="s">
        <v>355</v>
      </c>
      <c r="D50" s="46">
        <f t="shared" si="2"/>
        <v>0.65</v>
      </c>
      <c r="E50" s="28">
        <f>ROUND((1920.89*0.051),2)</f>
        <v>97.97</v>
      </c>
      <c r="H50" s="87"/>
    </row>
    <row r="51" spans="1:8" ht="15.75" x14ac:dyDescent="0.25">
      <c r="A51" s="167">
        <v>5000</v>
      </c>
      <c r="B51" s="166" t="s">
        <v>17</v>
      </c>
      <c r="C51" s="131"/>
      <c r="D51" s="244">
        <f>SUM(D52:D55)</f>
        <v>2.7100000000000004</v>
      </c>
      <c r="E51" s="244">
        <f>SUM(E52:E55)</f>
        <v>405.13</v>
      </c>
      <c r="H51" s="87"/>
    </row>
    <row r="52" spans="1:8" ht="30.75" customHeight="1" x14ac:dyDescent="0.25">
      <c r="A52" s="4">
        <v>5212</v>
      </c>
      <c r="B52" s="5" t="s">
        <v>31</v>
      </c>
      <c r="C52" s="61" t="s">
        <v>516</v>
      </c>
      <c r="D52" s="46">
        <f>ROUND((E52/150),2)</f>
        <v>1.3</v>
      </c>
      <c r="E52" s="46">
        <f>ROUND((3809.72*0.051),2)</f>
        <v>194.3</v>
      </c>
      <c r="H52" s="87"/>
    </row>
    <row r="53" spans="1:8" ht="31.5" customHeight="1" x14ac:dyDescent="0.25">
      <c r="A53" s="4">
        <v>5213</v>
      </c>
      <c r="B53" s="5" t="s">
        <v>32</v>
      </c>
      <c r="C53" s="61" t="s">
        <v>354</v>
      </c>
      <c r="D53" s="46">
        <f>ROUND((E53/150),2)</f>
        <v>0.09</v>
      </c>
      <c r="E53" s="46">
        <f>ROUND((251.64*0.051),2)</f>
        <v>12.83</v>
      </c>
      <c r="H53" s="51"/>
    </row>
    <row r="54" spans="1:8" ht="31.5" customHeight="1" x14ac:dyDescent="0.25">
      <c r="A54" s="19">
        <v>5218</v>
      </c>
      <c r="B54" s="61" t="s">
        <v>33</v>
      </c>
      <c r="C54" s="61" t="s">
        <v>357</v>
      </c>
      <c r="D54" s="46">
        <f>ROUND((E54/150),2)</f>
        <v>0.39</v>
      </c>
      <c r="E54" s="46">
        <f>ROUND((1134.21*0.051),2)</f>
        <v>57.84</v>
      </c>
      <c r="H54" s="87"/>
    </row>
    <row r="55" spans="1:8" ht="47.25" customHeight="1" x14ac:dyDescent="0.25">
      <c r="A55" s="19">
        <v>5239</v>
      </c>
      <c r="B55" s="120" t="s">
        <v>18</v>
      </c>
      <c r="C55" s="176" t="s">
        <v>358</v>
      </c>
      <c r="D55" s="46">
        <f>ROUND((E55/150),2)</f>
        <v>0.93</v>
      </c>
      <c r="E55" s="46">
        <f>ROUND((2748.15*0.051),2)</f>
        <v>140.16</v>
      </c>
      <c r="H55" s="87"/>
    </row>
    <row r="56" spans="1:8" ht="15.75" x14ac:dyDescent="0.25">
      <c r="A56" s="171"/>
      <c r="B56" s="9" t="s">
        <v>23</v>
      </c>
      <c r="C56" s="59"/>
      <c r="D56" s="26">
        <f>SUM(D23+D36+D51)</f>
        <v>45.15</v>
      </c>
      <c r="E56" s="41">
        <f>SUM(E23+E36+E51)</f>
        <v>6770.920000000001</v>
      </c>
    </row>
    <row r="57" spans="1:8" ht="31.5" x14ac:dyDescent="0.25">
      <c r="A57" s="172"/>
      <c r="B57" s="11" t="s">
        <v>28</v>
      </c>
      <c r="C57" s="59"/>
      <c r="D57" s="27">
        <f>D21+D56</f>
        <v>59.33</v>
      </c>
      <c r="E57" s="42">
        <f>E21+E56</f>
        <v>8899.5300000000007</v>
      </c>
    </row>
    <row r="58" spans="1:8" ht="15.75" x14ac:dyDescent="0.25">
      <c r="A58" s="172"/>
      <c r="B58" s="13" t="s">
        <v>235</v>
      </c>
      <c r="C58" s="59"/>
      <c r="D58" s="27">
        <f>D57*0.12</f>
        <v>7.1195999999999993</v>
      </c>
      <c r="E58" s="42">
        <f>E57*0.12</f>
        <v>1067.9436000000001</v>
      </c>
    </row>
    <row r="59" spans="1:8" ht="31.5" x14ac:dyDescent="0.25">
      <c r="A59" s="6"/>
      <c r="B59" s="179" t="s">
        <v>30</v>
      </c>
      <c r="C59" s="180"/>
      <c r="D59" s="181">
        <f>D57*1.12</f>
        <v>66.449600000000004</v>
      </c>
      <c r="E59" s="182">
        <f>E57*1.12</f>
        <v>9967.4736000000012</v>
      </c>
    </row>
    <row r="60" spans="1:8" ht="16.5" customHeight="1" x14ac:dyDescent="0.25">
      <c r="A60" s="351" t="s">
        <v>225</v>
      </c>
      <c r="B60" s="351"/>
      <c r="C60" s="351"/>
      <c r="D60" s="8">
        <f>3*50</f>
        <v>150</v>
      </c>
      <c r="E60" s="165" t="s">
        <v>75</v>
      </c>
    </row>
    <row r="61" spans="1:8" ht="32.25" customHeight="1" x14ac:dyDescent="0.25">
      <c r="A61" s="362" t="s">
        <v>359</v>
      </c>
      <c r="B61" s="362"/>
      <c r="C61" s="362"/>
      <c r="D61" s="8">
        <f>ROUND((E59/D60),2)</f>
        <v>66.45</v>
      </c>
      <c r="E61" s="205" t="s">
        <v>401</v>
      </c>
    </row>
    <row r="62" spans="1:8" ht="15.75" x14ac:dyDescent="0.25">
      <c r="A62" s="1"/>
      <c r="B62" s="1"/>
      <c r="C62" s="1"/>
    </row>
  </sheetData>
  <mergeCells count="7">
    <mergeCell ref="A61:C61"/>
    <mergeCell ref="A2:C2"/>
    <mergeCell ref="A4:B4"/>
    <mergeCell ref="A3:E3"/>
    <mergeCell ref="A26:A34"/>
    <mergeCell ref="B26:B34"/>
    <mergeCell ref="A60:C60"/>
  </mergeCells>
  <pageMargins left="0.7" right="0.7" top="0.75" bottom="0.75" header="0.3" footer="0.3"/>
  <pageSetup paperSize="9" orientation="landscape" r:id="rId1"/>
  <rowBreaks count="1" manualBreakCount="1">
    <brk id="47" max="9"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89260-9596-41C9-B91B-A0DAD2F8B597}">
  <dimension ref="A1:G66"/>
  <sheetViews>
    <sheetView topLeftCell="A46" zoomScaleNormal="100" workbookViewId="0">
      <selection activeCell="A3" sqref="A3:E3"/>
    </sheetView>
  </sheetViews>
  <sheetFormatPr defaultRowHeight="15" x14ac:dyDescent="0.25"/>
  <cols>
    <col min="1" max="1" width="12.5703125" customWidth="1"/>
    <col min="2" max="2" width="25.5703125" customWidth="1"/>
    <col min="3" max="3" width="61.7109375" customWidth="1"/>
    <col min="4" max="4" width="11" customWidth="1"/>
    <col min="5" max="5" width="18.28515625" customWidth="1"/>
  </cols>
  <sheetData>
    <row r="1" spans="1:5" ht="18.75" x14ac:dyDescent="0.3">
      <c r="A1" s="158" t="s">
        <v>51</v>
      </c>
    </row>
    <row r="2" spans="1:5" ht="18.75" x14ac:dyDescent="0.3">
      <c r="A2" s="358" t="s">
        <v>52</v>
      </c>
      <c r="B2" s="358"/>
      <c r="C2" s="358"/>
    </row>
    <row r="3" spans="1:5" ht="18.75" x14ac:dyDescent="0.25">
      <c r="A3" s="352" t="s">
        <v>1582</v>
      </c>
      <c r="B3" s="352"/>
      <c r="C3" s="352"/>
      <c r="D3" s="352"/>
      <c r="E3" s="352"/>
    </row>
    <row r="4" spans="1:5" ht="15.75" x14ac:dyDescent="0.25">
      <c r="A4" s="359" t="s">
        <v>74</v>
      </c>
      <c r="B4" s="359"/>
    </row>
    <row r="6" spans="1:5" ht="78.75" x14ac:dyDescent="0.25">
      <c r="A6" s="149" t="s">
        <v>0</v>
      </c>
      <c r="B6" s="149" t="s">
        <v>1</v>
      </c>
      <c r="C6" s="149" t="s">
        <v>2</v>
      </c>
      <c r="D6" s="162" t="s">
        <v>26</v>
      </c>
      <c r="E6" s="162" t="s">
        <v>27</v>
      </c>
    </row>
    <row r="7" spans="1:5" x14ac:dyDescent="0.25">
      <c r="A7" s="292">
        <v>1</v>
      </c>
      <c r="B7" s="292">
        <v>2</v>
      </c>
      <c r="C7" s="292">
        <v>3</v>
      </c>
      <c r="D7" s="292">
        <v>4</v>
      </c>
      <c r="E7" s="292">
        <v>5</v>
      </c>
    </row>
    <row r="8" spans="1:5" ht="15.75" x14ac:dyDescent="0.25">
      <c r="A8" s="4"/>
      <c r="B8" s="7" t="s">
        <v>7</v>
      </c>
      <c r="C8" s="59" t="s">
        <v>8</v>
      </c>
      <c r="D8" s="25"/>
      <c r="E8" s="23"/>
    </row>
    <row r="9" spans="1:5" ht="15.75" x14ac:dyDescent="0.25">
      <c r="A9" s="8">
        <v>1000</v>
      </c>
      <c r="B9" s="7" t="s">
        <v>9</v>
      </c>
      <c r="C9" s="284"/>
      <c r="D9" s="26">
        <f>D10+D18</f>
        <v>7.5599999999999987</v>
      </c>
      <c r="E9" s="26">
        <f>E10+E18</f>
        <v>317.7</v>
      </c>
    </row>
    <row r="10" spans="1:5" ht="15.75" x14ac:dyDescent="0.25">
      <c r="A10" s="280">
        <v>1100</v>
      </c>
      <c r="B10" s="280" t="s">
        <v>10</v>
      </c>
      <c r="D10" s="26">
        <f>SUM(D12:D17)</f>
        <v>6.589999999999999</v>
      </c>
      <c r="E10" s="26">
        <f>SUM(E12:E17)</f>
        <v>276.87</v>
      </c>
    </row>
    <row r="11" spans="1:5" ht="15.75" x14ac:dyDescent="0.25">
      <c r="A11" s="16">
        <v>1110</v>
      </c>
      <c r="B11" s="16" t="s">
        <v>240</v>
      </c>
      <c r="C11" s="147" t="s">
        <v>241</v>
      </c>
      <c r="D11" s="62">
        <f>SUM(D12:D16)</f>
        <v>5.9899999999999993</v>
      </c>
      <c r="E11" s="62">
        <f>SUM(E12:E16)</f>
        <v>251.7</v>
      </c>
    </row>
    <row r="12" spans="1:5" ht="78" customHeight="1" x14ac:dyDescent="0.25">
      <c r="A12" s="136"/>
      <c r="B12" s="139"/>
      <c r="C12" s="152" t="s">
        <v>374</v>
      </c>
      <c r="D12" s="62">
        <f t="shared" ref="D12:D20" si="0">ROUND((E12/42),2)</f>
        <v>1.18</v>
      </c>
      <c r="E12" s="114">
        <f>ROUND((486.2*12*0.0085),2)</f>
        <v>49.59</v>
      </c>
    </row>
    <row r="13" spans="1:5" ht="77.25" customHeight="1" x14ac:dyDescent="0.25">
      <c r="A13" s="245"/>
      <c r="B13" s="246"/>
      <c r="C13" s="152" t="s">
        <v>528</v>
      </c>
      <c r="D13" s="62">
        <f t="shared" si="0"/>
        <v>1.49</v>
      </c>
      <c r="E13" s="114">
        <f>ROUND((613.42*12*0.0085),2)</f>
        <v>62.57</v>
      </c>
    </row>
    <row r="14" spans="1:5" ht="78.75" x14ac:dyDescent="0.25">
      <c r="A14" s="137"/>
      <c r="B14" s="140"/>
      <c r="C14" s="146" t="s">
        <v>529</v>
      </c>
      <c r="D14" s="62">
        <f>ROUND((E14/42),2)-0.01</f>
        <v>1.39</v>
      </c>
      <c r="E14" s="114">
        <f>ROUND((574.48*12*0.0085),2)</f>
        <v>58.6</v>
      </c>
    </row>
    <row r="15" spans="1:5" ht="78.75" customHeight="1" x14ac:dyDescent="0.25">
      <c r="A15" s="137"/>
      <c r="B15" s="140"/>
      <c r="C15" s="152" t="s">
        <v>375</v>
      </c>
      <c r="D15" s="62">
        <f t="shared" si="0"/>
        <v>1.26</v>
      </c>
      <c r="E15" s="114">
        <f>ROUND((516.85*12*0.0085),2)</f>
        <v>52.72</v>
      </c>
    </row>
    <row r="16" spans="1:5" ht="79.5" customHeight="1" x14ac:dyDescent="0.25">
      <c r="A16" s="138"/>
      <c r="B16" s="141"/>
      <c r="C16" s="152" t="s">
        <v>1577</v>
      </c>
      <c r="D16" s="62">
        <f t="shared" si="0"/>
        <v>0.67</v>
      </c>
      <c r="E16" s="114">
        <f>ROUND((276.7*12*0.0085),2)</f>
        <v>28.22</v>
      </c>
    </row>
    <row r="17" spans="1:5" ht="78.75" customHeight="1" x14ac:dyDescent="0.25">
      <c r="A17" s="131">
        <v>1140</v>
      </c>
      <c r="B17" s="5" t="s">
        <v>237</v>
      </c>
      <c r="C17" s="152" t="s">
        <v>1422</v>
      </c>
      <c r="D17" s="62">
        <f t="shared" si="0"/>
        <v>0.6</v>
      </c>
      <c r="E17" s="114">
        <f>ROUND((49.59*0.1+62.57*0.1+58.6*0.1+52.72*0.1+28.22*0.1),2)</f>
        <v>25.17</v>
      </c>
    </row>
    <row r="18" spans="1:5" ht="61.5" customHeight="1" x14ac:dyDescent="0.25">
      <c r="A18" s="7">
        <v>1200</v>
      </c>
      <c r="B18" s="289" t="s">
        <v>11</v>
      </c>
      <c r="C18" s="176" t="s">
        <v>363</v>
      </c>
      <c r="D18" s="92">
        <f>ROUND((D19+D20),2)</f>
        <v>0.97</v>
      </c>
      <c r="E18" s="92">
        <f>ROUND((E19+E20),2)</f>
        <v>40.83</v>
      </c>
    </row>
    <row r="19" spans="1:5" ht="51" customHeight="1" x14ac:dyDescent="0.25">
      <c r="A19" s="4">
        <v>1210</v>
      </c>
      <c r="B19" s="5" t="s">
        <v>239</v>
      </c>
      <c r="C19" s="176" t="s">
        <v>362</v>
      </c>
      <c r="D19" s="28">
        <f t="shared" si="0"/>
        <v>0.67</v>
      </c>
      <c r="E19" s="114">
        <f>ROUND((276.87*12*0.0085),2)</f>
        <v>28.24</v>
      </c>
    </row>
    <row r="20" spans="1:5" ht="94.5" x14ac:dyDescent="0.25">
      <c r="A20" s="4">
        <v>1227</v>
      </c>
      <c r="B20" s="5" t="s">
        <v>238</v>
      </c>
      <c r="C20" s="176" t="s">
        <v>1423</v>
      </c>
      <c r="D20" s="46">
        <f t="shared" si="0"/>
        <v>0.3</v>
      </c>
      <c r="E20" s="114">
        <f>ROUND((49.59*0.05+62.57*0.05+58.6*0.05+52.72*0.05+28.22*0.05),2)</f>
        <v>12.59</v>
      </c>
    </row>
    <row r="21" spans="1:5" ht="15.75" x14ac:dyDescent="0.25">
      <c r="A21" s="4"/>
      <c r="B21" s="9" t="s">
        <v>14</v>
      </c>
      <c r="C21" s="60" t="s">
        <v>16</v>
      </c>
      <c r="D21" s="26">
        <f>D9</f>
        <v>7.5599999999999987</v>
      </c>
      <c r="E21" s="44">
        <f>E9</f>
        <v>317.7</v>
      </c>
    </row>
    <row r="22" spans="1:5" ht="15.75" x14ac:dyDescent="0.25">
      <c r="A22" s="4"/>
      <c r="B22" s="9" t="s">
        <v>15</v>
      </c>
      <c r="C22" s="59" t="s">
        <v>8</v>
      </c>
      <c r="D22" s="23"/>
      <c r="E22" s="43"/>
    </row>
    <row r="23" spans="1:5" ht="15.75" x14ac:dyDescent="0.25">
      <c r="A23" s="8">
        <v>1000</v>
      </c>
      <c r="B23" s="7" t="s">
        <v>9</v>
      </c>
      <c r="C23" s="59"/>
      <c r="D23" s="88">
        <f>SUM(D24+D35)</f>
        <v>1.3900000000000001</v>
      </c>
      <c r="E23" s="88">
        <f>SUM(E24+E35)</f>
        <v>58.559999999999995</v>
      </c>
    </row>
    <row r="24" spans="1:5" ht="15.75" x14ac:dyDescent="0.25">
      <c r="A24" s="4">
        <v>1100</v>
      </c>
      <c r="B24" s="4" t="s">
        <v>10</v>
      </c>
      <c r="C24" s="147" t="s">
        <v>267</v>
      </c>
      <c r="D24" s="88">
        <f>SUM(D25:D34)</f>
        <v>1.1200000000000001</v>
      </c>
      <c r="E24" s="88">
        <f>SUM(E25:E34)</f>
        <v>47.379999999999995</v>
      </c>
    </row>
    <row r="25" spans="1:5" ht="77.25" customHeight="1" x14ac:dyDescent="0.25">
      <c r="A25" s="237"/>
      <c r="B25" s="238"/>
      <c r="C25" s="152" t="s">
        <v>381</v>
      </c>
      <c r="D25" s="28">
        <f t="shared" ref="D25:D35" si="1">ROUND((E25/42),2)</f>
        <v>0.03</v>
      </c>
      <c r="E25" s="28">
        <f>ROUND((14.05*12*0.0085),2)</f>
        <v>1.43</v>
      </c>
    </row>
    <row r="26" spans="1:5" ht="78.75" customHeight="1" x14ac:dyDescent="0.25">
      <c r="A26" s="355"/>
      <c r="B26" s="353"/>
      <c r="C26" s="152" t="s">
        <v>382</v>
      </c>
      <c r="D26" s="28">
        <f t="shared" si="1"/>
        <v>0.02</v>
      </c>
      <c r="E26" s="28">
        <f>ROUND((9.32*12*0.0085),2)</f>
        <v>0.95</v>
      </c>
    </row>
    <row r="27" spans="1:5" ht="78.75" x14ac:dyDescent="0.25">
      <c r="A27" s="355"/>
      <c r="B27" s="353"/>
      <c r="C27" s="152" t="s">
        <v>380</v>
      </c>
      <c r="D27" s="28">
        <f t="shared" si="1"/>
        <v>0.03</v>
      </c>
      <c r="E27" s="28">
        <f>ROUND((13.46*12*0.0085),2)</f>
        <v>1.37</v>
      </c>
    </row>
    <row r="28" spans="1:5" ht="75.95" customHeight="1" x14ac:dyDescent="0.25">
      <c r="A28" s="355"/>
      <c r="B28" s="353"/>
      <c r="C28" s="152" t="s">
        <v>379</v>
      </c>
      <c r="D28" s="28">
        <f t="shared" si="1"/>
        <v>0.05</v>
      </c>
      <c r="E28" s="46">
        <f>ROUND((18.64*12*0.0085),2)</f>
        <v>1.9</v>
      </c>
    </row>
    <row r="29" spans="1:5" ht="79.5" customHeight="1" x14ac:dyDescent="0.25">
      <c r="A29" s="355"/>
      <c r="B29" s="353"/>
      <c r="C29" s="152" t="s">
        <v>378</v>
      </c>
      <c r="D29" s="28">
        <f t="shared" si="1"/>
        <v>0.03</v>
      </c>
      <c r="E29" s="28">
        <f>ROUND((13.16*12*0.0085),2)</f>
        <v>1.34</v>
      </c>
    </row>
    <row r="30" spans="1:5" ht="78" customHeight="1" x14ac:dyDescent="0.25">
      <c r="A30" s="355"/>
      <c r="B30" s="353"/>
      <c r="C30" s="152" t="s">
        <v>377</v>
      </c>
      <c r="D30" s="28">
        <f t="shared" si="1"/>
        <v>0.18</v>
      </c>
      <c r="E30" s="28">
        <f>ROUND((75.79*12*0.0085),2)</f>
        <v>7.73</v>
      </c>
    </row>
    <row r="31" spans="1:5" ht="77.25" customHeight="1" x14ac:dyDescent="0.25">
      <c r="A31" s="355"/>
      <c r="B31" s="353"/>
      <c r="C31" s="152" t="s">
        <v>376</v>
      </c>
      <c r="D31" s="28">
        <f t="shared" si="1"/>
        <v>0.19</v>
      </c>
      <c r="E31" s="28">
        <f>ROUND((77.25*12*0.0085),2)</f>
        <v>7.88</v>
      </c>
    </row>
    <row r="32" spans="1:5" ht="77.25" customHeight="1" x14ac:dyDescent="0.25">
      <c r="A32" s="355"/>
      <c r="B32" s="353"/>
      <c r="C32" s="152" t="s">
        <v>385</v>
      </c>
      <c r="D32" s="28">
        <f t="shared" si="1"/>
        <v>0.24</v>
      </c>
      <c r="E32" s="46">
        <f>ROUND((98.97*12*0.0085),2)</f>
        <v>10.09</v>
      </c>
    </row>
    <row r="33" spans="1:7" ht="93" customHeight="1" x14ac:dyDescent="0.25">
      <c r="A33" s="355"/>
      <c r="B33" s="353"/>
      <c r="C33" s="152" t="s">
        <v>384</v>
      </c>
      <c r="D33" s="28">
        <f t="shared" si="1"/>
        <v>0.28000000000000003</v>
      </c>
      <c r="E33" s="28">
        <f>ROUND((114.88*12*0.0085),2)</f>
        <v>11.72</v>
      </c>
    </row>
    <row r="34" spans="1:7" ht="78" customHeight="1" x14ac:dyDescent="0.25">
      <c r="A34" s="356"/>
      <c r="B34" s="354"/>
      <c r="C34" s="152" t="s">
        <v>383</v>
      </c>
      <c r="D34" s="28">
        <f t="shared" si="1"/>
        <v>7.0000000000000007E-2</v>
      </c>
      <c r="E34" s="46">
        <f>ROUND((29.12*12*0.0085),2)</f>
        <v>2.97</v>
      </c>
    </row>
    <row r="35" spans="1:7" ht="63" customHeight="1" x14ac:dyDescent="0.25">
      <c r="A35" s="7">
        <v>1200</v>
      </c>
      <c r="B35" s="166" t="s">
        <v>11</v>
      </c>
      <c r="C35" s="121" t="s">
        <v>389</v>
      </c>
      <c r="D35" s="291">
        <f t="shared" si="1"/>
        <v>0.27</v>
      </c>
      <c r="E35" s="92">
        <f>ROUND((47.38*0.2359),2)</f>
        <v>11.18</v>
      </c>
    </row>
    <row r="36" spans="1:7" ht="15.75" x14ac:dyDescent="0.25">
      <c r="A36" s="8">
        <v>2000</v>
      </c>
      <c r="B36" s="7" t="s">
        <v>12</v>
      </c>
      <c r="C36" s="147"/>
      <c r="D36" s="44">
        <f>SUM(D37:D50)</f>
        <v>23.870000000000005</v>
      </c>
      <c r="E36" s="44">
        <f>SUM(E37:E50)</f>
        <v>1002.4000000000001</v>
      </c>
    </row>
    <row r="37" spans="1:7" ht="31.5" x14ac:dyDescent="0.25">
      <c r="A37" s="4">
        <v>2221</v>
      </c>
      <c r="B37" s="112" t="s">
        <v>60</v>
      </c>
      <c r="C37" s="121" t="s">
        <v>388</v>
      </c>
      <c r="D37" s="28">
        <f t="shared" ref="D37:D50" si="2">ROUND((E37/42),2)</f>
        <v>16.79</v>
      </c>
      <c r="E37" s="45">
        <f>ROUND((82944.32*0.0085),2)</f>
        <v>705.03</v>
      </c>
    </row>
    <row r="38" spans="1:7" ht="31.5" x14ac:dyDescent="0.25">
      <c r="A38" s="4">
        <v>2222</v>
      </c>
      <c r="B38" s="5" t="s">
        <v>61</v>
      </c>
      <c r="C38" s="121" t="s">
        <v>387</v>
      </c>
      <c r="D38" s="28">
        <f t="shared" si="2"/>
        <v>0.85</v>
      </c>
      <c r="E38" s="45">
        <f>ROUND((4203.76*0.0085),2)</f>
        <v>35.729999999999997</v>
      </c>
    </row>
    <row r="39" spans="1:7" ht="31.5" x14ac:dyDescent="0.25">
      <c r="A39" s="4">
        <v>2223</v>
      </c>
      <c r="B39" s="5" t="s">
        <v>19</v>
      </c>
      <c r="C39" s="121" t="s">
        <v>386</v>
      </c>
      <c r="D39" s="28">
        <f t="shared" si="2"/>
        <v>1.58</v>
      </c>
      <c r="E39" s="45">
        <f>ROUND((7807.39*0.0085),2)</f>
        <v>66.36</v>
      </c>
    </row>
    <row r="40" spans="1:7" ht="94.5" x14ac:dyDescent="0.25">
      <c r="A40" s="4">
        <v>2224</v>
      </c>
      <c r="B40" s="112" t="s">
        <v>62</v>
      </c>
      <c r="C40" s="121" t="s">
        <v>390</v>
      </c>
      <c r="D40" s="28">
        <f t="shared" si="2"/>
        <v>0.06</v>
      </c>
      <c r="E40" s="28">
        <f>ROUND((275.91*0.0085),2)</f>
        <v>2.35</v>
      </c>
    </row>
    <row r="41" spans="1:7" ht="31.5" x14ac:dyDescent="0.25">
      <c r="A41" s="4">
        <v>2232</v>
      </c>
      <c r="B41" s="89" t="s">
        <v>45</v>
      </c>
      <c r="C41" s="90" t="s">
        <v>391</v>
      </c>
      <c r="D41" s="28">
        <f t="shared" si="2"/>
        <v>0.03</v>
      </c>
      <c r="E41" s="28">
        <f>ROUND((149.11*0.0085),2)</f>
        <v>1.27</v>
      </c>
    </row>
    <row r="42" spans="1:7" ht="31.5" x14ac:dyDescent="0.25">
      <c r="A42" s="4">
        <v>2239</v>
      </c>
      <c r="B42" s="90" t="s">
        <v>20</v>
      </c>
      <c r="C42" s="90" t="s">
        <v>392</v>
      </c>
      <c r="D42" s="28">
        <f t="shared" si="2"/>
        <v>0.01</v>
      </c>
      <c r="E42" s="28">
        <f>ROUND((57*0.0085),2)</f>
        <v>0.48</v>
      </c>
    </row>
    <row r="43" spans="1:7" ht="31.5" x14ac:dyDescent="0.25">
      <c r="A43" s="4">
        <v>2241</v>
      </c>
      <c r="B43" s="112" t="s">
        <v>64</v>
      </c>
      <c r="C43" s="121" t="s">
        <v>393</v>
      </c>
      <c r="D43" s="28">
        <f t="shared" si="2"/>
        <v>0.38</v>
      </c>
      <c r="E43" s="28">
        <f>ROUND((1875.92*0.0085),2)</f>
        <v>15.95</v>
      </c>
    </row>
    <row r="44" spans="1:7" ht="47.25" x14ac:dyDescent="0.25">
      <c r="A44" s="4">
        <v>2243</v>
      </c>
      <c r="B44" s="61" t="s">
        <v>21</v>
      </c>
      <c r="C44" s="90" t="s">
        <v>394</v>
      </c>
      <c r="D44" s="28">
        <f t="shared" si="2"/>
        <v>0.19</v>
      </c>
      <c r="E44" s="28">
        <f>ROUND((956.5*0.0085),2)</f>
        <v>8.1300000000000008</v>
      </c>
    </row>
    <row r="45" spans="1:7" ht="48" customHeight="1" x14ac:dyDescent="0.25">
      <c r="A45" s="4">
        <v>2244</v>
      </c>
      <c r="B45" s="61" t="s">
        <v>22</v>
      </c>
      <c r="C45" s="121" t="s">
        <v>395</v>
      </c>
      <c r="D45" s="28">
        <f t="shared" si="2"/>
        <v>0.68</v>
      </c>
      <c r="E45" s="45">
        <f>ROUND((3378.56*0.0085),2)</f>
        <v>28.72</v>
      </c>
    </row>
    <row r="46" spans="1:7" ht="47.25" x14ac:dyDescent="0.25">
      <c r="A46" s="4">
        <v>2249</v>
      </c>
      <c r="B46" s="61" t="s">
        <v>50</v>
      </c>
      <c r="C46" s="121" t="s">
        <v>396</v>
      </c>
      <c r="D46" s="28">
        <f t="shared" si="2"/>
        <v>0.75</v>
      </c>
      <c r="E46" s="45">
        <f>ROUND((3705.93*0.0085),2)</f>
        <v>31.5</v>
      </c>
      <c r="G46" s="51"/>
    </row>
    <row r="47" spans="1:7" ht="31.5" customHeight="1" x14ac:dyDescent="0.25">
      <c r="A47" s="4">
        <v>2312</v>
      </c>
      <c r="B47" s="4" t="s">
        <v>13</v>
      </c>
      <c r="C47" s="121" t="s">
        <v>397</v>
      </c>
      <c r="D47" s="28">
        <f t="shared" si="2"/>
        <v>0.17</v>
      </c>
      <c r="E47" s="45">
        <f>ROUND((856.97*0.0085),2)</f>
        <v>7.28</v>
      </c>
    </row>
    <row r="48" spans="1:7" ht="47.25" customHeight="1" x14ac:dyDescent="0.25">
      <c r="A48" s="4">
        <v>2350</v>
      </c>
      <c r="B48" s="5" t="s">
        <v>236</v>
      </c>
      <c r="C48" s="121" t="s">
        <v>398</v>
      </c>
      <c r="D48" s="46">
        <f t="shared" si="2"/>
        <v>0.35</v>
      </c>
      <c r="E48" s="47">
        <f>ROUND((1711.8*0.0085),2)</f>
        <v>14.55</v>
      </c>
    </row>
    <row r="49" spans="1:5" ht="31.5" customHeight="1" x14ac:dyDescent="0.25">
      <c r="A49" s="4">
        <v>2513</v>
      </c>
      <c r="B49" s="5" t="s">
        <v>63</v>
      </c>
      <c r="C49" s="61" t="s">
        <v>399</v>
      </c>
      <c r="D49" s="46">
        <f t="shared" si="2"/>
        <v>1.64</v>
      </c>
      <c r="E49" s="46">
        <f>ROUND((8084.39*0.0085),2)</f>
        <v>68.72</v>
      </c>
    </row>
    <row r="50" spans="1:5" ht="31.5" x14ac:dyDescent="0.25">
      <c r="A50" s="4">
        <v>2515</v>
      </c>
      <c r="B50" s="5" t="s">
        <v>49</v>
      </c>
      <c r="C50" s="61" t="s">
        <v>400</v>
      </c>
      <c r="D50" s="46">
        <f t="shared" si="2"/>
        <v>0.39</v>
      </c>
      <c r="E50" s="28">
        <f>ROUND((1920.89*0.0085),2)</f>
        <v>16.329999999999998</v>
      </c>
    </row>
    <row r="51" spans="1:5" ht="15.75" x14ac:dyDescent="0.25">
      <c r="A51" s="10">
        <v>5000</v>
      </c>
      <c r="B51" s="9" t="s">
        <v>17</v>
      </c>
      <c r="C51" s="59"/>
      <c r="D51" s="26">
        <f>SUM(D52:D55)</f>
        <v>1.61</v>
      </c>
      <c r="E51" s="26">
        <f>SUM(E52:E55)</f>
        <v>67.52000000000001</v>
      </c>
    </row>
    <row r="52" spans="1:5" ht="33" customHeight="1" x14ac:dyDescent="0.25">
      <c r="A52" s="4">
        <v>5212</v>
      </c>
      <c r="B52" s="5" t="s">
        <v>31</v>
      </c>
      <c r="C52" s="61" t="s">
        <v>1028</v>
      </c>
      <c r="D52" s="46">
        <f>ROUND((E52/42),2)</f>
        <v>0.77</v>
      </c>
      <c r="E52" s="46">
        <f>ROUND((3809.72*0.0085),2)</f>
        <v>32.380000000000003</v>
      </c>
    </row>
    <row r="53" spans="1:5" ht="30" customHeight="1" x14ac:dyDescent="0.25">
      <c r="A53" s="4">
        <v>5213</v>
      </c>
      <c r="B53" s="5" t="s">
        <v>32</v>
      </c>
      <c r="C53" s="61" t="s">
        <v>1027</v>
      </c>
      <c r="D53" s="46">
        <f>ROUND((E53/42),2)</f>
        <v>0.05</v>
      </c>
      <c r="E53" s="46">
        <f>ROUND((251.64*0.0085),2)</f>
        <v>2.14</v>
      </c>
    </row>
    <row r="54" spans="1:5" ht="33" customHeight="1" x14ac:dyDescent="0.25">
      <c r="A54" s="19">
        <v>5218</v>
      </c>
      <c r="B54" s="61" t="s">
        <v>33</v>
      </c>
      <c r="C54" s="120" t="s">
        <v>1026</v>
      </c>
      <c r="D54" s="46">
        <f>ROUND((E54/42),2)</f>
        <v>0.23</v>
      </c>
      <c r="E54" s="46">
        <f>ROUND((1134.21*0.0085),2)</f>
        <v>9.64</v>
      </c>
    </row>
    <row r="55" spans="1:5" ht="47.25" x14ac:dyDescent="0.25">
      <c r="A55" s="19">
        <v>5239</v>
      </c>
      <c r="B55" s="61" t="s">
        <v>18</v>
      </c>
      <c r="C55" s="61" t="s">
        <v>1025</v>
      </c>
      <c r="D55" s="46">
        <f>ROUND((E55/42),2)</f>
        <v>0.56000000000000005</v>
      </c>
      <c r="E55" s="46">
        <f>ROUND((2748.15*0.0085),2)</f>
        <v>23.36</v>
      </c>
    </row>
    <row r="56" spans="1:5" ht="15.75" x14ac:dyDescent="0.25">
      <c r="A56" s="171"/>
      <c r="B56" s="9" t="s">
        <v>23</v>
      </c>
      <c r="C56" s="59"/>
      <c r="D56" s="26">
        <f>SUM(D23+D36+D51)</f>
        <v>26.870000000000005</v>
      </c>
      <c r="E56" s="41">
        <f>SUM(E23+E36+E51)</f>
        <v>1128.48</v>
      </c>
    </row>
    <row r="57" spans="1:5" ht="31.5" x14ac:dyDescent="0.25">
      <c r="A57" s="172"/>
      <c r="B57" s="11" t="s">
        <v>28</v>
      </c>
      <c r="C57" s="59"/>
      <c r="D57" s="27">
        <f>D21+D56</f>
        <v>34.430000000000007</v>
      </c>
      <c r="E57" s="42">
        <f>E21+E56</f>
        <v>1446.18</v>
      </c>
    </row>
    <row r="58" spans="1:5" ht="15.75" x14ac:dyDescent="0.25">
      <c r="A58" s="172"/>
      <c r="B58" s="13" t="s">
        <v>235</v>
      </c>
      <c r="C58" s="59"/>
      <c r="D58" s="27">
        <f>D57*0.12</f>
        <v>4.1316000000000006</v>
      </c>
      <c r="E58" s="42">
        <f>E57*0.12</f>
        <v>173.54159999999999</v>
      </c>
    </row>
    <row r="59" spans="1:5" ht="31.5" x14ac:dyDescent="0.25">
      <c r="A59" s="6"/>
      <c r="B59" s="179" t="s">
        <v>30</v>
      </c>
      <c r="C59" s="180"/>
      <c r="D59" s="181">
        <f>D57*1.12</f>
        <v>38.561600000000013</v>
      </c>
      <c r="E59" s="182">
        <f>E57*1.12</f>
        <v>1619.7216000000003</v>
      </c>
    </row>
    <row r="60" spans="1:5" ht="18.75" customHeight="1" x14ac:dyDescent="0.25">
      <c r="A60" s="363" t="s">
        <v>1581</v>
      </c>
      <c r="B60" s="363"/>
      <c r="C60" s="363"/>
      <c r="D60" s="8">
        <f>3*14</f>
        <v>42</v>
      </c>
      <c r="E60" s="128" t="s">
        <v>75</v>
      </c>
    </row>
    <row r="61" spans="1:5" ht="30.6" customHeight="1" x14ac:dyDescent="0.25">
      <c r="A61" s="351" t="s">
        <v>359</v>
      </c>
      <c r="B61" s="351"/>
      <c r="C61" s="351"/>
      <c r="D61" s="183">
        <f>+ROUND((E59/D60),2)</f>
        <v>38.56</v>
      </c>
      <c r="E61" s="190" t="s">
        <v>401</v>
      </c>
    </row>
    <row r="62" spans="1:5" ht="15.75" x14ac:dyDescent="0.25">
      <c r="A62" s="1"/>
      <c r="B62" s="1"/>
      <c r="C62" s="1"/>
    </row>
    <row r="66" spans="5:5" x14ac:dyDescent="0.25">
      <c r="E66" s="14"/>
    </row>
  </sheetData>
  <mergeCells count="7">
    <mergeCell ref="A61:C61"/>
    <mergeCell ref="A2:C2"/>
    <mergeCell ref="A3:E3"/>
    <mergeCell ref="A4:B4"/>
    <mergeCell ref="A26:A34"/>
    <mergeCell ref="B26:B34"/>
    <mergeCell ref="A60:C60"/>
  </mergeCells>
  <pageMargins left="0.7" right="0.7" top="0.75" bottom="0.75" header="0.3" footer="0.3"/>
  <pageSetup paperSize="9" orientation="landscape" r:id="rId1"/>
  <rowBreaks count="3" manualBreakCount="3">
    <brk id="21" max="16383" man="1"/>
    <brk id="35" max="16383" man="1"/>
    <brk id="46" max="16383" man="1"/>
  </rowBreaks>
  <ignoredErrors>
    <ignoredError sqref="D36" formula="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CA04B-71E9-4F5D-858B-BB7C81F84DAA}">
  <dimension ref="A1:I65"/>
  <sheetViews>
    <sheetView topLeftCell="A10" zoomScaleNormal="100" workbookViewId="0">
      <selection activeCell="C15" sqref="C15"/>
    </sheetView>
  </sheetViews>
  <sheetFormatPr defaultRowHeight="15" x14ac:dyDescent="0.25"/>
  <cols>
    <col min="1" max="1" width="12.28515625" customWidth="1"/>
    <col min="2" max="2" width="27" customWidth="1"/>
    <col min="3" max="3" width="59.7109375" customWidth="1"/>
    <col min="4" max="4" width="9" customWidth="1"/>
    <col min="5" max="5" width="17.5703125" customWidth="1"/>
  </cols>
  <sheetData>
    <row r="1" spans="1:6" s="175" customFormat="1" ht="18.75" x14ac:dyDescent="0.3">
      <c r="A1" s="158" t="s">
        <v>51</v>
      </c>
    </row>
    <row r="2" spans="1:6" ht="18.75" x14ac:dyDescent="0.3">
      <c r="A2" s="358" t="s">
        <v>52</v>
      </c>
      <c r="B2" s="358"/>
      <c r="C2" s="358"/>
    </row>
    <row r="3" spans="1:6" ht="18.75" x14ac:dyDescent="0.25">
      <c r="A3" s="352" t="s">
        <v>1539</v>
      </c>
      <c r="B3" s="352"/>
      <c r="C3" s="352"/>
      <c r="D3" s="352"/>
      <c r="E3" s="352"/>
    </row>
    <row r="4" spans="1:6" ht="15.75" x14ac:dyDescent="0.25">
      <c r="A4" s="359" t="s">
        <v>74</v>
      </c>
      <c r="B4" s="359"/>
    </row>
    <row r="6" spans="1:6" ht="78.75" x14ac:dyDescent="0.25">
      <c r="A6" s="149" t="s">
        <v>0</v>
      </c>
      <c r="B6" s="149" t="s">
        <v>1</v>
      </c>
      <c r="C6" s="149" t="s">
        <v>2</v>
      </c>
      <c r="D6" s="162" t="s">
        <v>26</v>
      </c>
      <c r="E6" s="162" t="s">
        <v>27</v>
      </c>
    </row>
    <row r="7" spans="1:6" x14ac:dyDescent="0.25">
      <c r="A7" s="292">
        <v>1</v>
      </c>
      <c r="B7" s="292">
        <v>2</v>
      </c>
      <c r="C7" s="292">
        <v>3</v>
      </c>
      <c r="D7" s="292">
        <v>4</v>
      </c>
      <c r="E7" s="292">
        <v>5</v>
      </c>
    </row>
    <row r="8" spans="1:6" ht="15.75" x14ac:dyDescent="0.25">
      <c r="A8" s="4"/>
      <c r="B8" s="7" t="s">
        <v>7</v>
      </c>
      <c r="C8" s="64" t="s">
        <v>8</v>
      </c>
      <c r="D8" s="25"/>
      <c r="E8" s="23"/>
    </row>
    <row r="9" spans="1:6" ht="15.75" x14ac:dyDescent="0.25">
      <c r="A9" s="8">
        <v>1000</v>
      </c>
      <c r="B9" s="7" t="s">
        <v>9</v>
      </c>
      <c r="C9" s="64"/>
      <c r="D9" s="26">
        <f>D10+D18</f>
        <v>7.3200000000000012</v>
      </c>
      <c r="E9" s="44">
        <f>E10+E18</f>
        <v>1097.71</v>
      </c>
    </row>
    <row r="10" spans="1:6" ht="15.75" x14ac:dyDescent="0.25">
      <c r="A10" s="280">
        <v>1100</v>
      </c>
      <c r="B10" s="280" t="s">
        <v>10</v>
      </c>
      <c r="C10" s="64"/>
      <c r="D10" s="26">
        <f>SUM(D12:D17)</f>
        <v>5.7100000000000009</v>
      </c>
      <c r="E10" s="44">
        <f>SUM(E12:E17)</f>
        <v>856.67</v>
      </c>
    </row>
    <row r="11" spans="1:6" ht="15.75" x14ac:dyDescent="0.25">
      <c r="A11" s="16">
        <v>1110</v>
      </c>
      <c r="B11" s="16" t="s">
        <v>240</v>
      </c>
      <c r="C11" s="147" t="s">
        <v>241</v>
      </c>
      <c r="D11" s="62">
        <f>SUM(D12:D16)</f>
        <v>5.19</v>
      </c>
      <c r="E11" s="114">
        <f>SUM(E12:E16)</f>
        <v>778.8</v>
      </c>
    </row>
    <row r="12" spans="1:6" ht="94.5" x14ac:dyDescent="0.25">
      <c r="A12" s="136"/>
      <c r="B12" s="139"/>
      <c r="C12" s="152" t="s">
        <v>1022</v>
      </c>
      <c r="D12" s="62">
        <f t="shared" ref="D12:D20" si="0">ROUND((E12/150),2)</f>
        <v>1.02</v>
      </c>
      <c r="E12" s="114">
        <f>ROUND((486.2*12*0.0263),2)</f>
        <v>153.44</v>
      </c>
      <c r="F12" s="51"/>
    </row>
    <row r="13" spans="1:6" ht="77.25" customHeight="1" x14ac:dyDescent="0.25">
      <c r="A13" s="153"/>
      <c r="B13" s="154"/>
      <c r="C13" s="152" t="s">
        <v>1023</v>
      </c>
      <c r="D13" s="62">
        <f t="shared" si="0"/>
        <v>1.29</v>
      </c>
      <c r="E13" s="114">
        <f>ROUND((613.42*12*0.0263),2)</f>
        <v>193.6</v>
      </c>
    </row>
    <row r="14" spans="1:6" ht="78" customHeight="1" x14ac:dyDescent="0.25">
      <c r="A14" s="137"/>
      <c r="B14" s="140"/>
      <c r="C14" s="152" t="s">
        <v>1024</v>
      </c>
      <c r="D14" s="62">
        <f t="shared" si="0"/>
        <v>1.21</v>
      </c>
      <c r="E14" s="114">
        <f>ROUND((574.48*12*0.0263),2)</f>
        <v>181.31</v>
      </c>
    </row>
    <row r="15" spans="1:6" ht="76.5" customHeight="1" x14ac:dyDescent="0.25">
      <c r="A15" s="137"/>
      <c r="B15" s="140"/>
      <c r="C15" s="152" t="s">
        <v>1021</v>
      </c>
      <c r="D15" s="62">
        <f t="shared" si="0"/>
        <v>1.0900000000000001</v>
      </c>
      <c r="E15" s="114">
        <f>ROUND((516.85*12*0.0263),2)</f>
        <v>163.12</v>
      </c>
    </row>
    <row r="16" spans="1:6" ht="78.75" customHeight="1" x14ac:dyDescent="0.25">
      <c r="A16" s="138"/>
      <c r="B16" s="141"/>
      <c r="C16" s="152" t="s">
        <v>1572</v>
      </c>
      <c r="D16" s="62">
        <f t="shared" si="0"/>
        <v>0.57999999999999996</v>
      </c>
      <c r="E16" s="114">
        <f>ROUND((276.7*12*0.0263),2)</f>
        <v>87.33</v>
      </c>
    </row>
    <row r="17" spans="1:9" ht="95.25" customHeight="1" x14ac:dyDescent="0.25">
      <c r="A17" s="131">
        <v>1140</v>
      </c>
      <c r="B17" s="5" t="s">
        <v>237</v>
      </c>
      <c r="C17" s="152" t="s">
        <v>1424</v>
      </c>
      <c r="D17" s="62">
        <f t="shared" si="0"/>
        <v>0.52</v>
      </c>
      <c r="E17" s="114">
        <f>ROUND((153.44*0.1+193.6*0.1+181.31*0.1+163.12*0.1+87.33*0.1-0.01),2)</f>
        <v>77.87</v>
      </c>
    </row>
    <row r="18" spans="1:9" ht="62.25" customHeight="1" x14ac:dyDescent="0.25">
      <c r="A18" s="7">
        <v>1200</v>
      </c>
      <c r="B18" s="290" t="s">
        <v>11</v>
      </c>
      <c r="C18" s="176" t="s">
        <v>1426</v>
      </c>
      <c r="D18" s="88">
        <f t="shared" si="0"/>
        <v>1.61</v>
      </c>
      <c r="E18" s="92">
        <f>ROUND((E19+E20),2)</f>
        <v>241.04</v>
      </c>
      <c r="F18" s="14"/>
    </row>
    <row r="19" spans="1:9" ht="47.25" x14ac:dyDescent="0.25">
      <c r="A19" s="4">
        <v>1210</v>
      </c>
      <c r="B19" s="5" t="s">
        <v>239</v>
      </c>
      <c r="C19" s="176" t="s">
        <v>402</v>
      </c>
      <c r="D19" s="62">
        <f t="shared" si="0"/>
        <v>1.35</v>
      </c>
      <c r="E19" s="45">
        <f>ROUND((856.67*0.2359),2)</f>
        <v>202.09</v>
      </c>
      <c r="F19" s="14"/>
    </row>
    <row r="20" spans="1:9" ht="94.5" x14ac:dyDescent="0.25">
      <c r="A20" s="4">
        <v>1227</v>
      </c>
      <c r="B20" s="5" t="s">
        <v>238</v>
      </c>
      <c r="C20" s="152" t="s">
        <v>1425</v>
      </c>
      <c r="D20" s="62">
        <f t="shared" si="0"/>
        <v>0.26</v>
      </c>
      <c r="E20" s="45">
        <f>ROUND((153.44*0.05+193.6*0.05+181.31*0.05+163.12*0.05+87.33*0.05+0.01),2)</f>
        <v>38.950000000000003</v>
      </c>
      <c r="F20" s="227"/>
      <c r="G20" s="227"/>
      <c r="H20" s="294"/>
      <c r="I20" s="293"/>
    </row>
    <row r="21" spans="1:9" ht="15.75" x14ac:dyDescent="0.25">
      <c r="A21" s="4"/>
      <c r="B21" s="9" t="s">
        <v>14</v>
      </c>
      <c r="C21" s="65" t="s">
        <v>16</v>
      </c>
      <c r="D21" s="26">
        <f>D9</f>
        <v>7.3200000000000012</v>
      </c>
      <c r="E21" s="44">
        <f>E9</f>
        <v>1097.71</v>
      </c>
    </row>
    <row r="22" spans="1:9" ht="15.75" x14ac:dyDescent="0.25">
      <c r="A22" s="4"/>
      <c r="B22" s="9" t="s">
        <v>15</v>
      </c>
      <c r="C22" s="64" t="s">
        <v>8</v>
      </c>
      <c r="D22" s="23"/>
      <c r="E22" s="43"/>
    </row>
    <row r="23" spans="1:9" ht="15.75" x14ac:dyDescent="0.25">
      <c r="A23" s="8">
        <v>1000</v>
      </c>
      <c r="B23" s="7" t="s">
        <v>9</v>
      </c>
      <c r="C23" s="8"/>
      <c r="D23" s="88">
        <f>SUM(D24+D35)</f>
        <v>1.21</v>
      </c>
      <c r="E23" s="88">
        <f>SUM(E24+E35)</f>
        <v>181.22</v>
      </c>
    </row>
    <row r="24" spans="1:9" ht="15.75" x14ac:dyDescent="0.25">
      <c r="A24" s="7">
        <v>1100</v>
      </c>
      <c r="B24" s="7" t="s">
        <v>10</v>
      </c>
      <c r="C24" s="147" t="s">
        <v>267</v>
      </c>
      <c r="D24" s="88">
        <f>SUM(D25:D34)</f>
        <v>0.98</v>
      </c>
      <c r="E24" s="88">
        <f>SUM(E25:E34)</f>
        <v>146.63</v>
      </c>
    </row>
    <row r="25" spans="1:9" ht="78" customHeight="1" x14ac:dyDescent="0.25">
      <c r="A25" s="237"/>
      <c r="B25" s="238"/>
      <c r="C25" s="152" t="s">
        <v>403</v>
      </c>
      <c r="D25" s="45">
        <f t="shared" ref="D25:D35" si="1">ROUND((E25/150),2)</f>
        <v>0.03</v>
      </c>
      <c r="E25" s="45">
        <f>ROUND((14.05*12*0.0263),2)</f>
        <v>4.43</v>
      </c>
      <c r="F25" s="51"/>
    </row>
    <row r="26" spans="1:9" ht="78.75" customHeight="1" x14ac:dyDescent="0.25">
      <c r="A26" s="355"/>
      <c r="B26" s="353"/>
      <c r="C26" s="152" t="s">
        <v>404</v>
      </c>
      <c r="D26" s="45">
        <f t="shared" si="1"/>
        <v>0.02</v>
      </c>
      <c r="E26" s="45">
        <f>ROUND((9.32*12*0.0263),2)</f>
        <v>2.94</v>
      </c>
    </row>
    <row r="27" spans="1:9" ht="78.599999999999994" customHeight="1" x14ac:dyDescent="0.25">
      <c r="A27" s="355"/>
      <c r="B27" s="353"/>
      <c r="C27" s="152" t="s">
        <v>405</v>
      </c>
      <c r="D27" s="45">
        <f t="shared" si="1"/>
        <v>0.03</v>
      </c>
      <c r="E27" s="45">
        <f>ROUND((13.46*12*0.0263),2)</f>
        <v>4.25</v>
      </c>
    </row>
    <row r="28" spans="1:9" ht="78.75" customHeight="1" x14ac:dyDescent="0.25">
      <c r="A28" s="355"/>
      <c r="B28" s="353"/>
      <c r="C28" s="152" t="s">
        <v>406</v>
      </c>
      <c r="D28" s="45">
        <f t="shared" si="1"/>
        <v>0.04</v>
      </c>
      <c r="E28" s="45">
        <f>ROUND((18.64*12*0.0263),2)</f>
        <v>5.88</v>
      </c>
    </row>
    <row r="29" spans="1:9" ht="78.75" customHeight="1" x14ac:dyDescent="0.25">
      <c r="A29" s="355"/>
      <c r="B29" s="353"/>
      <c r="C29" s="132" t="s">
        <v>407</v>
      </c>
      <c r="D29" s="45">
        <f t="shared" si="1"/>
        <v>0.03</v>
      </c>
      <c r="E29" s="45">
        <f>ROUND((13.16*12*0.0263),2)</f>
        <v>4.1500000000000004</v>
      </c>
    </row>
    <row r="30" spans="1:9" ht="78.75" customHeight="1" x14ac:dyDescent="0.25">
      <c r="A30" s="355"/>
      <c r="B30" s="353"/>
      <c r="C30" s="152" t="s">
        <v>408</v>
      </c>
      <c r="D30" s="45">
        <f t="shared" si="1"/>
        <v>0.16</v>
      </c>
      <c r="E30" s="45">
        <f>ROUND((75.79*12*0.0263),2)</f>
        <v>23.92</v>
      </c>
    </row>
    <row r="31" spans="1:9" ht="77.25" customHeight="1" x14ac:dyDescent="0.25">
      <c r="A31" s="355"/>
      <c r="B31" s="353"/>
      <c r="C31" s="152" t="s">
        <v>409</v>
      </c>
      <c r="D31" s="45">
        <f t="shared" si="1"/>
        <v>0.16</v>
      </c>
      <c r="E31" s="45">
        <f>ROUND((77.25*12*0.0263),2)</f>
        <v>24.38</v>
      </c>
    </row>
    <row r="32" spans="1:9" ht="78" customHeight="1" x14ac:dyDescent="0.25">
      <c r="A32" s="355"/>
      <c r="B32" s="353"/>
      <c r="C32" s="152" t="s">
        <v>410</v>
      </c>
      <c r="D32" s="45">
        <f t="shared" si="1"/>
        <v>0.21</v>
      </c>
      <c r="E32" s="45">
        <f>ROUND((98.97*12*0.0263),2)</f>
        <v>31.23</v>
      </c>
    </row>
    <row r="33" spans="1:5" ht="108.75" customHeight="1" x14ac:dyDescent="0.25">
      <c r="A33" s="355"/>
      <c r="B33" s="353"/>
      <c r="C33" s="152" t="s">
        <v>411</v>
      </c>
      <c r="D33" s="45">
        <f t="shared" si="1"/>
        <v>0.24</v>
      </c>
      <c r="E33" s="45">
        <f>ROUND((114.88*12*0.0263),2)</f>
        <v>36.26</v>
      </c>
    </row>
    <row r="34" spans="1:5" ht="78.75" x14ac:dyDescent="0.25">
      <c r="A34" s="356"/>
      <c r="B34" s="354"/>
      <c r="C34" s="152" t="s">
        <v>412</v>
      </c>
      <c r="D34" s="45">
        <f t="shared" si="1"/>
        <v>0.06</v>
      </c>
      <c r="E34" s="45">
        <f>ROUND((29.12*12*0.0263),2)</f>
        <v>9.19</v>
      </c>
    </row>
    <row r="35" spans="1:5" ht="62.1" customHeight="1" x14ac:dyDescent="0.25">
      <c r="A35" s="7">
        <v>1200</v>
      </c>
      <c r="B35" s="166" t="s">
        <v>11</v>
      </c>
      <c r="C35" s="121" t="s">
        <v>413</v>
      </c>
      <c r="D35" s="92">
        <f t="shared" si="1"/>
        <v>0.23</v>
      </c>
      <c r="E35" s="92">
        <f>ROUND((146.63*0.2359),2)</f>
        <v>34.590000000000003</v>
      </c>
    </row>
    <row r="36" spans="1:5" ht="15.75" x14ac:dyDescent="0.25">
      <c r="A36" s="8">
        <v>2000</v>
      </c>
      <c r="B36" s="7" t="s">
        <v>12</v>
      </c>
      <c r="C36" s="64"/>
      <c r="D36" s="44">
        <f>SUM(D37:D50)</f>
        <v>20.679999999999996</v>
      </c>
      <c r="E36" s="44">
        <f>SUM(E37:E50)</f>
        <v>3101.54</v>
      </c>
    </row>
    <row r="37" spans="1:5" ht="31.5" x14ac:dyDescent="0.25">
      <c r="A37" s="4">
        <v>2221</v>
      </c>
      <c r="B37" s="112" t="s">
        <v>60</v>
      </c>
      <c r="C37" s="5" t="s">
        <v>414</v>
      </c>
      <c r="D37" s="45">
        <f>ROUND((E37/150),2)</f>
        <v>14.54</v>
      </c>
      <c r="E37" s="45">
        <f>ROUND((82944.32*0.0263),2)</f>
        <v>2181.44</v>
      </c>
    </row>
    <row r="38" spans="1:5" ht="31.5" x14ac:dyDescent="0.25">
      <c r="A38" s="4">
        <v>2222</v>
      </c>
      <c r="B38" s="5" t="s">
        <v>61</v>
      </c>
      <c r="C38" s="5" t="s">
        <v>415</v>
      </c>
      <c r="D38" s="45">
        <f>ROUND((E38/150),2)</f>
        <v>0.74</v>
      </c>
      <c r="E38" s="45">
        <f>ROUND((4203.76*0.0263),2)</f>
        <v>110.56</v>
      </c>
    </row>
    <row r="39" spans="1:5" ht="31.5" x14ac:dyDescent="0.25">
      <c r="A39" s="4">
        <v>2223</v>
      </c>
      <c r="B39" s="5" t="s">
        <v>19</v>
      </c>
      <c r="C39" s="5" t="s">
        <v>416</v>
      </c>
      <c r="D39" s="45">
        <f>ROUND((E39/150),2)</f>
        <v>1.37</v>
      </c>
      <c r="E39" s="45">
        <f>ROUND((7807.39*0.0263),2)</f>
        <v>205.33</v>
      </c>
    </row>
    <row r="40" spans="1:5" ht="77.25" customHeight="1" x14ac:dyDescent="0.25">
      <c r="A40" s="4">
        <v>2224</v>
      </c>
      <c r="B40" s="112" t="s">
        <v>62</v>
      </c>
      <c r="C40" s="5" t="s">
        <v>417</v>
      </c>
      <c r="D40" s="45">
        <f>ROUND((E40/150),2)</f>
        <v>0.05</v>
      </c>
      <c r="E40" s="45">
        <f>ROUND((275.91*0.0263),2)</f>
        <v>7.26</v>
      </c>
    </row>
    <row r="41" spans="1:5" ht="31.5" x14ac:dyDescent="0.25">
      <c r="A41" s="4">
        <v>2232</v>
      </c>
      <c r="B41" s="125" t="s">
        <v>45</v>
      </c>
      <c r="C41" s="126" t="s">
        <v>418</v>
      </c>
      <c r="D41" s="45">
        <f>ROUND((E41/150),2)</f>
        <v>0.03</v>
      </c>
      <c r="E41" s="45">
        <f>ROUND((149.11*0.0263),2)</f>
        <v>3.92</v>
      </c>
    </row>
    <row r="42" spans="1:5" ht="31.5" x14ac:dyDescent="0.25">
      <c r="A42" s="4">
        <v>2239</v>
      </c>
      <c r="B42" s="58" t="s">
        <v>20</v>
      </c>
      <c r="C42" s="126" t="s">
        <v>419</v>
      </c>
      <c r="D42" s="45">
        <f>ROUND((E42/41502),2)</f>
        <v>0</v>
      </c>
      <c r="E42" s="45">
        <f>ROUND((57*0.0263),2)</f>
        <v>1.5</v>
      </c>
    </row>
    <row r="43" spans="1:5" ht="31.5" x14ac:dyDescent="0.25">
      <c r="A43" s="4">
        <v>2241</v>
      </c>
      <c r="B43" s="112" t="s">
        <v>64</v>
      </c>
      <c r="C43" s="5" t="s">
        <v>420</v>
      </c>
      <c r="D43" s="45">
        <f t="shared" ref="D43:D50" si="2">ROUND((E43/150),2)</f>
        <v>0.33</v>
      </c>
      <c r="E43" s="45">
        <f>ROUND((1875.92*0.0263),2)</f>
        <v>49.34</v>
      </c>
    </row>
    <row r="44" spans="1:5" ht="47.25" x14ac:dyDescent="0.25">
      <c r="A44" s="4">
        <v>2243</v>
      </c>
      <c r="B44" s="67" t="s">
        <v>21</v>
      </c>
      <c r="C44" s="126" t="s">
        <v>421</v>
      </c>
      <c r="D44" s="45">
        <f t="shared" si="2"/>
        <v>0.17</v>
      </c>
      <c r="E44" s="45">
        <f>ROUND((956.5*0.0263),2)</f>
        <v>25.16</v>
      </c>
    </row>
    <row r="45" spans="1:5" ht="47.25" x14ac:dyDescent="0.25">
      <c r="A45" s="4">
        <v>2244</v>
      </c>
      <c r="B45" s="67" t="s">
        <v>22</v>
      </c>
      <c r="C45" s="67" t="s">
        <v>422</v>
      </c>
      <c r="D45" s="45">
        <f t="shared" si="2"/>
        <v>0.59</v>
      </c>
      <c r="E45" s="45">
        <f>ROUND((3378.56*0.0263),2)</f>
        <v>88.86</v>
      </c>
    </row>
    <row r="46" spans="1:5" ht="47.25" x14ac:dyDescent="0.25">
      <c r="A46" s="4">
        <v>2249</v>
      </c>
      <c r="B46" s="67" t="s">
        <v>50</v>
      </c>
      <c r="C46" s="67" t="s">
        <v>423</v>
      </c>
      <c r="D46" s="45">
        <f t="shared" si="2"/>
        <v>0.65</v>
      </c>
      <c r="E46" s="45">
        <f>ROUND((3705.93*0.0263),2)</f>
        <v>97.47</v>
      </c>
    </row>
    <row r="47" spans="1:5" ht="31.5" x14ac:dyDescent="0.25">
      <c r="A47" s="4">
        <v>2312</v>
      </c>
      <c r="B47" s="4" t="s">
        <v>13</v>
      </c>
      <c r="C47" s="67" t="s">
        <v>424</v>
      </c>
      <c r="D47" s="45">
        <f t="shared" si="2"/>
        <v>0.15</v>
      </c>
      <c r="E47" s="45">
        <f>ROUND((856.97*0.0263),2)</f>
        <v>22.54</v>
      </c>
    </row>
    <row r="48" spans="1:5" ht="47.25" x14ac:dyDescent="0.25">
      <c r="A48" s="4">
        <v>2350</v>
      </c>
      <c r="B48" s="5" t="s">
        <v>236</v>
      </c>
      <c r="C48" s="67" t="s">
        <v>425</v>
      </c>
      <c r="D48" s="45">
        <f t="shared" si="2"/>
        <v>0.3</v>
      </c>
      <c r="E48" s="114">
        <f>ROUND((1711.8*0.0263),2)</f>
        <v>45.02</v>
      </c>
    </row>
    <row r="49" spans="1:5" ht="31.5" x14ac:dyDescent="0.25">
      <c r="A49" s="4">
        <v>2513</v>
      </c>
      <c r="B49" s="5" t="s">
        <v>63</v>
      </c>
      <c r="C49" s="67" t="s">
        <v>426</v>
      </c>
      <c r="D49" s="45">
        <f t="shared" si="2"/>
        <v>1.42</v>
      </c>
      <c r="E49" s="45">
        <f>ROUND((8084.39*0.0263),2)</f>
        <v>212.62</v>
      </c>
    </row>
    <row r="50" spans="1:5" ht="31.5" x14ac:dyDescent="0.25">
      <c r="A50" s="4">
        <v>2515</v>
      </c>
      <c r="B50" s="5" t="s">
        <v>49</v>
      </c>
      <c r="C50" s="67" t="s">
        <v>427</v>
      </c>
      <c r="D50" s="45">
        <f t="shared" si="2"/>
        <v>0.34</v>
      </c>
      <c r="E50" s="45">
        <f>ROUND((1920.89*0.0263),2)</f>
        <v>50.52</v>
      </c>
    </row>
    <row r="51" spans="1:5" ht="15.75" x14ac:dyDescent="0.25">
      <c r="A51" s="10">
        <v>5000</v>
      </c>
      <c r="B51" s="166" t="s">
        <v>17</v>
      </c>
      <c r="C51" s="284"/>
      <c r="D51" s="41">
        <f>SUM(D52:D55)</f>
        <v>1.3900000000000001</v>
      </c>
      <c r="E51" s="41">
        <f>SUM(E52:E55)</f>
        <v>208.93</v>
      </c>
    </row>
    <row r="52" spans="1:5" ht="31.5" x14ac:dyDescent="0.25">
      <c r="A52" s="4">
        <v>5212</v>
      </c>
      <c r="B52" s="5" t="s">
        <v>31</v>
      </c>
      <c r="C52" s="67" t="s">
        <v>517</v>
      </c>
      <c r="D52" s="45">
        <f>ROUND((E52/150),2)</f>
        <v>0.67</v>
      </c>
      <c r="E52" s="45">
        <f>ROUND((3809.72*0.0263),2)</f>
        <v>100.2</v>
      </c>
    </row>
    <row r="53" spans="1:5" ht="31.5" x14ac:dyDescent="0.25">
      <c r="A53" s="4">
        <v>5213</v>
      </c>
      <c r="B53" s="5" t="s">
        <v>32</v>
      </c>
      <c r="C53" s="67" t="s">
        <v>428</v>
      </c>
      <c r="D53" s="45">
        <f>ROUND((E53/150),2)</f>
        <v>0.04</v>
      </c>
      <c r="E53" s="45">
        <f>ROUND((251.64*0.0263),2)</f>
        <v>6.62</v>
      </c>
    </row>
    <row r="54" spans="1:5" ht="31.5" x14ac:dyDescent="0.25">
      <c r="A54" s="19">
        <v>5218</v>
      </c>
      <c r="B54" s="67" t="s">
        <v>33</v>
      </c>
      <c r="C54" s="67" t="s">
        <v>429</v>
      </c>
      <c r="D54" s="45">
        <f>ROUND((E54/150),2)</f>
        <v>0.2</v>
      </c>
      <c r="E54" s="45">
        <f>ROUND((1134.21*0.0263),2)</f>
        <v>29.83</v>
      </c>
    </row>
    <row r="55" spans="1:5" ht="47.25" x14ac:dyDescent="0.25">
      <c r="A55" s="19">
        <v>5239</v>
      </c>
      <c r="B55" s="67" t="s">
        <v>18</v>
      </c>
      <c r="C55" s="67" t="s">
        <v>430</v>
      </c>
      <c r="D55" s="45">
        <f>ROUND((E55/150),2)</f>
        <v>0.48</v>
      </c>
      <c r="E55" s="45">
        <f>ROUND((2748.15*0.0263),2)</f>
        <v>72.28</v>
      </c>
    </row>
    <row r="56" spans="1:5" ht="23.25" customHeight="1" x14ac:dyDescent="0.25">
      <c r="A56" s="4"/>
      <c r="B56" s="9" t="s">
        <v>23</v>
      </c>
      <c r="C56" s="64"/>
      <c r="D56" s="26">
        <f>SUM(D23+D36+D51)</f>
        <v>23.279999999999998</v>
      </c>
      <c r="E56" s="41">
        <f>SUM(E23+E36+E51)</f>
        <v>3491.6899999999996</v>
      </c>
    </row>
    <row r="57" spans="1:5" ht="31.5" x14ac:dyDescent="0.25">
      <c r="A57" s="4"/>
      <c r="B57" s="11" t="s">
        <v>28</v>
      </c>
      <c r="C57" s="64"/>
      <c r="D57" s="27">
        <f>D21+D56</f>
        <v>30.599999999999998</v>
      </c>
      <c r="E57" s="42">
        <f>E21+E56</f>
        <v>4589.3999999999996</v>
      </c>
    </row>
    <row r="58" spans="1:5" ht="15.75" x14ac:dyDescent="0.25">
      <c r="A58" s="171"/>
      <c r="B58" s="13" t="s">
        <v>235</v>
      </c>
      <c r="C58" s="64"/>
      <c r="D58" s="27">
        <f>D57*0.12</f>
        <v>3.6719999999999997</v>
      </c>
      <c r="E58" s="42">
        <f>E57*0.12</f>
        <v>550.72799999999995</v>
      </c>
    </row>
    <row r="59" spans="1:5" ht="31.5" x14ac:dyDescent="0.25">
      <c r="A59" s="6"/>
      <c r="B59" s="179" t="s">
        <v>30</v>
      </c>
      <c r="C59" s="180"/>
      <c r="D59" s="181">
        <f>D57*1.12</f>
        <v>34.271999999999998</v>
      </c>
      <c r="E59" s="182">
        <f>E57*1.12</f>
        <v>5140.1279999999997</v>
      </c>
    </row>
    <row r="60" spans="1:5" ht="22.5" customHeight="1" x14ac:dyDescent="0.25">
      <c r="A60" s="351" t="s">
        <v>225</v>
      </c>
      <c r="B60" s="351"/>
      <c r="C60" s="351"/>
      <c r="D60" s="8">
        <f>3*50</f>
        <v>150</v>
      </c>
      <c r="E60" s="165" t="s">
        <v>75</v>
      </c>
    </row>
    <row r="61" spans="1:5" ht="30.6" customHeight="1" x14ac:dyDescent="0.25">
      <c r="A61" s="351" t="s">
        <v>359</v>
      </c>
      <c r="B61" s="351"/>
      <c r="C61" s="351"/>
      <c r="D61" s="8">
        <f>ROUND((E59/D60),2)</f>
        <v>34.270000000000003</v>
      </c>
      <c r="E61" s="205" t="s">
        <v>401</v>
      </c>
    </row>
    <row r="62" spans="1:5" ht="15.75" x14ac:dyDescent="0.25">
      <c r="A62" s="1"/>
      <c r="B62" s="1"/>
      <c r="C62" s="1"/>
    </row>
    <row r="65" spans="4:4" x14ac:dyDescent="0.25">
      <c r="D65" s="40"/>
    </row>
  </sheetData>
  <mergeCells count="7">
    <mergeCell ref="A61:C61"/>
    <mergeCell ref="A2:C2"/>
    <mergeCell ref="A3:E3"/>
    <mergeCell ref="A4:B4"/>
    <mergeCell ref="A26:A34"/>
    <mergeCell ref="B26:B34"/>
    <mergeCell ref="A60:C60"/>
  </mergeCells>
  <pageMargins left="0.7" right="0.7" top="0.75" bottom="0.75" header="0.3" footer="0.3"/>
  <pageSetup paperSize="9" orientation="landscape" r:id="rId1"/>
  <ignoredErrors>
    <ignoredError sqref="E19" formula="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22098-3343-4E3A-8DB9-26A83DA0ABD7}">
  <dimension ref="A1:E62"/>
  <sheetViews>
    <sheetView topLeftCell="A46" zoomScaleNormal="100" workbookViewId="0">
      <selection activeCell="E19" sqref="E19"/>
    </sheetView>
  </sheetViews>
  <sheetFormatPr defaultRowHeight="15" x14ac:dyDescent="0.25"/>
  <cols>
    <col min="1" max="1" width="12" customWidth="1"/>
    <col min="2" max="2" width="27.42578125" customWidth="1"/>
    <col min="3" max="3" width="64.5703125" customWidth="1"/>
    <col min="4" max="4" width="9.42578125" customWidth="1"/>
    <col min="5" max="5" width="17.42578125" customWidth="1"/>
  </cols>
  <sheetData>
    <row r="1" spans="1:5" s="175" customFormat="1" ht="18.75" x14ac:dyDescent="0.3">
      <c r="A1" s="158" t="s">
        <v>51</v>
      </c>
    </row>
    <row r="2" spans="1:5" ht="18.75" x14ac:dyDescent="0.3">
      <c r="A2" s="358" t="s">
        <v>52</v>
      </c>
      <c r="B2" s="358"/>
      <c r="C2" s="358"/>
    </row>
    <row r="3" spans="1:5" ht="39.75" customHeight="1" x14ac:dyDescent="0.25">
      <c r="A3" s="364" t="s">
        <v>69</v>
      </c>
      <c r="B3" s="364"/>
      <c r="C3" s="364"/>
      <c r="D3" s="364"/>
      <c r="E3" s="364"/>
    </row>
    <row r="4" spans="1:5" ht="15.75" x14ac:dyDescent="0.25">
      <c r="A4" s="359" t="s">
        <v>74</v>
      </c>
      <c r="B4" s="359"/>
    </row>
    <row r="6" spans="1:5" ht="78.75" customHeight="1" x14ac:dyDescent="0.25">
      <c r="A6" s="149" t="s">
        <v>0</v>
      </c>
      <c r="B6" s="149" t="s">
        <v>1</v>
      </c>
      <c r="C6" s="149" t="s">
        <v>2</v>
      </c>
      <c r="D6" s="162" t="s">
        <v>26</v>
      </c>
      <c r="E6" s="162" t="s">
        <v>27</v>
      </c>
    </row>
    <row r="7" spans="1:5" x14ac:dyDescent="0.25">
      <c r="A7" s="292">
        <v>1</v>
      </c>
      <c r="B7" s="292">
        <v>2</v>
      </c>
      <c r="C7" s="292">
        <v>3</v>
      </c>
      <c r="D7" s="292">
        <v>4</v>
      </c>
      <c r="E7" s="292">
        <v>5</v>
      </c>
    </row>
    <row r="8" spans="1:5" ht="15.75" x14ac:dyDescent="0.25">
      <c r="A8" s="4"/>
      <c r="B8" s="7" t="s">
        <v>7</v>
      </c>
      <c r="C8" s="64" t="s">
        <v>8</v>
      </c>
      <c r="D8" s="25"/>
      <c r="E8" s="23"/>
    </row>
    <row r="9" spans="1:5" ht="15.75" x14ac:dyDescent="0.25">
      <c r="A9" s="8">
        <v>1000</v>
      </c>
      <c r="B9" s="7" t="s">
        <v>9</v>
      </c>
      <c r="C9" s="284"/>
      <c r="D9" s="44">
        <f>D10+D18</f>
        <v>14.629999999999999</v>
      </c>
      <c r="E9" s="44">
        <f>E10+E18</f>
        <v>15217.489999999998</v>
      </c>
    </row>
    <row r="10" spans="1:5" ht="15.75" x14ac:dyDescent="0.25">
      <c r="A10" s="280">
        <v>1100</v>
      </c>
      <c r="B10" s="280" t="s">
        <v>10</v>
      </c>
      <c r="C10" s="284"/>
      <c r="D10" s="44">
        <f>SUM(D12:D17)</f>
        <v>11.419999999999998</v>
      </c>
      <c r="E10" s="44">
        <f>SUM(E12:E17)</f>
        <v>11876.099999999999</v>
      </c>
    </row>
    <row r="11" spans="1:5" ht="15.75" x14ac:dyDescent="0.25">
      <c r="A11" s="16">
        <v>1110</v>
      </c>
      <c r="B11" s="16" t="s">
        <v>240</v>
      </c>
      <c r="C11" s="147" t="s">
        <v>241</v>
      </c>
      <c r="D11" s="114">
        <f>SUM(D12:D16)</f>
        <v>10.379999999999999</v>
      </c>
      <c r="E11" s="114">
        <f>SUM(E12:E16)</f>
        <v>10796.46</v>
      </c>
    </row>
    <row r="12" spans="1:5" ht="77.45" customHeight="1" x14ac:dyDescent="0.25">
      <c r="A12" s="136"/>
      <c r="B12" s="139"/>
      <c r="C12" s="132" t="s">
        <v>431</v>
      </c>
      <c r="D12" s="114">
        <f t="shared" ref="D12:D19" si="0">ROUND((E12/1040),2)</f>
        <v>2.0499999999999998</v>
      </c>
      <c r="E12" s="114">
        <f>ROUND((486.2*12*0.3646),2)</f>
        <v>2127.2199999999998</v>
      </c>
    </row>
    <row r="13" spans="1:5" ht="77.099999999999994" customHeight="1" x14ac:dyDescent="0.25">
      <c r="A13" s="153"/>
      <c r="B13" s="154"/>
      <c r="C13" s="132" t="s">
        <v>1427</v>
      </c>
      <c r="D13" s="114">
        <f t="shared" si="0"/>
        <v>2.58</v>
      </c>
      <c r="E13" s="114">
        <f>ROUND((613.42*12*0.3646),2)</f>
        <v>2683.84</v>
      </c>
    </row>
    <row r="14" spans="1:5" ht="78.75" x14ac:dyDescent="0.25">
      <c r="A14" s="137"/>
      <c r="B14" s="140"/>
      <c r="C14" s="132" t="s">
        <v>1428</v>
      </c>
      <c r="D14" s="114">
        <f t="shared" si="0"/>
        <v>2.42</v>
      </c>
      <c r="E14" s="114">
        <f>ROUND((574.48*12*0.3646),2)</f>
        <v>2513.46</v>
      </c>
    </row>
    <row r="15" spans="1:5" ht="78.75" x14ac:dyDescent="0.25">
      <c r="A15" s="137"/>
      <c r="B15" s="140"/>
      <c r="C15" s="132" t="s">
        <v>1429</v>
      </c>
      <c r="D15" s="114">
        <f t="shared" si="0"/>
        <v>2.17</v>
      </c>
      <c r="E15" s="114">
        <f>ROUND((516.85*12*0.3646),2)</f>
        <v>2261.3200000000002</v>
      </c>
    </row>
    <row r="16" spans="1:5" ht="78.75" x14ac:dyDescent="0.25">
      <c r="A16" s="138"/>
      <c r="B16" s="141"/>
      <c r="C16" s="132" t="s">
        <v>1570</v>
      </c>
      <c r="D16" s="114">
        <f t="shared" si="0"/>
        <v>1.1599999999999999</v>
      </c>
      <c r="E16" s="114">
        <f>ROUND((276.7*12*0.3646),2)</f>
        <v>1210.6199999999999</v>
      </c>
    </row>
    <row r="17" spans="1:5" ht="94.5" x14ac:dyDescent="0.25">
      <c r="A17" s="131">
        <v>1140</v>
      </c>
      <c r="B17" s="5" t="s">
        <v>237</v>
      </c>
      <c r="C17" s="152" t="s">
        <v>1430</v>
      </c>
      <c r="D17" s="114">
        <f t="shared" si="0"/>
        <v>1.04</v>
      </c>
      <c r="E17" s="114">
        <f>ROUND((2127.22*0.1+2683.84*0.1+2513.46*0.1+2261.32*0.1+1210.62*0.1-0.01),2)</f>
        <v>1079.6400000000001</v>
      </c>
    </row>
    <row r="18" spans="1:5" ht="63" customHeight="1" x14ac:dyDescent="0.25">
      <c r="A18" s="7">
        <v>1200</v>
      </c>
      <c r="B18" s="290" t="s">
        <v>11</v>
      </c>
      <c r="C18" s="176" t="s">
        <v>1432</v>
      </c>
      <c r="D18" s="92">
        <f>ROUND((D19+D20),2)</f>
        <v>3.21</v>
      </c>
      <c r="E18" s="92">
        <f>ROUND((E19+E20),2)</f>
        <v>3341.39</v>
      </c>
    </row>
    <row r="19" spans="1:5" ht="47.25" x14ac:dyDescent="0.25">
      <c r="A19" s="4">
        <v>1210</v>
      </c>
      <c r="B19" s="5" t="s">
        <v>239</v>
      </c>
      <c r="C19" s="176" t="s">
        <v>432</v>
      </c>
      <c r="D19" s="45">
        <f t="shared" si="0"/>
        <v>2.69</v>
      </c>
      <c r="E19" s="45">
        <f>ROUND((11876.1*0.2359),2)</f>
        <v>2801.57</v>
      </c>
    </row>
    <row r="20" spans="1:5" ht="93" customHeight="1" x14ac:dyDescent="0.25">
      <c r="A20" s="4">
        <v>1227</v>
      </c>
      <c r="B20" s="5" t="s">
        <v>238</v>
      </c>
      <c r="C20" s="152" t="s">
        <v>1431</v>
      </c>
      <c r="D20" s="114">
        <f t="shared" ref="D20" si="1">ROUND((E20/1040),2)</f>
        <v>0.52</v>
      </c>
      <c r="E20" s="114">
        <f>ROUND((2127.22*0.05+2683.84*0.05+2513.46*0.05+2261.32*0.05+1210.62*0.05),2)</f>
        <v>539.82000000000005</v>
      </c>
    </row>
    <row r="21" spans="1:5" ht="15.75" x14ac:dyDescent="0.25">
      <c r="A21" s="4"/>
      <c r="B21" s="9" t="s">
        <v>14</v>
      </c>
      <c r="C21" s="65" t="s">
        <v>16</v>
      </c>
      <c r="D21" s="44">
        <f>D9</f>
        <v>14.629999999999999</v>
      </c>
      <c r="E21" s="44">
        <f>E9</f>
        <v>15217.489999999998</v>
      </c>
    </row>
    <row r="22" spans="1:5" ht="15.75" x14ac:dyDescent="0.25">
      <c r="A22" s="4"/>
      <c r="B22" s="9" t="s">
        <v>15</v>
      </c>
      <c r="C22" s="64" t="s">
        <v>8</v>
      </c>
      <c r="D22" s="43"/>
      <c r="E22" s="43"/>
    </row>
    <row r="23" spans="1:5" ht="15.75" x14ac:dyDescent="0.25">
      <c r="A23" s="8">
        <v>1000</v>
      </c>
      <c r="B23" s="7" t="s">
        <v>9</v>
      </c>
      <c r="C23" s="64"/>
      <c r="D23" s="92">
        <f>SUM(D24+D35)</f>
        <v>2.42</v>
      </c>
      <c r="E23" s="92">
        <f>SUM(E24+E35)</f>
        <v>2512.4500000000003</v>
      </c>
    </row>
    <row r="24" spans="1:5" ht="15.75" x14ac:dyDescent="0.25">
      <c r="A24" s="4">
        <v>1100</v>
      </c>
      <c r="B24" s="4" t="s">
        <v>10</v>
      </c>
      <c r="C24" s="147" t="s">
        <v>267</v>
      </c>
      <c r="D24" s="92">
        <f>SUM(D25:D34)</f>
        <v>1.96</v>
      </c>
      <c r="E24" s="92">
        <f>SUM(E25:E34)</f>
        <v>2032.89</v>
      </c>
    </row>
    <row r="25" spans="1:5" ht="79.5" customHeight="1" x14ac:dyDescent="0.25">
      <c r="A25" s="237"/>
      <c r="B25" s="238"/>
      <c r="C25" s="152" t="s">
        <v>442</v>
      </c>
      <c r="D25" s="45">
        <f t="shared" ref="D25:D35" si="2">ROUND((E25/1040),2)</f>
        <v>0.06</v>
      </c>
      <c r="E25" s="45">
        <f>ROUND((14.05*12*0.3646),2)</f>
        <v>61.47</v>
      </c>
    </row>
    <row r="26" spans="1:5" ht="78" customHeight="1" x14ac:dyDescent="0.25">
      <c r="A26" s="355"/>
      <c r="B26" s="353"/>
      <c r="C26" s="152" t="s">
        <v>438</v>
      </c>
      <c r="D26" s="45">
        <f t="shared" si="2"/>
        <v>0.04</v>
      </c>
      <c r="E26" s="45">
        <f>ROUND((9.32*12*0.3646),2)</f>
        <v>40.78</v>
      </c>
    </row>
    <row r="27" spans="1:5" ht="78.75" x14ac:dyDescent="0.25">
      <c r="A27" s="355"/>
      <c r="B27" s="353"/>
      <c r="C27" s="152" t="s">
        <v>439</v>
      </c>
      <c r="D27" s="45">
        <f t="shared" si="2"/>
        <v>0.06</v>
      </c>
      <c r="E27" s="45">
        <f>ROUND((13.46*12*0.3646),2)</f>
        <v>58.89</v>
      </c>
    </row>
    <row r="28" spans="1:5" ht="79.5" customHeight="1" x14ac:dyDescent="0.25">
      <c r="A28" s="355"/>
      <c r="B28" s="353"/>
      <c r="C28" s="152" t="s">
        <v>440</v>
      </c>
      <c r="D28" s="45">
        <f t="shared" si="2"/>
        <v>0.08</v>
      </c>
      <c r="E28" s="45">
        <f>ROUND((18.64*12*0.3646),2)</f>
        <v>81.55</v>
      </c>
    </row>
    <row r="29" spans="1:5" ht="78" customHeight="1" x14ac:dyDescent="0.25">
      <c r="A29" s="355"/>
      <c r="B29" s="353"/>
      <c r="C29" s="66" t="s">
        <v>441</v>
      </c>
      <c r="D29" s="45">
        <f t="shared" si="2"/>
        <v>0.06</v>
      </c>
      <c r="E29" s="45">
        <f>ROUND((13.16*12*0.3646),2)</f>
        <v>57.58</v>
      </c>
    </row>
    <row r="30" spans="1:5" ht="78.75" x14ac:dyDescent="0.25">
      <c r="A30" s="355"/>
      <c r="B30" s="353"/>
      <c r="C30" s="66" t="s">
        <v>1020</v>
      </c>
      <c r="D30" s="45">
        <f t="shared" si="2"/>
        <v>0.32</v>
      </c>
      <c r="E30" s="45">
        <f>ROUND((75.79*12*0.3646),2)</f>
        <v>331.6</v>
      </c>
    </row>
    <row r="31" spans="1:5" ht="78.75" x14ac:dyDescent="0.25">
      <c r="A31" s="355"/>
      <c r="B31" s="353"/>
      <c r="C31" s="66" t="s">
        <v>433</v>
      </c>
      <c r="D31" s="45">
        <f t="shared" si="2"/>
        <v>0.32</v>
      </c>
      <c r="E31" s="45">
        <f>ROUND((77.25*12*0.3646),2)</f>
        <v>337.98</v>
      </c>
    </row>
    <row r="32" spans="1:5" ht="78.75" x14ac:dyDescent="0.25">
      <c r="A32" s="355"/>
      <c r="B32" s="353"/>
      <c r="C32" s="66" t="s">
        <v>434</v>
      </c>
      <c r="D32" s="45">
        <f t="shared" si="2"/>
        <v>0.42</v>
      </c>
      <c r="E32" s="45">
        <f>ROUND((98.97*12*0.3646),2)</f>
        <v>433.01</v>
      </c>
    </row>
    <row r="33" spans="1:5" ht="93" customHeight="1" x14ac:dyDescent="0.25">
      <c r="A33" s="355"/>
      <c r="B33" s="353"/>
      <c r="C33" s="66" t="s">
        <v>435</v>
      </c>
      <c r="D33" s="45">
        <f t="shared" si="2"/>
        <v>0.48</v>
      </c>
      <c r="E33" s="45">
        <f>ROUND((114.88*12*0.3646),2)</f>
        <v>502.62</v>
      </c>
    </row>
    <row r="34" spans="1:5" ht="78.75" x14ac:dyDescent="0.25">
      <c r="A34" s="356"/>
      <c r="B34" s="354"/>
      <c r="C34" s="66" t="s">
        <v>436</v>
      </c>
      <c r="D34" s="45">
        <f t="shared" si="2"/>
        <v>0.12</v>
      </c>
      <c r="E34" s="45">
        <f>ROUND((29.12*12*0.3646),2)</f>
        <v>127.41</v>
      </c>
    </row>
    <row r="35" spans="1:5" ht="64.5" customHeight="1" x14ac:dyDescent="0.25">
      <c r="A35" s="7">
        <v>1200</v>
      </c>
      <c r="B35" s="166" t="s">
        <v>11</v>
      </c>
      <c r="C35" s="176" t="s">
        <v>437</v>
      </c>
      <c r="D35" s="92">
        <f t="shared" si="2"/>
        <v>0.46</v>
      </c>
      <c r="E35" s="92">
        <f>ROUND((2032.89*0.2359),2)</f>
        <v>479.56</v>
      </c>
    </row>
    <row r="36" spans="1:5" ht="15.75" x14ac:dyDescent="0.25">
      <c r="A36" s="8">
        <v>2000</v>
      </c>
      <c r="B36" s="7" t="s">
        <v>12</v>
      </c>
      <c r="C36" s="64"/>
      <c r="D36" s="44">
        <f>SUM(D37:D50)</f>
        <v>41.339999999999996</v>
      </c>
      <c r="E36" s="44">
        <f>SUM(E37:E50)</f>
        <v>42996.71</v>
      </c>
    </row>
    <row r="37" spans="1:5" ht="31.5" x14ac:dyDescent="0.25">
      <c r="A37" s="4">
        <v>2221</v>
      </c>
      <c r="B37" s="112" t="s">
        <v>60</v>
      </c>
      <c r="C37" s="67" t="s">
        <v>450</v>
      </c>
      <c r="D37" s="45">
        <f t="shared" ref="D37:D46" si="3">ROUND((E37/1040),2)</f>
        <v>29.08</v>
      </c>
      <c r="E37" s="45">
        <f>ROUND((82944.32*0.3646),2)</f>
        <v>30241.5</v>
      </c>
    </row>
    <row r="38" spans="1:5" ht="31.5" x14ac:dyDescent="0.25">
      <c r="A38" s="4">
        <v>2222</v>
      </c>
      <c r="B38" s="5" t="s">
        <v>61</v>
      </c>
      <c r="C38" s="5" t="s">
        <v>449</v>
      </c>
      <c r="D38" s="45">
        <f t="shared" si="3"/>
        <v>1.47</v>
      </c>
      <c r="E38" s="45">
        <f>ROUND((4203.76*0.3646),2)</f>
        <v>1532.69</v>
      </c>
    </row>
    <row r="39" spans="1:5" ht="31.5" x14ac:dyDescent="0.25">
      <c r="A39" s="4">
        <v>2223</v>
      </c>
      <c r="B39" s="5" t="s">
        <v>19</v>
      </c>
      <c r="C39" s="68" t="s">
        <v>448</v>
      </c>
      <c r="D39" s="45">
        <f t="shared" si="3"/>
        <v>2.74</v>
      </c>
      <c r="E39" s="45">
        <f>ROUND((7807.39*0.3646),2)</f>
        <v>2846.57</v>
      </c>
    </row>
    <row r="40" spans="1:5" ht="78" customHeight="1" x14ac:dyDescent="0.25">
      <c r="A40" s="4">
        <v>2224</v>
      </c>
      <c r="B40" s="112" t="s">
        <v>62</v>
      </c>
      <c r="C40" s="67" t="s">
        <v>447</v>
      </c>
      <c r="D40" s="45">
        <f t="shared" si="3"/>
        <v>0.1</v>
      </c>
      <c r="E40" s="45">
        <f>ROUND((275.91*0.3646),2)</f>
        <v>100.6</v>
      </c>
    </row>
    <row r="41" spans="1:5" ht="32.1" customHeight="1" x14ac:dyDescent="0.25">
      <c r="A41" s="4">
        <v>2232</v>
      </c>
      <c r="B41" s="125" t="s">
        <v>45</v>
      </c>
      <c r="C41" s="90" t="s">
        <v>446</v>
      </c>
      <c r="D41" s="45">
        <f t="shared" si="3"/>
        <v>0.05</v>
      </c>
      <c r="E41" s="45">
        <f>ROUND((149.11*0.3646),2)</f>
        <v>54.37</v>
      </c>
    </row>
    <row r="42" spans="1:5" ht="31.5" x14ac:dyDescent="0.25">
      <c r="A42" s="4">
        <v>2239</v>
      </c>
      <c r="B42" s="58" t="s">
        <v>20</v>
      </c>
      <c r="C42" s="124" t="s">
        <v>445</v>
      </c>
      <c r="D42" s="45">
        <f t="shared" si="3"/>
        <v>0.02</v>
      </c>
      <c r="E42" s="45">
        <f>ROUND((57*0.3646),2)</f>
        <v>20.78</v>
      </c>
    </row>
    <row r="43" spans="1:5" ht="31.5" x14ac:dyDescent="0.25">
      <c r="A43" s="4">
        <v>2241</v>
      </c>
      <c r="B43" s="112" t="s">
        <v>64</v>
      </c>
      <c r="C43" s="68" t="s">
        <v>444</v>
      </c>
      <c r="D43" s="45">
        <f t="shared" si="3"/>
        <v>0.66</v>
      </c>
      <c r="E43" s="45">
        <f>ROUND((1875.92*0.3646),2)</f>
        <v>683.96</v>
      </c>
    </row>
    <row r="44" spans="1:5" ht="47.25" x14ac:dyDescent="0.25">
      <c r="A44" s="4">
        <v>2243</v>
      </c>
      <c r="B44" s="67" t="s">
        <v>21</v>
      </c>
      <c r="C44" s="90" t="s">
        <v>443</v>
      </c>
      <c r="D44" s="45">
        <f t="shared" si="3"/>
        <v>0.34</v>
      </c>
      <c r="E44" s="45">
        <f>ROUND((956.5*0.3646),2)</f>
        <v>348.74</v>
      </c>
    </row>
    <row r="45" spans="1:5" ht="46.5" customHeight="1" x14ac:dyDescent="0.25">
      <c r="A45" s="4">
        <v>2244</v>
      </c>
      <c r="B45" s="67" t="s">
        <v>22</v>
      </c>
      <c r="C45" s="67" t="s">
        <v>453</v>
      </c>
      <c r="D45" s="45">
        <f t="shared" si="3"/>
        <v>1.18</v>
      </c>
      <c r="E45" s="45">
        <f>ROUND((3378.56*0.3646),2)</f>
        <v>1231.82</v>
      </c>
    </row>
    <row r="46" spans="1:5" ht="32.25" customHeight="1" x14ac:dyDescent="0.25">
      <c r="A46" s="4">
        <v>2249</v>
      </c>
      <c r="B46" s="67" t="s">
        <v>50</v>
      </c>
      <c r="C46" s="67" t="s">
        <v>454</v>
      </c>
      <c r="D46" s="45">
        <f t="shared" si="3"/>
        <v>1.3</v>
      </c>
      <c r="E46" s="45">
        <f>ROUND((3705.93*0.3646),2)</f>
        <v>1351.18</v>
      </c>
    </row>
    <row r="47" spans="1:5" ht="31.5" x14ac:dyDescent="0.25">
      <c r="A47" s="4">
        <v>2312</v>
      </c>
      <c r="B47" s="4" t="s">
        <v>13</v>
      </c>
      <c r="C47" s="67" t="s">
        <v>452</v>
      </c>
      <c r="D47" s="45">
        <f t="shared" ref="D47:D50" si="4">ROUND((E47/1040),2)</f>
        <v>0.3</v>
      </c>
      <c r="E47" s="45">
        <f>ROUND((856.97*0.3646),2)</f>
        <v>312.45</v>
      </c>
    </row>
    <row r="48" spans="1:5" ht="47.25" x14ac:dyDescent="0.25">
      <c r="A48" s="4">
        <v>2350</v>
      </c>
      <c r="B48" s="5" t="s">
        <v>236</v>
      </c>
      <c r="C48" s="67" t="s">
        <v>451</v>
      </c>
      <c r="D48" s="45">
        <f t="shared" si="4"/>
        <v>0.6</v>
      </c>
      <c r="E48" s="114">
        <f>ROUND((1711.8*0.3646),2)</f>
        <v>624.12</v>
      </c>
    </row>
    <row r="49" spans="1:5" ht="31.5" customHeight="1" x14ac:dyDescent="0.25">
      <c r="A49" s="4">
        <v>2513</v>
      </c>
      <c r="B49" s="5" t="s">
        <v>63</v>
      </c>
      <c r="C49" s="67" t="s">
        <v>459</v>
      </c>
      <c r="D49" s="45">
        <f t="shared" si="4"/>
        <v>2.83</v>
      </c>
      <c r="E49" s="45">
        <f>ROUND((8084.39*0.3646),2)</f>
        <v>2947.57</v>
      </c>
    </row>
    <row r="50" spans="1:5" ht="32.1" customHeight="1" x14ac:dyDescent="0.25">
      <c r="A50" s="4">
        <v>2515</v>
      </c>
      <c r="B50" s="5" t="s">
        <v>49</v>
      </c>
      <c r="C50" s="67" t="s">
        <v>455</v>
      </c>
      <c r="D50" s="45">
        <f t="shared" si="4"/>
        <v>0.67</v>
      </c>
      <c r="E50" s="45">
        <f>ROUND((1920.89*0.3646),2)</f>
        <v>700.36</v>
      </c>
    </row>
    <row r="51" spans="1:5" ht="18.75" customHeight="1" x14ac:dyDescent="0.25">
      <c r="A51" s="324">
        <v>5000</v>
      </c>
      <c r="B51" s="326" t="s">
        <v>17</v>
      </c>
      <c r="C51" s="19"/>
      <c r="D51" s="92">
        <f>SUM(D52:D55)</f>
        <v>2.79</v>
      </c>
      <c r="E51" s="92">
        <f>SUM(E52:E55)</f>
        <v>2896.2799999999997</v>
      </c>
    </row>
    <row r="52" spans="1:5" ht="31.5" x14ac:dyDescent="0.25">
      <c r="A52" s="4">
        <v>5212</v>
      </c>
      <c r="B52" s="5" t="s">
        <v>31</v>
      </c>
      <c r="C52" s="67" t="s">
        <v>518</v>
      </c>
      <c r="D52" s="45">
        <f>ROUND((E52/1040),2)</f>
        <v>1.34</v>
      </c>
      <c r="E52" s="45">
        <f>ROUND((3809.72*0.3646),2)</f>
        <v>1389.02</v>
      </c>
    </row>
    <row r="53" spans="1:5" ht="31.5" x14ac:dyDescent="0.25">
      <c r="A53" s="4">
        <v>5213</v>
      </c>
      <c r="B53" s="5" t="s">
        <v>32</v>
      </c>
      <c r="C53" s="67" t="s">
        <v>456</v>
      </c>
      <c r="D53" s="45">
        <f t="shared" ref="D53:D55" si="5">ROUND((E53/1040),2)</f>
        <v>0.09</v>
      </c>
      <c r="E53" s="45">
        <f>ROUND((251.64*0.3646),2)</f>
        <v>91.75</v>
      </c>
    </row>
    <row r="54" spans="1:5" ht="31.5" x14ac:dyDescent="0.25">
      <c r="A54" s="19">
        <v>5218</v>
      </c>
      <c r="B54" s="67" t="s">
        <v>33</v>
      </c>
      <c r="C54" s="67" t="s">
        <v>457</v>
      </c>
      <c r="D54" s="45">
        <f t="shared" si="5"/>
        <v>0.4</v>
      </c>
      <c r="E54" s="45">
        <f>ROUND((1134.21*0.3646),2)</f>
        <v>413.53</v>
      </c>
    </row>
    <row r="55" spans="1:5" ht="47.1" customHeight="1" x14ac:dyDescent="0.25">
      <c r="A55" s="19">
        <v>5239</v>
      </c>
      <c r="B55" s="67" t="s">
        <v>18</v>
      </c>
      <c r="C55" s="67" t="s">
        <v>458</v>
      </c>
      <c r="D55" s="45">
        <f t="shared" si="5"/>
        <v>0.96</v>
      </c>
      <c r="E55" s="45">
        <f>ROUND((2748.15*0.3646),2)</f>
        <v>1001.98</v>
      </c>
    </row>
    <row r="56" spans="1:5" ht="15.75" x14ac:dyDescent="0.25">
      <c r="A56" s="4"/>
      <c r="B56" s="9" t="s">
        <v>23</v>
      </c>
      <c r="C56" s="64"/>
      <c r="D56" s="44">
        <f>SUM(D23+D36+D51)</f>
        <v>46.55</v>
      </c>
      <c r="E56" s="41">
        <f>SUM(E23+E36+E51)</f>
        <v>48405.439999999995</v>
      </c>
    </row>
    <row r="57" spans="1:5" ht="31.5" x14ac:dyDescent="0.25">
      <c r="A57" s="4"/>
      <c r="B57" s="11" t="s">
        <v>28</v>
      </c>
      <c r="C57" s="64"/>
      <c r="D57" s="93">
        <f>D21+D56</f>
        <v>61.179999999999993</v>
      </c>
      <c r="E57" s="42">
        <f>E21+E56</f>
        <v>63622.929999999993</v>
      </c>
    </row>
    <row r="58" spans="1:5" ht="15.75" x14ac:dyDescent="0.25">
      <c r="A58" s="21"/>
      <c r="B58" s="13" t="s">
        <v>235</v>
      </c>
      <c r="C58" s="64"/>
      <c r="D58" s="93">
        <f>D57*0.12</f>
        <v>7.3415999999999988</v>
      </c>
      <c r="E58" s="42">
        <f>E57*0.12</f>
        <v>7634.7515999999987</v>
      </c>
    </row>
    <row r="59" spans="1:5" ht="31.5" x14ac:dyDescent="0.25">
      <c r="A59" s="21"/>
      <c r="B59" s="179" t="s">
        <v>30</v>
      </c>
      <c r="C59" s="180"/>
      <c r="D59" s="189">
        <f>D57*1.12</f>
        <v>68.521599999999992</v>
      </c>
      <c r="E59" s="182">
        <f>E57*1.12</f>
        <v>71257.681599999996</v>
      </c>
    </row>
    <row r="60" spans="1:5" ht="20.25" customHeight="1" x14ac:dyDescent="0.25">
      <c r="A60" s="351" t="s">
        <v>226</v>
      </c>
      <c r="B60" s="351"/>
      <c r="C60" s="351"/>
      <c r="D60" s="196">
        <f>20*52</f>
        <v>1040</v>
      </c>
      <c r="E60" s="165" t="s">
        <v>75</v>
      </c>
    </row>
    <row r="61" spans="1:5" ht="30.6" customHeight="1" x14ac:dyDescent="0.25">
      <c r="A61" s="351" t="s">
        <v>359</v>
      </c>
      <c r="B61" s="351"/>
      <c r="C61" s="351"/>
      <c r="D61" s="183">
        <f>ROUND((E59/D60),2)</f>
        <v>68.52</v>
      </c>
      <c r="E61" s="205" t="s">
        <v>401</v>
      </c>
    </row>
    <row r="62" spans="1:5" ht="15.75" x14ac:dyDescent="0.25">
      <c r="A62" s="1"/>
      <c r="B62" s="1"/>
      <c r="C62" s="1"/>
    </row>
  </sheetData>
  <mergeCells count="7">
    <mergeCell ref="A61:C61"/>
    <mergeCell ref="A2:C2"/>
    <mergeCell ref="A3:E3"/>
    <mergeCell ref="A4:B4"/>
    <mergeCell ref="A26:A34"/>
    <mergeCell ref="B26:B34"/>
    <mergeCell ref="A60:C60"/>
  </mergeCells>
  <pageMargins left="0.7" right="0.7" top="0.75" bottom="0.75" header="0.3" footer="0.3"/>
  <pageSetup paperSize="9" orientation="landscape" r:id="rId1"/>
  <rowBreaks count="2" manualBreakCount="2">
    <brk id="13" max="4" man="1"/>
    <brk id="19" max="16383" man="1"/>
  </rowBreaks>
  <ignoredErrors>
    <ignoredError sqref="D18:E18" formula="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14BAF-5180-439F-8035-76233D16A9F5}">
  <dimension ref="A1:J63"/>
  <sheetViews>
    <sheetView topLeftCell="A46" zoomScaleNormal="100" workbookViewId="0">
      <selection activeCell="C16" sqref="C16"/>
    </sheetView>
  </sheetViews>
  <sheetFormatPr defaultRowHeight="15" x14ac:dyDescent="0.25"/>
  <cols>
    <col min="1" max="1" width="12.42578125" customWidth="1"/>
    <col min="2" max="2" width="27.140625" customWidth="1"/>
    <col min="3" max="3" width="62.42578125" customWidth="1"/>
    <col min="4" max="4" width="9.5703125" customWidth="1"/>
    <col min="5" max="5" width="17.7109375" customWidth="1"/>
  </cols>
  <sheetData>
    <row r="1" spans="1:5" ht="18.75" x14ac:dyDescent="0.3">
      <c r="A1" s="158" t="s">
        <v>51</v>
      </c>
    </row>
    <row r="2" spans="1:5" ht="18.75" x14ac:dyDescent="0.3">
      <c r="A2" s="358" t="s">
        <v>52</v>
      </c>
      <c r="B2" s="358"/>
      <c r="C2" s="358"/>
    </row>
    <row r="3" spans="1:5" ht="18.75" x14ac:dyDescent="0.25">
      <c r="A3" s="352" t="s">
        <v>53</v>
      </c>
      <c r="B3" s="352"/>
      <c r="C3" s="352"/>
      <c r="D3" s="352"/>
      <c r="E3" s="352"/>
    </row>
    <row r="4" spans="1:5" ht="15.75" x14ac:dyDescent="0.25">
      <c r="A4" s="359" t="s">
        <v>74</v>
      </c>
      <c r="B4" s="359"/>
    </row>
    <row r="6" spans="1:5" ht="78.75" x14ac:dyDescent="0.25">
      <c r="A6" s="149" t="s">
        <v>0</v>
      </c>
      <c r="B6" s="149" t="s">
        <v>1</v>
      </c>
      <c r="C6" s="149" t="s">
        <v>2</v>
      </c>
      <c r="D6" s="162" t="s">
        <v>26</v>
      </c>
      <c r="E6" s="53" t="s">
        <v>27</v>
      </c>
    </row>
    <row r="7" spans="1:5" x14ac:dyDescent="0.25">
      <c r="A7" s="292">
        <v>1</v>
      </c>
      <c r="B7" s="292">
        <v>2</v>
      </c>
      <c r="C7" s="292">
        <v>3</v>
      </c>
      <c r="D7" s="47">
        <v>4</v>
      </c>
      <c r="E7" s="47">
        <v>5</v>
      </c>
    </row>
    <row r="8" spans="1:5" ht="15.75" x14ac:dyDescent="0.25">
      <c r="A8" s="4"/>
      <c r="B8" s="7" t="s">
        <v>7</v>
      </c>
      <c r="C8" s="64" t="s">
        <v>8</v>
      </c>
      <c r="D8" s="25"/>
      <c r="E8" s="23"/>
    </row>
    <row r="9" spans="1:5" ht="15.75" x14ac:dyDescent="0.25">
      <c r="A9" s="8">
        <v>1000</v>
      </c>
      <c r="B9" s="7" t="s">
        <v>9</v>
      </c>
      <c r="C9" s="284"/>
      <c r="D9" s="44">
        <f>D10+D18</f>
        <v>15.379999999999999</v>
      </c>
      <c r="E9" s="44">
        <f>E10+E18</f>
        <v>2308.0700000000002</v>
      </c>
    </row>
    <row r="10" spans="1:5" ht="15.75" x14ac:dyDescent="0.25">
      <c r="A10" s="280">
        <v>1100</v>
      </c>
      <c r="B10" s="280" t="s">
        <v>10</v>
      </c>
      <c r="C10" s="284"/>
      <c r="D10" s="44">
        <f>SUM(D12:D17)</f>
        <v>12</v>
      </c>
      <c r="E10" s="44">
        <f>SUM(E12:E17)</f>
        <v>1801.2800000000002</v>
      </c>
    </row>
    <row r="11" spans="1:5" ht="15.75" x14ac:dyDescent="0.25">
      <c r="A11" s="16">
        <v>1110</v>
      </c>
      <c r="B11" s="16" t="s">
        <v>240</v>
      </c>
      <c r="C11" s="147" t="s">
        <v>241</v>
      </c>
      <c r="D11" s="114">
        <f>SUM(D12:D16)</f>
        <v>10.91</v>
      </c>
      <c r="E11" s="114">
        <f>SUM(E12:E16)</f>
        <v>1637.5300000000002</v>
      </c>
    </row>
    <row r="12" spans="1:5" ht="80.099999999999994" customHeight="1" x14ac:dyDescent="0.25">
      <c r="A12" s="136"/>
      <c r="B12" s="139"/>
      <c r="C12" s="152" t="s">
        <v>477</v>
      </c>
      <c r="D12" s="62">
        <f t="shared" ref="D12:D20" si="0">ROUND((E12/150),2)</f>
        <v>2.15</v>
      </c>
      <c r="E12" s="114">
        <f>ROUND((486.2*12*0.0553),2)</f>
        <v>322.64</v>
      </c>
    </row>
    <row r="13" spans="1:5" ht="78.75" x14ac:dyDescent="0.25">
      <c r="A13" s="153"/>
      <c r="B13" s="154"/>
      <c r="C13" s="152" t="s">
        <v>526</v>
      </c>
      <c r="D13" s="62">
        <f t="shared" si="0"/>
        <v>2.71</v>
      </c>
      <c r="E13" s="114">
        <f>ROUND((613.42*12*0.0553),2)</f>
        <v>407.07</v>
      </c>
    </row>
    <row r="14" spans="1:5" ht="78.75" x14ac:dyDescent="0.25">
      <c r="A14" s="137"/>
      <c r="B14" s="140"/>
      <c r="C14" s="152" t="s">
        <v>527</v>
      </c>
      <c r="D14" s="62">
        <f t="shared" si="0"/>
        <v>2.54</v>
      </c>
      <c r="E14" s="114">
        <f>ROUND((574.48*12*0.0553),2)</f>
        <v>381.22</v>
      </c>
    </row>
    <row r="15" spans="1:5" ht="78.75" x14ac:dyDescent="0.25">
      <c r="A15" s="137"/>
      <c r="B15" s="140"/>
      <c r="C15" s="152" t="s">
        <v>478</v>
      </c>
      <c r="D15" s="62">
        <f t="shared" si="0"/>
        <v>2.29</v>
      </c>
      <c r="E15" s="114">
        <f>ROUND((516.85*12*0.0553),2)</f>
        <v>342.98</v>
      </c>
    </row>
    <row r="16" spans="1:5" ht="78.75" x14ac:dyDescent="0.25">
      <c r="A16" s="138"/>
      <c r="B16" s="141"/>
      <c r="C16" s="152" t="s">
        <v>1571</v>
      </c>
      <c r="D16" s="62">
        <f t="shared" si="0"/>
        <v>1.22</v>
      </c>
      <c r="E16" s="114">
        <f>ROUND((276.7*12*0.0553),2)</f>
        <v>183.62</v>
      </c>
    </row>
    <row r="17" spans="1:5" ht="93" customHeight="1" x14ac:dyDescent="0.25">
      <c r="A17" s="131">
        <v>1140</v>
      </c>
      <c r="B17" s="5" t="s">
        <v>237</v>
      </c>
      <c r="C17" s="152" t="s">
        <v>1433</v>
      </c>
      <c r="D17" s="62">
        <f t="shared" si="0"/>
        <v>1.0900000000000001</v>
      </c>
      <c r="E17" s="114">
        <f>ROUND((322.64*0.1+407.07*0.1+381.22*0.1+342.98*0.1+183.62*0.1),2)</f>
        <v>163.75</v>
      </c>
    </row>
    <row r="18" spans="1:5" ht="63" customHeight="1" x14ac:dyDescent="0.25">
      <c r="A18" s="7">
        <v>1200</v>
      </c>
      <c r="B18" s="290" t="s">
        <v>11</v>
      </c>
      <c r="C18" s="176" t="s">
        <v>481</v>
      </c>
      <c r="D18" s="291">
        <f>ROUND((D19+D20),2)</f>
        <v>3.38</v>
      </c>
      <c r="E18" s="88">
        <f>ROUND((E19+E20),2)</f>
        <v>506.79</v>
      </c>
    </row>
    <row r="19" spans="1:5" ht="47.25" x14ac:dyDescent="0.25">
      <c r="A19" s="4">
        <v>1210</v>
      </c>
      <c r="B19" s="5" t="s">
        <v>239</v>
      </c>
      <c r="C19" s="176" t="s">
        <v>479</v>
      </c>
      <c r="D19" s="28">
        <f t="shared" si="0"/>
        <v>2.83</v>
      </c>
      <c r="E19" s="45">
        <f>ROUND((1801.28*0.2359),2)</f>
        <v>424.92</v>
      </c>
    </row>
    <row r="20" spans="1:5" ht="94.5" customHeight="1" x14ac:dyDescent="0.25">
      <c r="A20" s="4">
        <v>1227</v>
      </c>
      <c r="B20" s="5" t="s">
        <v>238</v>
      </c>
      <c r="C20" s="152" t="s">
        <v>480</v>
      </c>
      <c r="D20" s="28">
        <f t="shared" si="0"/>
        <v>0.55000000000000004</v>
      </c>
      <c r="E20" s="114">
        <f>ROUND((322.64*0.05+407.07*0.05+381.22*0.05+342.98*0.05+183.62*0.05-0.01),2)</f>
        <v>81.87</v>
      </c>
    </row>
    <row r="21" spans="1:5" ht="15.75" x14ac:dyDescent="0.25">
      <c r="A21" s="4"/>
      <c r="B21" s="9" t="s">
        <v>14</v>
      </c>
      <c r="C21" s="65" t="s">
        <v>16</v>
      </c>
      <c r="D21" s="26">
        <f>D9</f>
        <v>15.379999999999999</v>
      </c>
      <c r="E21" s="44">
        <f>E9</f>
        <v>2308.0700000000002</v>
      </c>
    </row>
    <row r="22" spans="1:5" ht="15.75" x14ac:dyDescent="0.25">
      <c r="A22" s="4"/>
      <c r="B22" s="9" t="s">
        <v>15</v>
      </c>
      <c r="C22" s="64" t="s">
        <v>8</v>
      </c>
      <c r="D22" s="23"/>
      <c r="E22" s="43"/>
    </row>
    <row r="23" spans="1:5" ht="15.75" x14ac:dyDescent="0.25">
      <c r="A23" s="8">
        <v>1000</v>
      </c>
      <c r="B23" s="7" t="s">
        <v>9</v>
      </c>
      <c r="C23" s="64"/>
      <c r="D23" s="88">
        <f>SUM(D24+D35)</f>
        <v>2.54</v>
      </c>
      <c r="E23" s="88">
        <f>SUM(E24+E35)</f>
        <v>381.04</v>
      </c>
    </row>
    <row r="24" spans="1:5" ht="15.75" x14ac:dyDescent="0.25">
      <c r="A24" s="4">
        <v>1100</v>
      </c>
      <c r="B24" s="4" t="s">
        <v>10</v>
      </c>
      <c r="C24" s="147" t="s">
        <v>267</v>
      </c>
      <c r="D24" s="88">
        <f>SUM(D25:D34)</f>
        <v>2.0499999999999998</v>
      </c>
      <c r="E24" s="88">
        <f>SUM(E25:E34)</f>
        <v>308.31</v>
      </c>
    </row>
    <row r="25" spans="1:5" ht="78.75" customHeight="1" x14ac:dyDescent="0.25">
      <c r="A25" s="237"/>
      <c r="B25" s="238"/>
      <c r="C25" s="152" t="s">
        <v>485</v>
      </c>
      <c r="D25" s="28">
        <f t="shared" ref="D25:D34" si="1">ROUND((E25/150),2)</f>
        <v>0.06</v>
      </c>
      <c r="E25" s="46">
        <f>ROUND((14.05*12*0.0553),2)</f>
        <v>9.32</v>
      </c>
    </row>
    <row r="26" spans="1:5" ht="78.599999999999994" customHeight="1" x14ac:dyDescent="0.25">
      <c r="A26" s="355"/>
      <c r="B26" s="353"/>
      <c r="C26" s="111" t="s">
        <v>486</v>
      </c>
      <c r="D26" s="28">
        <f t="shared" si="1"/>
        <v>0.04</v>
      </c>
      <c r="E26" s="46">
        <f>ROUND((9.32*12*0.0553),2)</f>
        <v>6.18</v>
      </c>
    </row>
    <row r="27" spans="1:5" ht="78.75" x14ac:dyDescent="0.25">
      <c r="A27" s="355"/>
      <c r="B27" s="353"/>
      <c r="C27" s="66" t="s">
        <v>487</v>
      </c>
      <c r="D27" s="28">
        <f t="shared" si="1"/>
        <v>0.06</v>
      </c>
      <c r="E27" s="28">
        <f>ROUND((13.46*12*0.0553),2)</f>
        <v>8.93</v>
      </c>
    </row>
    <row r="28" spans="1:5" ht="77.25" customHeight="1" x14ac:dyDescent="0.25">
      <c r="A28" s="355"/>
      <c r="B28" s="353"/>
      <c r="C28" s="152" t="s">
        <v>483</v>
      </c>
      <c r="D28" s="28">
        <f t="shared" si="1"/>
        <v>0.08</v>
      </c>
      <c r="E28" s="28">
        <f>ROUND((18.64*12*0.0553),2)</f>
        <v>12.37</v>
      </c>
    </row>
    <row r="29" spans="1:5" ht="77.25" customHeight="1" x14ac:dyDescent="0.25">
      <c r="A29" s="355"/>
      <c r="B29" s="353"/>
      <c r="C29" s="66" t="s">
        <v>484</v>
      </c>
      <c r="D29" s="28">
        <f t="shared" si="1"/>
        <v>0.06</v>
      </c>
      <c r="E29" s="28">
        <f>ROUND((13.16*12*0.0553),2)</f>
        <v>8.73</v>
      </c>
    </row>
    <row r="30" spans="1:5" ht="78.75" x14ac:dyDescent="0.25">
      <c r="A30" s="355"/>
      <c r="B30" s="353"/>
      <c r="C30" s="66" t="s">
        <v>488</v>
      </c>
      <c r="D30" s="28">
        <f>ROUND((E30/150-0.01),2)</f>
        <v>0.33</v>
      </c>
      <c r="E30" s="28">
        <f>ROUND((75.79*12*0.0553),2)</f>
        <v>50.29</v>
      </c>
    </row>
    <row r="31" spans="1:5" ht="78.599999999999994" customHeight="1" x14ac:dyDescent="0.25">
      <c r="A31" s="355"/>
      <c r="B31" s="353"/>
      <c r="C31" s="66" t="s">
        <v>489</v>
      </c>
      <c r="D31" s="28">
        <f t="shared" si="1"/>
        <v>0.34</v>
      </c>
      <c r="E31" s="46">
        <f>ROUND((77.25*12*0.0553),2)</f>
        <v>51.26</v>
      </c>
    </row>
    <row r="32" spans="1:5" ht="78.75" x14ac:dyDescent="0.25">
      <c r="A32" s="355"/>
      <c r="B32" s="353"/>
      <c r="C32" s="66" t="s">
        <v>490</v>
      </c>
      <c r="D32" s="28">
        <f t="shared" si="1"/>
        <v>0.44</v>
      </c>
      <c r="E32" s="28">
        <f>ROUND((98.97*12*0.0553),2)</f>
        <v>65.680000000000007</v>
      </c>
    </row>
    <row r="33" spans="1:7" ht="94.5" x14ac:dyDescent="0.25">
      <c r="A33" s="355"/>
      <c r="B33" s="353"/>
      <c r="C33" s="66" t="s">
        <v>491</v>
      </c>
      <c r="D33" s="28">
        <f t="shared" si="1"/>
        <v>0.51</v>
      </c>
      <c r="E33" s="28">
        <f>ROUND((114.88*12*0.0553),2)</f>
        <v>76.23</v>
      </c>
    </row>
    <row r="34" spans="1:7" ht="78.95" customHeight="1" x14ac:dyDescent="0.25">
      <c r="A34" s="356"/>
      <c r="B34" s="354"/>
      <c r="C34" s="66" t="s">
        <v>492</v>
      </c>
      <c r="D34" s="28">
        <f t="shared" si="1"/>
        <v>0.13</v>
      </c>
      <c r="E34" s="28">
        <f>ROUND((29.12*12*0.0553),2)</f>
        <v>19.32</v>
      </c>
    </row>
    <row r="35" spans="1:7" ht="62.25" customHeight="1" x14ac:dyDescent="0.25">
      <c r="A35" s="7">
        <v>1200</v>
      </c>
      <c r="B35" s="166" t="s">
        <v>11</v>
      </c>
      <c r="C35" s="67" t="s">
        <v>482</v>
      </c>
      <c r="D35" s="291">
        <f>ROUND((E35/150+0.01),2)</f>
        <v>0.49</v>
      </c>
      <c r="E35" s="92">
        <f>ROUND((308.31*0.2359),2)</f>
        <v>72.73</v>
      </c>
      <c r="G35" s="51"/>
    </row>
    <row r="36" spans="1:7" ht="15.75" x14ac:dyDescent="0.25">
      <c r="A36" s="8">
        <v>2000</v>
      </c>
      <c r="B36" s="7" t="s">
        <v>12</v>
      </c>
      <c r="C36" s="64"/>
      <c r="D36" s="24">
        <f>SUM(D37:D50)</f>
        <v>43.49</v>
      </c>
      <c r="E36" s="24">
        <f>SUM(E37:E50)</f>
        <v>6521.4499999999989</v>
      </c>
    </row>
    <row r="37" spans="1:7" ht="31.5" x14ac:dyDescent="0.25">
      <c r="A37" s="4">
        <v>2221</v>
      </c>
      <c r="B37" s="112" t="s">
        <v>60</v>
      </c>
      <c r="C37" s="67" t="s">
        <v>476</v>
      </c>
      <c r="D37" s="28">
        <f t="shared" ref="D37:D50" si="2">ROUND((E37/150),2)</f>
        <v>30.58</v>
      </c>
      <c r="E37" s="45">
        <f>ROUND((82944.32*0.0553),2)</f>
        <v>4586.82</v>
      </c>
    </row>
    <row r="38" spans="1:7" ht="31.5" x14ac:dyDescent="0.25">
      <c r="A38" s="4">
        <v>2222</v>
      </c>
      <c r="B38" s="5" t="s">
        <v>61</v>
      </c>
      <c r="C38" s="5" t="s">
        <v>475</v>
      </c>
      <c r="D38" s="28">
        <f t="shared" si="2"/>
        <v>1.55</v>
      </c>
      <c r="E38" s="45">
        <f>ROUND((4203.76*0.0553),2)</f>
        <v>232.47</v>
      </c>
    </row>
    <row r="39" spans="1:7" ht="31.5" x14ac:dyDescent="0.25">
      <c r="A39" s="4">
        <v>2223</v>
      </c>
      <c r="B39" s="5" t="s">
        <v>19</v>
      </c>
      <c r="C39" s="68" t="s">
        <v>474</v>
      </c>
      <c r="D39" s="28">
        <f t="shared" si="2"/>
        <v>2.88</v>
      </c>
      <c r="E39" s="45">
        <f>ROUND((7807.39*0.0553),2)</f>
        <v>431.75</v>
      </c>
    </row>
    <row r="40" spans="1:7" ht="79.5" customHeight="1" x14ac:dyDescent="0.25">
      <c r="A40" s="4">
        <v>2224</v>
      </c>
      <c r="B40" s="33" t="s">
        <v>62</v>
      </c>
      <c r="C40" s="67" t="s">
        <v>470</v>
      </c>
      <c r="D40" s="46">
        <f t="shared" si="2"/>
        <v>0.1</v>
      </c>
      <c r="E40" s="28">
        <f>ROUND((275.91*0.0553),2)</f>
        <v>15.26</v>
      </c>
    </row>
    <row r="41" spans="1:7" ht="31.5" x14ac:dyDescent="0.25">
      <c r="A41" s="4">
        <v>2232</v>
      </c>
      <c r="B41" s="125" t="s">
        <v>45</v>
      </c>
      <c r="C41" s="126" t="s">
        <v>471</v>
      </c>
      <c r="D41" s="28">
        <f>ROUND((E41/150),2)</f>
        <v>0.06</v>
      </c>
      <c r="E41" s="28">
        <f>ROUND((149.11*0.0553),2)</f>
        <v>8.25</v>
      </c>
    </row>
    <row r="42" spans="1:7" ht="31.5" x14ac:dyDescent="0.25">
      <c r="A42" s="4">
        <v>2239</v>
      </c>
      <c r="B42" s="127" t="s">
        <v>20</v>
      </c>
      <c r="C42" s="126" t="s">
        <v>472</v>
      </c>
      <c r="D42" s="28">
        <f t="shared" si="2"/>
        <v>0.02</v>
      </c>
      <c r="E42" s="46">
        <f>ROUND((57*0.0553),2)</f>
        <v>3.15</v>
      </c>
    </row>
    <row r="43" spans="1:7" ht="31.5" x14ac:dyDescent="0.25">
      <c r="A43" s="4">
        <v>2241</v>
      </c>
      <c r="B43" s="112" t="s">
        <v>64</v>
      </c>
      <c r="C43" s="5" t="s">
        <v>473</v>
      </c>
      <c r="D43" s="28">
        <f t="shared" si="2"/>
        <v>0.69</v>
      </c>
      <c r="E43" s="28">
        <f>ROUND((1875.92*0.0553),2)</f>
        <v>103.74</v>
      </c>
    </row>
    <row r="44" spans="1:7" ht="48.75" customHeight="1" x14ac:dyDescent="0.25">
      <c r="A44" s="4">
        <v>2243</v>
      </c>
      <c r="B44" s="67" t="s">
        <v>21</v>
      </c>
      <c r="C44" s="126" t="s">
        <v>469</v>
      </c>
      <c r="D44" s="28">
        <f t="shared" si="2"/>
        <v>0.35</v>
      </c>
      <c r="E44" s="28">
        <f>ROUND((956.5*0.0553),2)</f>
        <v>52.89</v>
      </c>
    </row>
    <row r="45" spans="1:7" ht="45" customHeight="1" x14ac:dyDescent="0.25">
      <c r="A45" s="4">
        <v>2244</v>
      </c>
      <c r="B45" s="67" t="s">
        <v>22</v>
      </c>
      <c r="C45" s="5" t="s">
        <v>460</v>
      </c>
      <c r="D45" s="28">
        <f>ROUND((E45/150),2)</f>
        <v>1.25</v>
      </c>
      <c r="E45" s="45">
        <f>ROUND((3378.56*0.0553),2)</f>
        <v>186.83</v>
      </c>
    </row>
    <row r="46" spans="1:7" ht="32.25" customHeight="1" x14ac:dyDescent="0.25">
      <c r="A46" s="4">
        <v>2249</v>
      </c>
      <c r="B46" s="67" t="s">
        <v>50</v>
      </c>
      <c r="C46" s="67" t="s">
        <v>461</v>
      </c>
      <c r="D46" s="28">
        <f t="shared" si="2"/>
        <v>1.37</v>
      </c>
      <c r="E46" s="45">
        <f>ROUND((3705.93*0.0553),2)</f>
        <v>204.94</v>
      </c>
    </row>
    <row r="47" spans="1:7" ht="32.1" customHeight="1" x14ac:dyDescent="0.25">
      <c r="A47" s="4">
        <v>2312</v>
      </c>
      <c r="B47" s="4" t="s">
        <v>13</v>
      </c>
      <c r="C47" s="67" t="s">
        <v>462</v>
      </c>
      <c r="D47" s="28">
        <f t="shared" si="2"/>
        <v>0.32</v>
      </c>
      <c r="E47" s="45">
        <f>ROUND((856.97*0.0553),2)</f>
        <v>47.39</v>
      </c>
    </row>
    <row r="48" spans="1:7" ht="47.25" customHeight="1" x14ac:dyDescent="0.25">
      <c r="A48" s="4">
        <v>2350</v>
      </c>
      <c r="B48" s="5" t="s">
        <v>236</v>
      </c>
      <c r="C48" s="67" t="s">
        <v>463</v>
      </c>
      <c r="D48" s="46">
        <f t="shared" si="2"/>
        <v>0.63</v>
      </c>
      <c r="E48" s="62">
        <f>ROUND((1711.8*0.0553),2)</f>
        <v>94.66</v>
      </c>
    </row>
    <row r="49" spans="1:10" ht="32.25" customHeight="1" x14ac:dyDescent="0.25">
      <c r="A49" s="4">
        <v>2513</v>
      </c>
      <c r="B49" s="5" t="s">
        <v>63</v>
      </c>
      <c r="C49" s="67" t="s">
        <v>464</v>
      </c>
      <c r="D49" s="46">
        <f t="shared" si="2"/>
        <v>2.98</v>
      </c>
      <c r="E49" s="46">
        <f>ROUND((8084.39*0.0553),2)</f>
        <v>447.07</v>
      </c>
    </row>
    <row r="50" spans="1:10" ht="31.5" customHeight="1" x14ac:dyDescent="0.25">
      <c r="A50" s="4">
        <v>2515</v>
      </c>
      <c r="B50" s="5" t="s">
        <v>49</v>
      </c>
      <c r="C50" s="67" t="s">
        <v>465</v>
      </c>
      <c r="D50" s="46">
        <f t="shared" si="2"/>
        <v>0.71</v>
      </c>
      <c r="E50" s="28">
        <f>ROUND((1920.89*0.0553),2)</f>
        <v>106.23</v>
      </c>
    </row>
    <row r="51" spans="1:10" ht="15.75" x14ac:dyDescent="0.25">
      <c r="A51" s="10">
        <v>5000</v>
      </c>
      <c r="B51" s="166" t="s">
        <v>17</v>
      </c>
      <c r="C51" s="284"/>
      <c r="D51" s="244">
        <f>SUM(D52:D55)</f>
        <v>2.92</v>
      </c>
      <c r="E51" s="244">
        <f>SUM(E52:E55)</f>
        <v>439.28999999999996</v>
      </c>
    </row>
    <row r="52" spans="1:10" ht="33.75" customHeight="1" x14ac:dyDescent="0.25">
      <c r="A52" s="4">
        <v>5212</v>
      </c>
      <c r="B52" s="5" t="s">
        <v>31</v>
      </c>
      <c r="C52" s="67" t="s">
        <v>519</v>
      </c>
      <c r="D52" s="46">
        <f>ROUND((E52/150),2)</f>
        <v>1.4</v>
      </c>
      <c r="E52" s="46">
        <f>ROUND((3809.72*0.0553),2)</f>
        <v>210.68</v>
      </c>
      <c r="G52" s="40"/>
      <c r="H52" s="14"/>
      <c r="J52" s="14"/>
    </row>
    <row r="53" spans="1:10" ht="30" customHeight="1" x14ac:dyDescent="0.25">
      <c r="A53" s="4">
        <v>5213</v>
      </c>
      <c r="B53" s="5" t="s">
        <v>32</v>
      </c>
      <c r="C53" s="67" t="s">
        <v>466</v>
      </c>
      <c r="D53" s="46">
        <f>ROUND((E53/150),2)</f>
        <v>0.09</v>
      </c>
      <c r="E53" s="46">
        <f>ROUND((251.64*0.0553),2)</f>
        <v>13.92</v>
      </c>
    </row>
    <row r="54" spans="1:10" ht="33.75" customHeight="1" x14ac:dyDescent="0.25">
      <c r="A54" s="19">
        <v>5218</v>
      </c>
      <c r="B54" s="67" t="s">
        <v>33</v>
      </c>
      <c r="C54" s="67" t="s">
        <v>467</v>
      </c>
      <c r="D54" s="46">
        <f>ROUND((E54/150),2)</f>
        <v>0.42</v>
      </c>
      <c r="E54" s="46">
        <f>ROUND((1134.21*0.0553),2)</f>
        <v>62.72</v>
      </c>
    </row>
    <row r="55" spans="1:10" ht="46.5" customHeight="1" x14ac:dyDescent="0.25">
      <c r="A55" s="19">
        <v>5239</v>
      </c>
      <c r="B55" s="67" t="s">
        <v>18</v>
      </c>
      <c r="C55" s="67" t="s">
        <v>468</v>
      </c>
      <c r="D55" s="46">
        <f>ROUND((E55/150),2)</f>
        <v>1.01</v>
      </c>
      <c r="E55" s="46">
        <f>ROUND((2748.15*0.0553),2)</f>
        <v>151.97</v>
      </c>
    </row>
    <row r="56" spans="1:10" ht="15.75" x14ac:dyDescent="0.25">
      <c r="A56" s="171"/>
      <c r="B56" s="9" t="s">
        <v>23</v>
      </c>
      <c r="C56" s="64"/>
      <c r="D56" s="26">
        <f>SUM(D23+D36+D51)</f>
        <v>48.95</v>
      </c>
      <c r="E56" s="41">
        <f>SUM(E23+E36+E51)</f>
        <v>7341.7799999999988</v>
      </c>
    </row>
    <row r="57" spans="1:10" ht="31.5" x14ac:dyDescent="0.25">
      <c r="A57" s="172"/>
      <c r="B57" s="11" t="s">
        <v>28</v>
      </c>
      <c r="C57" s="64"/>
      <c r="D57" s="27">
        <f>D21+D56</f>
        <v>64.33</v>
      </c>
      <c r="E57" s="42">
        <f>E21+E56</f>
        <v>9649.8499999999985</v>
      </c>
    </row>
    <row r="58" spans="1:10" ht="15.75" x14ac:dyDescent="0.25">
      <c r="A58" s="172"/>
      <c r="B58" s="13" t="s">
        <v>235</v>
      </c>
      <c r="C58" s="64"/>
      <c r="D58" s="27">
        <f>D57*0.12</f>
        <v>7.7195999999999998</v>
      </c>
      <c r="E58" s="42">
        <f>E57*0.12</f>
        <v>1157.9819999999997</v>
      </c>
    </row>
    <row r="59" spans="1:10" ht="31.5" x14ac:dyDescent="0.25">
      <c r="A59" s="6"/>
      <c r="B59" s="179" t="s">
        <v>30</v>
      </c>
      <c r="C59" s="180"/>
      <c r="D59" s="27">
        <f>D57*1.12</f>
        <v>72.049599999999998</v>
      </c>
      <c r="E59" s="42">
        <f>E57*1.12</f>
        <v>10807.831999999999</v>
      </c>
    </row>
    <row r="60" spans="1:10" ht="18" customHeight="1" x14ac:dyDescent="0.25">
      <c r="A60" s="351" t="s">
        <v>227</v>
      </c>
      <c r="B60" s="351"/>
      <c r="C60" s="351"/>
      <c r="D60" s="8">
        <f>2*75</f>
        <v>150</v>
      </c>
      <c r="E60" s="165" t="s">
        <v>75</v>
      </c>
    </row>
    <row r="61" spans="1:10" ht="30.6" customHeight="1" x14ac:dyDescent="0.25">
      <c r="A61" s="351" t="s">
        <v>359</v>
      </c>
      <c r="B61" s="351"/>
      <c r="C61" s="351"/>
      <c r="D61" s="183">
        <f>ROUND((E59/D60),2)</f>
        <v>72.05</v>
      </c>
      <c r="E61" s="205" t="s">
        <v>401</v>
      </c>
    </row>
    <row r="62" spans="1:10" ht="15.75" x14ac:dyDescent="0.25">
      <c r="A62" s="1"/>
      <c r="B62" s="1"/>
      <c r="C62" s="1"/>
      <c r="F62" s="40"/>
    </row>
    <row r="63" spans="1:10" x14ac:dyDescent="0.25">
      <c r="F63" s="40"/>
    </row>
  </sheetData>
  <mergeCells count="7">
    <mergeCell ref="A61:C61"/>
    <mergeCell ref="A2:C2"/>
    <mergeCell ref="A3:E3"/>
    <mergeCell ref="A4:B4"/>
    <mergeCell ref="A26:A34"/>
    <mergeCell ref="B26:B34"/>
    <mergeCell ref="A60:C60"/>
  </mergeCells>
  <pageMargins left="0.7" right="0.7" top="0.75" bottom="0.75" header="0.3" footer="0.3"/>
  <pageSetup paperSize="9" orientation="landscape" r:id="rId1"/>
  <rowBreaks count="1" manualBreakCount="1">
    <brk id="50" max="16383" man="1"/>
  </rowBreaks>
  <ignoredErrors>
    <ignoredError sqref="D18 D30" formula="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53C38-CA48-4BA1-9BC9-2E8FBCDDD49B}">
  <dimension ref="A1:J61"/>
  <sheetViews>
    <sheetView topLeftCell="A44" zoomScaleNormal="100" workbookViewId="0">
      <selection activeCell="H55" sqref="H55"/>
    </sheetView>
  </sheetViews>
  <sheetFormatPr defaultRowHeight="15" x14ac:dyDescent="0.25"/>
  <cols>
    <col min="1" max="1" width="12.140625" customWidth="1"/>
    <col min="2" max="2" width="27.140625" customWidth="1"/>
    <col min="3" max="3" width="62.5703125" customWidth="1"/>
    <col min="4" max="4" width="9.5703125" customWidth="1"/>
    <col min="5" max="5" width="17.28515625" customWidth="1"/>
    <col min="6" max="6" width="8.7109375" customWidth="1"/>
    <col min="7" max="9" width="7.85546875" bestFit="1" customWidth="1"/>
    <col min="11" max="11" width="5.42578125" customWidth="1"/>
  </cols>
  <sheetData>
    <row r="1" spans="1:5" ht="18.75" x14ac:dyDescent="0.3">
      <c r="A1" s="158" t="s">
        <v>51</v>
      </c>
    </row>
    <row r="2" spans="1:5" ht="18.75" x14ac:dyDescent="0.3">
      <c r="A2" s="358" t="s">
        <v>54</v>
      </c>
      <c r="B2" s="358"/>
      <c r="C2" s="358"/>
    </row>
    <row r="3" spans="1:5" ht="18.75" x14ac:dyDescent="0.25">
      <c r="A3" s="352" t="s">
        <v>184</v>
      </c>
      <c r="B3" s="352"/>
      <c r="C3" s="352"/>
      <c r="D3" s="352"/>
      <c r="E3" s="352"/>
    </row>
    <row r="4" spans="1:5" ht="15.75" x14ac:dyDescent="0.25">
      <c r="A4" s="359" t="s">
        <v>74</v>
      </c>
      <c r="B4" s="359"/>
    </row>
    <row r="6" spans="1:5" ht="77.45" customHeight="1" x14ac:dyDescent="0.25">
      <c r="A6" s="149" t="s">
        <v>0</v>
      </c>
      <c r="B6" s="149" t="s">
        <v>1</v>
      </c>
      <c r="C6" s="149" t="s">
        <v>2</v>
      </c>
      <c r="D6" s="162" t="s">
        <v>26</v>
      </c>
      <c r="E6" s="162" t="s">
        <v>27</v>
      </c>
    </row>
    <row r="7" spans="1:5" x14ac:dyDescent="0.25">
      <c r="A7" s="292">
        <v>1</v>
      </c>
      <c r="B7" s="292">
        <v>2</v>
      </c>
      <c r="C7" s="292">
        <v>3</v>
      </c>
      <c r="D7" s="292">
        <v>4</v>
      </c>
      <c r="E7" s="292">
        <v>5</v>
      </c>
    </row>
    <row r="8" spans="1:5" ht="15.75" x14ac:dyDescent="0.25">
      <c r="A8" s="4"/>
      <c r="B8" s="7" t="s">
        <v>7</v>
      </c>
      <c r="C8" s="64" t="s">
        <v>8</v>
      </c>
      <c r="D8" s="25"/>
      <c r="E8" s="23"/>
    </row>
    <row r="9" spans="1:5" ht="15.75" x14ac:dyDescent="0.25">
      <c r="A9" s="8">
        <v>1000</v>
      </c>
      <c r="B9" s="7" t="s">
        <v>9</v>
      </c>
      <c r="C9" s="284"/>
      <c r="D9" s="26">
        <f>D10+D18</f>
        <v>8.6</v>
      </c>
      <c r="E9" s="44">
        <f>E10+E18</f>
        <v>1377.3300000000002</v>
      </c>
    </row>
    <row r="10" spans="1:5" ht="15.75" x14ac:dyDescent="0.25">
      <c r="A10" s="280">
        <v>1100</v>
      </c>
      <c r="B10" s="280" t="s">
        <v>10</v>
      </c>
      <c r="C10" s="284"/>
      <c r="D10" s="26">
        <f>SUM(D12:D17)</f>
        <v>6.71</v>
      </c>
      <c r="E10" s="295">
        <f>SUM(E12:E17)</f>
        <v>1074.9000000000001</v>
      </c>
    </row>
    <row r="11" spans="1:5" ht="15.75" x14ac:dyDescent="0.25">
      <c r="A11" s="16">
        <v>1110</v>
      </c>
      <c r="B11" s="16" t="s">
        <v>240</v>
      </c>
      <c r="C11" s="147" t="s">
        <v>241</v>
      </c>
      <c r="D11" s="62">
        <f>SUM(D12:D16)</f>
        <v>6.1</v>
      </c>
      <c r="E11" s="62">
        <f>SUM(E12:E16)</f>
        <v>977.18000000000006</v>
      </c>
    </row>
    <row r="12" spans="1:5" ht="79.5" customHeight="1" x14ac:dyDescent="0.25">
      <c r="A12" s="248"/>
      <c r="B12" s="142"/>
      <c r="C12" s="152" t="s">
        <v>704</v>
      </c>
      <c r="D12" s="62">
        <f>ROUND((E12/160),2)</f>
        <v>1.2</v>
      </c>
      <c r="E12" s="114">
        <f>ROUND((486.2*12*0.033),2)</f>
        <v>192.54</v>
      </c>
    </row>
    <row r="13" spans="1:5" ht="78.599999999999994" customHeight="1" x14ac:dyDescent="0.25">
      <c r="A13" s="249"/>
      <c r="B13" s="250"/>
      <c r="C13" s="152" t="s">
        <v>703</v>
      </c>
      <c r="D13" s="62">
        <f t="shared" ref="D13:D19" si="0">ROUND((E13/160),2)</f>
        <v>1.52</v>
      </c>
      <c r="E13" s="114">
        <f>ROUND((613.42*12*0.033),2)</f>
        <v>242.91</v>
      </c>
    </row>
    <row r="14" spans="1:5" ht="78.75" x14ac:dyDescent="0.25">
      <c r="A14" s="137"/>
      <c r="B14" s="140"/>
      <c r="C14" s="152" t="s">
        <v>702</v>
      </c>
      <c r="D14" s="62">
        <f t="shared" si="0"/>
        <v>1.42</v>
      </c>
      <c r="E14" s="114">
        <f>ROUND((574.48*12*0.033),2)</f>
        <v>227.49</v>
      </c>
    </row>
    <row r="15" spans="1:5" ht="78.599999999999994" customHeight="1" x14ac:dyDescent="0.25">
      <c r="A15" s="137"/>
      <c r="B15" s="140"/>
      <c r="C15" s="152" t="s">
        <v>701</v>
      </c>
      <c r="D15" s="62">
        <f t="shared" si="0"/>
        <v>1.28</v>
      </c>
      <c r="E15" s="114">
        <f>ROUND((516.85*12*0.033),2)</f>
        <v>204.67</v>
      </c>
    </row>
    <row r="16" spans="1:5" ht="78.75" x14ac:dyDescent="0.25">
      <c r="A16" s="138"/>
      <c r="B16" s="141"/>
      <c r="C16" s="152" t="s">
        <v>1555</v>
      </c>
      <c r="D16" s="62">
        <f t="shared" si="0"/>
        <v>0.68</v>
      </c>
      <c r="E16" s="114">
        <f>ROUND((276.7*12*0.033),2)</f>
        <v>109.57</v>
      </c>
    </row>
    <row r="17" spans="1:10" ht="94.5" x14ac:dyDescent="0.25">
      <c r="A17" s="131">
        <v>1140</v>
      </c>
      <c r="B17" s="5" t="s">
        <v>237</v>
      </c>
      <c r="C17" s="152" t="s">
        <v>1405</v>
      </c>
      <c r="D17" s="62">
        <f t="shared" si="0"/>
        <v>0.61</v>
      </c>
      <c r="E17" s="114">
        <f>ROUND((192.54*0.1+242.91*0.1+227.49*0.1+204.67*0.1+109.57*0.1),2)</f>
        <v>97.72</v>
      </c>
    </row>
    <row r="18" spans="1:10" ht="63.75" customHeight="1" x14ac:dyDescent="0.25">
      <c r="A18" s="7">
        <v>1200</v>
      </c>
      <c r="B18" s="290" t="s">
        <v>11</v>
      </c>
      <c r="C18" s="176" t="s">
        <v>1569</v>
      </c>
      <c r="D18" s="88">
        <f>ROUND((D19+D20),2)</f>
        <v>1.89</v>
      </c>
      <c r="E18" s="92">
        <f>ROUND((E19+E20),2)</f>
        <v>302.43</v>
      </c>
    </row>
    <row r="19" spans="1:10" ht="47.25" x14ac:dyDescent="0.25">
      <c r="A19" s="4">
        <v>1210</v>
      </c>
      <c r="B19" s="5" t="s">
        <v>239</v>
      </c>
      <c r="C19" s="176" t="s">
        <v>493</v>
      </c>
      <c r="D19" s="62">
        <f t="shared" si="0"/>
        <v>1.58</v>
      </c>
      <c r="E19" s="45">
        <f>ROUND((1074.9*0.2359),2)</f>
        <v>253.57</v>
      </c>
    </row>
    <row r="20" spans="1:10" ht="94.5" x14ac:dyDescent="0.25">
      <c r="A20" s="4">
        <v>1227</v>
      </c>
      <c r="B20" s="5" t="s">
        <v>238</v>
      </c>
      <c r="C20" s="152" t="s">
        <v>1554</v>
      </c>
      <c r="D20" s="62">
        <f t="shared" ref="D20" si="1">ROUND((E20/160),2)</f>
        <v>0.31</v>
      </c>
      <c r="E20" s="114">
        <f>ROUND((192.54*0.05+242.91*0.05+227.49*0.05+204.67*0.05+109.57*0.05),2)</f>
        <v>48.86</v>
      </c>
      <c r="F20" s="177"/>
      <c r="G20" s="177"/>
      <c r="H20" s="177"/>
      <c r="I20" s="177"/>
      <c r="J20" s="177"/>
    </row>
    <row r="21" spans="1:10" ht="15.75" x14ac:dyDescent="0.25">
      <c r="A21" s="4"/>
      <c r="B21" s="9" t="s">
        <v>14</v>
      </c>
      <c r="C21" s="65" t="s">
        <v>16</v>
      </c>
      <c r="D21" s="26">
        <f>D9</f>
        <v>8.6</v>
      </c>
      <c r="E21" s="44">
        <f>E9</f>
        <v>1377.3300000000002</v>
      </c>
    </row>
    <row r="22" spans="1:10" ht="15.75" x14ac:dyDescent="0.25">
      <c r="A22" s="4"/>
      <c r="B22" s="9" t="s">
        <v>15</v>
      </c>
      <c r="C22" s="64" t="s">
        <v>8</v>
      </c>
      <c r="D22" s="23"/>
      <c r="E22" s="43"/>
    </row>
    <row r="23" spans="1:10" ht="15.75" x14ac:dyDescent="0.25">
      <c r="A23" s="8">
        <v>1000</v>
      </c>
      <c r="B23" s="7" t="s">
        <v>9</v>
      </c>
      <c r="C23" s="64"/>
      <c r="D23" s="88">
        <f>SUM(D24+D35)</f>
        <v>1.4200000000000002</v>
      </c>
      <c r="E23" s="88">
        <f>SUM(E24+E35)</f>
        <v>229.59</v>
      </c>
    </row>
    <row r="24" spans="1:10" ht="15.75" x14ac:dyDescent="0.25">
      <c r="A24" s="4">
        <v>1100</v>
      </c>
      <c r="B24" s="4" t="s">
        <v>10</v>
      </c>
      <c r="C24" s="147" t="s">
        <v>267</v>
      </c>
      <c r="D24" s="88">
        <f>SUM(D25:D34)</f>
        <v>1.1500000000000001</v>
      </c>
      <c r="E24" s="88">
        <f>SUM(E25:E34)</f>
        <v>185.77</v>
      </c>
    </row>
    <row r="25" spans="1:10" ht="80.25" customHeight="1" x14ac:dyDescent="0.25">
      <c r="A25" s="237"/>
      <c r="B25" s="238"/>
      <c r="C25" s="152" t="s">
        <v>520</v>
      </c>
      <c r="D25" s="28">
        <f>ROUND((E25/160+0.01),2)</f>
        <v>0.04</v>
      </c>
      <c r="E25" s="46">
        <f>ROUND((14.05*12*0.033),2)</f>
        <v>5.56</v>
      </c>
    </row>
    <row r="26" spans="1:10" ht="78.75" x14ac:dyDescent="0.25">
      <c r="A26" s="355"/>
      <c r="B26" s="353"/>
      <c r="C26" s="152" t="s">
        <v>521</v>
      </c>
      <c r="D26" s="28">
        <f t="shared" ref="D26:D35" si="2">ROUND((E26/160),2)</f>
        <v>0.02</v>
      </c>
      <c r="E26" s="46">
        <f>ROUND((9.32*12*0.033),2)</f>
        <v>3.69</v>
      </c>
    </row>
    <row r="27" spans="1:10" ht="78.599999999999994" customHeight="1" x14ac:dyDescent="0.25">
      <c r="A27" s="355"/>
      <c r="B27" s="353"/>
      <c r="C27" s="152" t="s">
        <v>522</v>
      </c>
      <c r="D27" s="28">
        <f t="shared" si="2"/>
        <v>0.03</v>
      </c>
      <c r="E27" s="28">
        <f>ROUND((13.46*12*0.033),2)</f>
        <v>5.33</v>
      </c>
    </row>
    <row r="28" spans="1:10" ht="77.25" customHeight="1" x14ac:dyDescent="0.25">
      <c r="A28" s="355"/>
      <c r="B28" s="353"/>
      <c r="C28" s="152" t="s">
        <v>523</v>
      </c>
      <c r="D28" s="28">
        <f t="shared" si="2"/>
        <v>0.06</v>
      </c>
      <c r="E28" s="28">
        <f>ROUND((23.15*12*0.033),2)</f>
        <v>9.17</v>
      </c>
    </row>
    <row r="29" spans="1:10" ht="78.75" customHeight="1" x14ac:dyDescent="0.25">
      <c r="A29" s="355"/>
      <c r="B29" s="353"/>
      <c r="C29" s="152" t="s">
        <v>494</v>
      </c>
      <c r="D29" s="28">
        <f t="shared" si="2"/>
        <v>0.03</v>
      </c>
      <c r="E29" s="28">
        <f>ROUND((13.16*12*0.033),2)</f>
        <v>5.21</v>
      </c>
    </row>
    <row r="30" spans="1:10" ht="78.75" x14ac:dyDescent="0.25">
      <c r="A30" s="355"/>
      <c r="B30" s="353"/>
      <c r="C30" s="66" t="s">
        <v>495</v>
      </c>
      <c r="D30" s="28">
        <f t="shared" si="2"/>
        <v>0.19</v>
      </c>
      <c r="E30" s="28">
        <f>ROUND((75.79*12*0.033),2)</f>
        <v>30.01</v>
      </c>
    </row>
    <row r="31" spans="1:10" ht="78.75" x14ac:dyDescent="0.25">
      <c r="A31" s="355"/>
      <c r="B31" s="353"/>
      <c r="C31" s="66" t="s">
        <v>524</v>
      </c>
      <c r="D31" s="28">
        <f t="shared" si="2"/>
        <v>0.19</v>
      </c>
      <c r="E31" s="28">
        <f>ROUND((77.25*12*0.033),2)</f>
        <v>30.59</v>
      </c>
    </row>
    <row r="32" spans="1:10" ht="78.75" x14ac:dyDescent="0.25">
      <c r="A32" s="355"/>
      <c r="B32" s="353"/>
      <c r="C32" s="66" t="s">
        <v>496</v>
      </c>
      <c r="D32" s="164">
        <f>ROUND((E32/160),2)</f>
        <v>0.24</v>
      </c>
      <c r="E32" s="28">
        <f>ROUND((98.97*12*0.033),2)</f>
        <v>39.19</v>
      </c>
    </row>
    <row r="33" spans="1:5" ht="94.5" x14ac:dyDescent="0.25">
      <c r="A33" s="355"/>
      <c r="B33" s="353"/>
      <c r="C33" s="66" t="s">
        <v>497</v>
      </c>
      <c r="D33" s="28">
        <f t="shared" si="2"/>
        <v>0.28000000000000003</v>
      </c>
      <c r="E33" s="28">
        <f>ROUND((114.88*12*0.033),2)</f>
        <v>45.49</v>
      </c>
    </row>
    <row r="34" spans="1:5" ht="78.75" x14ac:dyDescent="0.25">
      <c r="A34" s="356"/>
      <c r="B34" s="354"/>
      <c r="C34" s="66" t="s">
        <v>498</v>
      </c>
      <c r="D34" s="28">
        <f t="shared" si="2"/>
        <v>7.0000000000000007E-2</v>
      </c>
      <c r="E34" s="28">
        <f>ROUND((29.12*12*0.033),2)</f>
        <v>11.53</v>
      </c>
    </row>
    <row r="35" spans="1:5" ht="63" x14ac:dyDescent="0.25">
      <c r="A35" s="7">
        <v>1200</v>
      </c>
      <c r="B35" s="166" t="s">
        <v>11</v>
      </c>
      <c r="C35" s="67" t="s">
        <v>1533</v>
      </c>
      <c r="D35" s="291">
        <f t="shared" si="2"/>
        <v>0.27</v>
      </c>
      <c r="E35" s="92">
        <f>ROUND((185.77*0.2359),2)</f>
        <v>43.82</v>
      </c>
    </row>
    <row r="36" spans="1:5" ht="15.75" x14ac:dyDescent="0.25">
      <c r="A36" s="8">
        <v>2000</v>
      </c>
      <c r="B36" s="7" t="s">
        <v>12</v>
      </c>
      <c r="C36" s="64"/>
      <c r="D36" s="44">
        <f>SUM(D37:D50)</f>
        <v>24.340000000000003</v>
      </c>
      <c r="E36" s="44">
        <f>SUM(E37:E50)</f>
        <v>3891.6299999999997</v>
      </c>
    </row>
    <row r="37" spans="1:5" ht="31.5" x14ac:dyDescent="0.25">
      <c r="A37" s="4">
        <v>2221</v>
      </c>
      <c r="B37" s="112" t="s">
        <v>60</v>
      </c>
      <c r="C37" s="5" t="s">
        <v>499</v>
      </c>
      <c r="D37" s="28">
        <f t="shared" ref="D37:D43" si="3">ROUND((E37/160),2)</f>
        <v>17.11</v>
      </c>
      <c r="E37" s="45">
        <f>ROUND((82944.32*0.033),2)</f>
        <v>2737.16</v>
      </c>
    </row>
    <row r="38" spans="1:5" ht="31.5" x14ac:dyDescent="0.25">
      <c r="A38" s="4">
        <v>2222</v>
      </c>
      <c r="B38" s="5" t="s">
        <v>61</v>
      </c>
      <c r="C38" s="5" t="s">
        <v>500</v>
      </c>
      <c r="D38" s="284">
        <f t="shared" si="3"/>
        <v>0.87</v>
      </c>
      <c r="E38" s="345">
        <f>ROUND((4203.76*0.033),2)</f>
        <v>138.72</v>
      </c>
    </row>
    <row r="39" spans="1:5" ht="31.5" x14ac:dyDescent="0.25">
      <c r="A39" s="4">
        <v>2223</v>
      </c>
      <c r="B39" s="5" t="s">
        <v>19</v>
      </c>
      <c r="C39" s="5" t="s">
        <v>501</v>
      </c>
      <c r="D39" s="284">
        <f t="shared" si="3"/>
        <v>1.61</v>
      </c>
      <c r="E39" s="345">
        <f>ROUND((7807.39*0.033),2)</f>
        <v>257.64</v>
      </c>
    </row>
    <row r="40" spans="1:5" ht="78" customHeight="1" x14ac:dyDescent="0.25">
      <c r="A40" s="19">
        <v>2224</v>
      </c>
      <c r="B40" s="176" t="s">
        <v>62</v>
      </c>
      <c r="C40" s="176" t="s">
        <v>502</v>
      </c>
      <c r="D40" s="284">
        <f t="shared" si="3"/>
        <v>0.06</v>
      </c>
      <c r="E40" s="284">
        <f>ROUND((275.91*0.033),2)</f>
        <v>9.11</v>
      </c>
    </row>
    <row r="41" spans="1:5" ht="31.5" x14ac:dyDescent="0.25">
      <c r="A41" s="4">
        <v>2232</v>
      </c>
      <c r="B41" s="125" t="s">
        <v>45</v>
      </c>
      <c r="C41" s="90" t="s">
        <v>505</v>
      </c>
      <c r="D41" s="284">
        <f t="shared" si="3"/>
        <v>0.03</v>
      </c>
      <c r="E41" s="284">
        <f>ROUND((149.11*0.033),2)</f>
        <v>4.92</v>
      </c>
    </row>
    <row r="42" spans="1:5" ht="31.5" x14ac:dyDescent="0.25">
      <c r="A42" s="4">
        <v>2239</v>
      </c>
      <c r="B42" s="58" t="s">
        <v>20</v>
      </c>
      <c r="C42" s="90" t="s">
        <v>504</v>
      </c>
      <c r="D42" s="284">
        <f t="shared" si="3"/>
        <v>0.01</v>
      </c>
      <c r="E42" s="349">
        <f>ROUND((57*0.033),2)</f>
        <v>1.88</v>
      </c>
    </row>
    <row r="43" spans="1:5" ht="33" customHeight="1" x14ac:dyDescent="0.25">
      <c r="A43" s="4">
        <v>2241</v>
      </c>
      <c r="B43" s="90" t="s">
        <v>64</v>
      </c>
      <c r="C43" s="90" t="s">
        <v>503</v>
      </c>
      <c r="D43" s="28">
        <f t="shared" si="3"/>
        <v>0.39</v>
      </c>
      <c r="E43" s="28">
        <f>ROUND((1875.92*0.033),2)</f>
        <v>61.91</v>
      </c>
    </row>
    <row r="44" spans="1:5" ht="48" customHeight="1" x14ac:dyDescent="0.25">
      <c r="A44" s="4">
        <v>2243</v>
      </c>
      <c r="B44" s="90" t="s">
        <v>21</v>
      </c>
      <c r="C44" s="90" t="s">
        <v>506</v>
      </c>
      <c r="D44" s="46">
        <f t="shared" ref="D44:D47" si="4">ROUND((E44/160),2)</f>
        <v>0.2</v>
      </c>
      <c r="E44" s="28">
        <f>ROUND((956.5*0.033),2)</f>
        <v>31.56</v>
      </c>
    </row>
    <row r="45" spans="1:5" ht="46.5" customHeight="1" x14ac:dyDescent="0.25">
      <c r="A45" s="4">
        <v>2244</v>
      </c>
      <c r="B45" s="67" t="s">
        <v>22</v>
      </c>
      <c r="C45" s="67" t="s">
        <v>507</v>
      </c>
      <c r="D45" s="46">
        <f t="shared" si="4"/>
        <v>0.7</v>
      </c>
      <c r="E45" s="45">
        <f>ROUND((3378.56*0.033),2)</f>
        <v>111.49</v>
      </c>
    </row>
    <row r="46" spans="1:5" ht="32.25" customHeight="1" x14ac:dyDescent="0.25">
      <c r="A46" s="4">
        <v>2249</v>
      </c>
      <c r="B46" s="67" t="s">
        <v>50</v>
      </c>
      <c r="C46" s="67" t="s">
        <v>508</v>
      </c>
      <c r="D46" s="28">
        <f t="shared" si="4"/>
        <v>0.76</v>
      </c>
      <c r="E46" s="45">
        <f>ROUND((3705.93*0.033),2)</f>
        <v>122.3</v>
      </c>
    </row>
    <row r="47" spans="1:5" ht="31.5" customHeight="1" x14ac:dyDescent="0.25">
      <c r="A47" s="4">
        <v>2312</v>
      </c>
      <c r="B47" s="4" t="s">
        <v>13</v>
      </c>
      <c r="C47" s="67" t="s">
        <v>509</v>
      </c>
      <c r="D47" s="28">
        <f t="shared" si="4"/>
        <v>0.18</v>
      </c>
      <c r="E47" s="45">
        <f>ROUND((856.97*0.033),2)</f>
        <v>28.28</v>
      </c>
    </row>
    <row r="48" spans="1:5" ht="46.5" customHeight="1" x14ac:dyDescent="0.25">
      <c r="A48" s="4">
        <v>2350</v>
      </c>
      <c r="B48" s="5" t="s">
        <v>236</v>
      </c>
      <c r="C48" s="67" t="s">
        <v>510</v>
      </c>
      <c r="D48" s="46">
        <f t="shared" ref="D48:D50" si="5">ROUND((E48/160),2)</f>
        <v>0.35</v>
      </c>
      <c r="E48" s="62">
        <f>ROUND((1711.8*0.033),2)</f>
        <v>56.49</v>
      </c>
    </row>
    <row r="49" spans="1:6" ht="31.5" x14ac:dyDescent="0.25">
      <c r="A49" s="4">
        <v>2513</v>
      </c>
      <c r="B49" s="5" t="s">
        <v>63</v>
      </c>
      <c r="C49" s="67" t="s">
        <v>511</v>
      </c>
      <c r="D49" s="46">
        <f t="shared" si="5"/>
        <v>1.67</v>
      </c>
      <c r="E49" s="46">
        <f>ROUND((8084.39*0.033),2)</f>
        <v>266.77999999999997</v>
      </c>
    </row>
    <row r="50" spans="1:6" ht="31.5" x14ac:dyDescent="0.25">
      <c r="A50" s="4">
        <v>2515</v>
      </c>
      <c r="B50" s="5" t="s">
        <v>49</v>
      </c>
      <c r="C50" s="67" t="s">
        <v>512</v>
      </c>
      <c r="D50" s="46">
        <f t="shared" si="5"/>
        <v>0.4</v>
      </c>
      <c r="E50" s="28">
        <f>ROUND((1920.89*0.033),2)</f>
        <v>63.39</v>
      </c>
    </row>
    <row r="51" spans="1:6" ht="15.75" x14ac:dyDescent="0.25">
      <c r="A51" s="10">
        <v>5000</v>
      </c>
      <c r="B51" s="9" t="s">
        <v>17</v>
      </c>
      <c r="C51" s="64"/>
      <c r="D51" s="26">
        <f>SUM(D52:D54)</f>
        <v>0.85</v>
      </c>
      <c r="E51" s="26">
        <f>SUM(E52:E54)</f>
        <v>136.42000000000002</v>
      </c>
    </row>
    <row r="52" spans="1:6" ht="30.75" customHeight="1" x14ac:dyDescent="0.25">
      <c r="A52" s="4">
        <v>5213</v>
      </c>
      <c r="B52" s="5" t="s">
        <v>32</v>
      </c>
      <c r="C52" s="67" t="s">
        <v>513</v>
      </c>
      <c r="D52" s="46">
        <f>ROUND((E52/160),2)</f>
        <v>0.05</v>
      </c>
      <c r="E52" s="46">
        <f>ROUND((251.64*0.033),2)</f>
        <v>8.3000000000000007</v>
      </c>
    </row>
    <row r="53" spans="1:6" ht="30.75" customHeight="1" x14ac:dyDescent="0.25">
      <c r="A53" s="19">
        <v>5218</v>
      </c>
      <c r="B53" s="67" t="s">
        <v>33</v>
      </c>
      <c r="C53" s="67" t="s">
        <v>514</v>
      </c>
      <c r="D53" s="46">
        <f>ROUND((E53/160),2)</f>
        <v>0.23</v>
      </c>
      <c r="E53" s="46">
        <f>ROUND((1134.21*0.033),2)</f>
        <v>37.43</v>
      </c>
    </row>
    <row r="54" spans="1:6" ht="45.75" customHeight="1" x14ac:dyDescent="0.25">
      <c r="A54" s="19">
        <v>5239</v>
      </c>
      <c r="B54" s="67" t="s">
        <v>18</v>
      </c>
      <c r="C54" s="67" t="s">
        <v>515</v>
      </c>
      <c r="D54" s="46">
        <f>ROUND((E54/160),2)</f>
        <v>0.56999999999999995</v>
      </c>
      <c r="E54" s="46">
        <f>ROUND((2748.15*0.033),2)</f>
        <v>90.69</v>
      </c>
    </row>
    <row r="55" spans="1:6" ht="15.75" x14ac:dyDescent="0.25">
      <c r="A55" s="171"/>
      <c r="B55" s="9" t="s">
        <v>23</v>
      </c>
      <c r="C55" s="64"/>
      <c r="D55" s="26">
        <f>SUM(D23+D36+D51)</f>
        <v>26.610000000000007</v>
      </c>
      <c r="E55" s="41">
        <f>SUM(E23+E36+E51)</f>
        <v>4257.6399999999994</v>
      </c>
    </row>
    <row r="56" spans="1:6" ht="30.95" customHeight="1" x14ac:dyDescent="0.25">
      <c r="A56" s="172"/>
      <c r="B56" s="11" t="s">
        <v>28</v>
      </c>
      <c r="C56" s="64"/>
      <c r="D56" s="27">
        <f>D21+D55</f>
        <v>35.210000000000008</v>
      </c>
      <c r="E56" s="42">
        <f>E21+E55</f>
        <v>5634.9699999999993</v>
      </c>
    </row>
    <row r="57" spans="1:6" ht="15.75" x14ac:dyDescent="0.25">
      <c r="A57" s="172"/>
      <c r="B57" s="13" t="s">
        <v>235</v>
      </c>
      <c r="C57" s="64"/>
      <c r="D57" s="321">
        <f>D56*0.12</f>
        <v>4.225200000000001</v>
      </c>
      <c r="E57" s="322">
        <f>E56*0.12</f>
        <v>676.19639999999993</v>
      </c>
      <c r="F57" s="323"/>
    </row>
    <row r="58" spans="1:6" ht="32.450000000000003" customHeight="1" x14ac:dyDescent="0.25">
      <c r="A58" s="6"/>
      <c r="B58" s="261" t="s">
        <v>30</v>
      </c>
      <c r="C58" s="180"/>
      <c r="D58" s="27">
        <f>D56*1.12</f>
        <v>39.435200000000016</v>
      </c>
      <c r="E58" s="42">
        <f>E56*1.12</f>
        <v>6311.1664000000001</v>
      </c>
    </row>
    <row r="59" spans="1:6" ht="18.75" customHeight="1" x14ac:dyDescent="0.25">
      <c r="A59" s="351" t="s">
        <v>201</v>
      </c>
      <c r="B59" s="351"/>
      <c r="C59" s="351"/>
      <c r="D59" s="8">
        <f>2*80</f>
        <v>160</v>
      </c>
      <c r="E59" s="165" t="s">
        <v>75</v>
      </c>
    </row>
    <row r="60" spans="1:6" ht="30.6" customHeight="1" x14ac:dyDescent="0.25">
      <c r="A60" s="351" t="s">
        <v>359</v>
      </c>
      <c r="B60" s="351"/>
      <c r="C60" s="351"/>
      <c r="D60" s="183">
        <f>ROUND((E58/D59),2)</f>
        <v>39.44</v>
      </c>
      <c r="E60" s="205" t="s">
        <v>401</v>
      </c>
    </row>
    <row r="61" spans="1:6" ht="15.75" x14ac:dyDescent="0.25">
      <c r="A61" s="1"/>
      <c r="B61" s="1"/>
      <c r="C61" s="1"/>
      <c r="D61" s="52"/>
      <c r="E61" s="52"/>
    </row>
  </sheetData>
  <mergeCells count="7">
    <mergeCell ref="A60:C60"/>
    <mergeCell ref="A2:C2"/>
    <mergeCell ref="A3:E3"/>
    <mergeCell ref="A4:B4"/>
    <mergeCell ref="A26:A34"/>
    <mergeCell ref="B26:B34"/>
    <mergeCell ref="A59:C59"/>
  </mergeCells>
  <pageMargins left="0.7" right="0.7" top="0.75" bottom="0.75" header="0.3" footer="0.3"/>
  <pageSetup paperSize="9" orientation="landscape" r:id="rId1"/>
  <rowBreaks count="2" manualBreakCount="2">
    <brk id="21" max="16383" man="1"/>
    <brk id="48" max="4"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BE5CF-9887-4F8D-8E27-10F99E4A3520}">
  <dimension ref="B1:K61"/>
  <sheetViews>
    <sheetView topLeftCell="B46" zoomScaleNormal="100" workbookViewId="0">
      <selection activeCell="K58" sqref="K58"/>
    </sheetView>
  </sheetViews>
  <sheetFormatPr defaultRowHeight="15" x14ac:dyDescent="0.25"/>
  <cols>
    <col min="1" max="1" width="2.85546875" customWidth="1"/>
    <col min="2" max="2" width="12.140625" customWidth="1"/>
    <col min="3" max="3" width="27.28515625" customWidth="1"/>
    <col min="4" max="4" width="61.7109375" customWidth="1"/>
    <col min="5" max="5" width="9.42578125" customWidth="1"/>
    <col min="6" max="6" width="17.5703125" customWidth="1"/>
    <col min="7" max="7" width="8.85546875" bestFit="1" customWidth="1"/>
    <col min="8" max="10" width="5.85546875" bestFit="1" customWidth="1"/>
    <col min="11" max="11" width="6.85546875" bestFit="1" customWidth="1"/>
  </cols>
  <sheetData>
    <row r="1" spans="2:11" ht="18.75" x14ac:dyDescent="0.3">
      <c r="B1" s="158" t="s">
        <v>51</v>
      </c>
    </row>
    <row r="2" spans="2:11" ht="18.75" x14ac:dyDescent="0.3">
      <c r="B2" s="358" t="s">
        <v>54</v>
      </c>
      <c r="C2" s="358"/>
      <c r="D2" s="358"/>
    </row>
    <row r="3" spans="2:11" ht="18.75" x14ac:dyDescent="0.25">
      <c r="B3" s="352" t="s">
        <v>185</v>
      </c>
      <c r="C3" s="352"/>
      <c r="D3" s="352"/>
      <c r="E3" s="352"/>
      <c r="F3" s="352"/>
    </row>
    <row r="4" spans="2:11" ht="15.75" x14ac:dyDescent="0.25">
      <c r="B4" s="359" t="s">
        <v>74</v>
      </c>
      <c r="C4" s="359"/>
    </row>
    <row r="6" spans="2:11" ht="78.75" x14ac:dyDescent="0.25">
      <c r="B6" s="149" t="s">
        <v>0</v>
      </c>
      <c r="C6" s="149" t="s">
        <v>1</v>
      </c>
      <c r="D6" s="149" t="s">
        <v>2</v>
      </c>
      <c r="E6" s="162" t="s">
        <v>26</v>
      </c>
      <c r="F6" s="53" t="s">
        <v>27</v>
      </c>
    </row>
    <row r="7" spans="2:11" ht="15.75" x14ac:dyDescent="0.25">
      <c r="B7" s="64">
        <v>1</v>
      </c>
      <c r="C7" s="64">
        <v>2</v>
      </c>
      <c r="D7" s="64">
        <v>3</v>
      </c>
      <c r="E7" s="28">
        <v>4</v>
      </c>
      <c r="F7" s="28">
        <v>5</v>
      </c>
    </row>
    <row r="8" spans="2:11" ht="15.75" x14ac:dyDescent="0.25">
      <c r="B8" s="4"/>
      <c r="C8" s="7" t="s">
        <v>7</v>
      </c>
      <c r="D8" s="64" t="s">
        <v>8</v>
      </c>
      <c r="E8" s="25"/>
      <c r="F8" s="23"/>
    </row>
    <row r="9" spans="2:11" ht="15.75" x14ac:dyDescent="0.25">
      <c r="B9" s="8">
        <v>1000</v>
      </c>
      <c r="C9" s="7" t="s">
        <v>9</v>
      </c>
      <c r="D9" s="284"/>
      <c r="E9" s="26">
        <f>E10+E18</f>
        <v>8.56</v>
      </c>
      <c r="F9" s="26">
        <f>F10+F18</f>
        <v>684.5</v>
      </c>
    </row>
    <row r="10" spans="2:11" ht="15.75" x14ac:dyDescent="0.25">
      <c r="B10" s="280">
        <v>1100</v>
      </c>
      <c r="C10" s="280" t="s">
        <v>10</v>
      </c>
      <c r="D10" s="284"/>
      <c r="E10" s="26">
        <f>SUM(E12:E17)</f>
        <v>6.6800000000000006</v>
      </c>
      <c r="F10" s="26">
        <f>SUM(F12:F17)</f>
        <v>534.20000000000005</v>
      </c>
    </row>
    <row r="11" spans="2:11" ht="15.75" x14ac:dyDescent="0.25">
      <c r="B11" s="16">
        <v>1110</v>
      </c>
      <c r="C11" s="16" t="s">
        <v>240</v>
      </c>
      <c r="D11" s="147" t="s">
        <v>241</v>
      </c>
      <c r="E11" s="62">
        <f>SUM(E12:E16)</f>
        <v>6.07</v>
      </c>
      <c r="F11" s="62">
        <f>SUM(F12:F16)</f>
        <v>485.63000000000005</v>
      </c>
    </row>
    <row r="12" spans="2:11" ht="78.75" customHeight="1" x14ac:dyDescent="0.25">
      <c r="B12" s="136"/>
      <c r="C12" s="139"/>
      <c r="D12" s="152" t="s">
        <v>700</v>
      </c>
      <c r="E12" s="114">
        <f>ROUND((F12/80),2)</f>
        <v>1.2</v>
      </c>
      <c r="F12" s="114">
        <f>ROUND((486.2*12*0.0164),2)</f>
        <v>95.68</v>
      </c>
      <c r="K12" s="87"/>
    </row>
    <row r="13" spans="2:11" ht="78.75" x14ac:dyDescent="0.25">
      <c r="B13" s="153"/>
      <c r="C13" s="154"/>
      <c r="D13" s="152" t="s">
        <v>697</v>
      </c>
      <c r="E13" s="114">
        <f t="shared" ref="E13:E20" si="0">ROUND((F13/80),2)</f>
        <v>1.51</v>
      </c>
      <c r="F13" s="114">
        <f>ROUND((613.42*12*0.0164),2)</f>
        <v>120.72</v>
      </c>
      <c r="K13" s="87"/>
    </row>
    <row r="14" spans="2:11" ht="78.75" x14ac:dyDescent="0.25">
      <c r="B14" s="137"/>
      <c r="C14" s="140"/>
      <c r="D14" s="152" t="s">
        <v>698</v>
      </c>
      <c r="E14" s="114">
        <f t="shared" si="0"/>
        <v>1.41</v>
      </c>
      <c r="F14" s="114">
        <f>ROUND((574.48*12*0.0164),2)</f>
        <v>113.06</v>
      </c>
      <c r="K14" s="87"/>
    </row>
    <row r="15" spans="2:11" ht="78.75" x14ac:dyDescent="0.25">
      <c r="B15" s="137"/>
      <c r="C15" s="140"/>
      <c r="D15" s="152" t="s">
        <v>699</v>
      </c>
      <c r="E15" s="114">
        <f t="shared" si="0"/>
        <v>1.27</v>
      </c>
      <c r="F15" s="114">
        <f>ROUND((516.85*12*0.0164),2)</f>
        <v>101.72</v>
      </c>
      <c r="K15" s="87"/>
    </row>
    <row r="16" spans="2:11" ht="78.75" x14ac:dyDescent="0.25">
      <c r="B16" s="138"/>
      <c r="C16" s="141"/>
      <c r="D16" s="152" t="s">
        <v>1553</v>
      </c>
      <c r="E16" s="114">
        <f t="shared" si="0"/>
        <v>0.68</v>
      </c>
      <c r="F16" s="114">
        <f>ROUND((276.7*12*0.0164),2)</f>
        <v>54.45</v>
      </c>
      <c r="K16" s="87"/>
    </row>
    <row r="17" spans="2:11" ht="94.5" x14ac:dyDescent="0.25">
      <c r="B17" s="131">
        <v>1140</v>
      </c>
      <c r="C17" s="5" t="s">
        <v>237</v>
      </c>
      <c r="D17" s="152" t="s">
        <v>1406</v>
      </c>
      <c r="E17" s="114">
        <f t="shared" si="0"/>
        <v>0.61</v>
      </c>
      <c r="F17" s="114">
        <f>ROUND((95.68*0.1+120.72*0.1+113.06*0.1+101.72*0.1+54.45*0.1+0.01),2)</f>
        <v>48.57</v>
      </c>
      <c r="G17" s="40"/>
      <c r="K17" s="87"/>
    </row>
    <row r="18" spans="2:11" ht="61.5" customHeight="1" x14ac:dyDescent="0.25">
      <c r="B18" s="7">
        <v>1200</v>
      </c>
      <c r="C18" s="296" t="s">
        <v>11</v>
      </c>
      <c r="D18" s="176" t="s">
        <v>525</v>
      </c>
      <c r="E18" s="92">
        <f>ROUND((E19+E20),2)</f>
        <v>1.88</v>
      </c>
      <c r="F18" s="92">
        <f>ROUND((F19+F20),2)</f>
        <v>150.30000000000001</v>
      </c>
      <c r="K18" s="87"/>
    </row>
    <row r="19" spans="2:11" ht="47.25" x14ac:dyDescent="0.25">
      <c r="B19" s="4">
        <v>1210</v>
      </c>
      <c r="C19" s="5" t="s">
        <v>239</v>
      </c>
      <c r="D19" s="176" t="s">
        <v>1407</v>
      </c>
      <c r="E19" s="45">
        <f t="shared" si="0"/>
        <v>1.58</v>
      </c>
      <c r="F19" s="45">
        <f>ROUND((534.2*0.2359),2)</f>
        <v>126.02</v>
      </c>
      <c r="K19" s="87"/>
    </row>
    <row r="20" spans="2:11" ht="78.75" customHeight="1" x14ac:dyDescent="0.25">
      <c r="B20" s="4">
        <v>1227</v>
      </c>
      <c r="C20" s="5" t="s">
        <v>238</v>
      </c>
      <c r="D20" s="152" t="s">
        <v>1408</v>
      </c>
      <c r="E20" s="45">
        <f t="shared" si="0"/>
        <v>0.3</v>
      </c>
      <c r="F20" s="114">
        <f>ROUND((95.68*0.05+120.72*0.05+113.06*0.05+101.72*0.05+54.45*0.05),2)</f>
        <v>24.28</v>
      </c>
    </row>
    <row r="21" spans="2:11" ht="15.75" x14ac:dyDescent="0.25">
      <c r="B21" s="4"/>
      <c r="C21" s="9" t="s">
        <v>14</v>
      </c>
      <c r="D21" s="65" t="s">
        <v>16</v>
      </c>
      <c r="E21" s="26">
        <f>E9</f>
        <v>8.56</v>
      </c>
      <c r="F21" s="44">
        <f>F9</f>
        <v>684.5</v>
      </c>
    </row>
    <row r="22" spans="2:11" ht="15.75" x14ac:dyDescent="0.25">
      <c r="B22" s="4"/>
      <c r="C22" s="9" t="s">
        <v>15</v>
      </c>
      <c r="D22" s="64" t="s">
        <v>8</v>
      </c>
      <c r="E22" s="23"/>
      <c r="F22" s="43"/>
    </row>
    <row r="23" spans="2:11" ht="15.75" x14ac:dyDescent="0.25">
      <c r="B23" s="8">
        <v>1000</v>
      </c>
      <c r="C23" s="7" t="s">
        <v>9</v>
      </c>
      <c r="D23" s="64"/>
      <c r="E23" s="88">
        <f>SUM(E24+E35)</f>
        <v>1.4100000000000001</v>
      </c>
      <c r="F23" s="88">
        <f>SUM(F24+F35)</f>
        <v>113.02000000000001</v>
      </c>
    </row>
    <row r="24" spans="2:11" ht="15.75" x14ac:dyDescent="0.25">
      <c r="B24" s="4">
        <v>1100</v>
      </c>
      <c r="C24" s="4" t="s">
        <v>10</v>
      </c>
      <c r="D24" s="147" t="s">
        <v>267</v>
      </c>
      <c r="E24" s="88">
        <f>SUM(E25:E34)</f>
        <v>1.1400000000000001</v>
      </c>
      <c r="F24" s="88">
        <f>SUM(F25:F34)</f>
        <v>91.45</v>
      </c>
    </row>
    <row r="25" spans="2:11" ht="80.25" customHeight="1" x14ac:dyDescent="0.25">
      <c r="B25" s="237"/>
      <c r="C25" s="238"/>
      <c r="D25" s="66" t="s">
        <v>696</v>
      </c>
      <c r="E25" s="28">
        <f>ROUND((F25/80+0.01),2)</f>
        <v>0.04</v>
      </c>
      <c r="F25" s="46">
        <f>ROUND((14.05*12*0.0164),2)</f>
        <v>2.77</v>
      </c>
      <c r="K25" s="51"/>
    </row>
    <row r="26" spans="2:11" ht="78.75" customHeight="1" x14ac:dyDescent="0.25">
      <c r="B26" s="355"/>
      <c r="C26" s="353"/>
      <c r="D26" s="111" t="s">
        <v>695</v>
      </c>
      <c r="E26" s="28">
        <f t="shared" ref="E26:E35" si="1">ROUND((F26/80),2)</f>
        <v>0.02</v>
      </c>
      <c r="F26" s="46">
        <f>ROUND((9.32*12*0.0164),2)</f>
        <v>1.83</v>
      </c>
      <c r="K26" s="51"/>
    </row>
    <row r="27" spans="2:11" ht="78.75" x14ac:dyDescent="0.25">
      <c r="B27" s="355"/>
      <c r="C27" s="353"/>
      <c r="D27" s="66" t="s">
        <v>694</v>
      </c>
      <c r="E27" s="28">
        <f t="shared" si="1"/>
        <v>0.03</v>
      </c>
      <c r="F27" s="28">
        <f>ROUND((13.46*12*0.0164),2)</f>
        <v>2.65</v>
      </c>
      <c r="K27" s="51"/>
    </row>
    <row r="28" spans="2:11" ht="80.25" customHeight="1" x14ac:dyDescent="0.25">
      <c r="B28" s="355"/>
      <c r="C28" s="353"/>
      <c r="D28" s="111" t="s">
        <v>693</v>
      </c>
      <c r="E28" s="28">
        <f t="shared" si="1"/>
        <v>0.05</v>
      </c>
      <c r="F28" s="28">
        <f>ROUND((18.64*12*0.0164),2)</f>
        <v>3.67</v>
      </c>
      <c r="K28" s="51"/>
    </row>
    <row r="29" spans="2:11" ht="78.75" customHeight="1" x14ac:dyDescent="0.25">
      <c r="B29" s="355"/>
      <c r="C29" s="353"/>
      <c r="D29" s="152" t="s">
        <v>692</v>
      </c>
      <c r="E29" s="28">
        <f t="shared" si="1"/>
        <v>0.03</v>
      </c>
      <c r="F29" s="46">
        <f>ROUND((13.16*12*0.0164),2)</f>
        <v>2.59</v>
      </c>
      <c r="K29" s="51"/>
    </row>
    <row r="30" spans="2:11" ht="78.75" x14ac:dyDescent="0.25">
      <c r="B30" s="355"/>
      <c r="C30" s="353"/>
      <c r="D30" s="66" t="s">
        <v>691</v>
      </c>
      <c r="E30" s="28">
        <f t="shared" si="1"/>
        <v>0.19</v>
      </c>
      <c r="F30" s="28">
        <f>ROUND((75.79*12*0.0164),2)</f>
        <v>14.92</v>
      </c>
      <c r="K30" s="51"/>
    </row>
    <row r="31" spans="2:11" ht="78.75" x14ac:dyDescent="0.25">
      <c r="B31" s="355"/>
      <c r="C31" s="353"/>
      <c r="D31" s="66" t="s">
        <v>690</v>
      </c>
      <c r="E31" s="28">
        <f t="shared" si="1"/>
        <v>0.19</v>
      </c>
      <c r="F31" s="46">
        <f>ROUND((77.25*12*0.0164),2)</f>
        <v>15.2</v>
      </c>
      <c r="K31" s="51"/>
    </row>
    <row r="32" spans="2:11" ht="78.75" x14ac:dyDescent="0.25">
      <c r="B32" s="355"/>
      <c r="C32" s="353"/>
      <c r="D32" s="66" t="s">
        <v>689</v>
      </c>
      <c r="E32" s="28">
        <f t="shared" si="1"/>
        <v>0.24</v>
      </c>
      <c r="F32" s="28">
        <f>ROUND((98.97*12*0.0164),2)</f>
        <v>19.48</v>
      </c>
      <c r="K32" s="51"/>
    </row>
    <row r="33" spans="2:11" ht="94.5" customHeight="1" x14ac:dyDescent="0.25">
      <c r="B33" s="355"/>
      <c r="C33" s="353"/>
      <c r="D33" s="66" t="s">
        <v>688</v>
      </c>
      <c r="E33" s="28">
        <f t="shared" si="1"/>
        <v>0.28000000000000003</v>
      </c>
      <c r="F33" s="28">
        <f>ROUND((114.88*12*0.0164),2)</f>
        <v>22.61</v>
      </c>
      <c r="K33" s="51"/>
    </row>
    <row r="34" spans="2:11" ht="78.75" x14ac:dyDescent="0.25">
      <c r="B34" s="356"/>
      <c r="C34" s="354"/>
      <c r="D34" s="66" t="s">
        <v>687</v>
      </c>
      <c r="E34" s="28">
        <f t="shared" si="1"/>
        <v>7.0000000000000007E-2</v>
      </c>
      <c r="F34" s="28">
        <f>ROUND((29.12*12*0.0164),2)</f>
        <v>5.73</v>
      </c>
      <c r="K34" s="51"/>
    </row>
    <row r="35" spans="2:11" ht="63.75" customHeight="1" x14ac:dyDescent="0.25">
      <c r="B35" s="7">
        <v>1200</v>
      </c>
      <c r="C35" s="166" t="s">
        <v>11</v>
      </c>
      <c r="D35" s="67" t="s">
        <v>686</v>
      </c>
      <c r="E35" s="291">
        <f t="shared" si="1"/>
        <v>0.27</v>
      </c>
      <c r="F35" s="92">
        <f>ROUND((91.45*0.2359),2)</f>
        <v>21.57</v>
      </c>
      <c r="K35" s="51"/>
    </row>
    <row r="36" spans="2:11" ht="15.75" x14ac:dyDescent="0.25">
      <c r="B36" s="8">
        <v>2000</v>
      </c>
      <c r="C36" s="7" t="s">
        <v>12</v>
      </c>
      <c r="D36" s="64"/>
      <c r="E36" s="44">
        <f>SUM(E37:E50)</f>
        <v>24.180000000000007</v>
      </c>
      <c r="F36" s="44">
        <f>SUM(F37:F50)</f>
        <v>1934.02</v>
      </c>
      <c r="K36" s="51"/>
    </row>
    <row r="37" spans="2:11" ht="30.75" customHeight="1" x14ac:dyDescent="0.25">
      <c r="B37" s="4">
        <v>2221</v>
      </c>
      <c r="C37" s="112" t="s">
        <v>60</v>
      </c>
      <c r="D37" s="176" t="s">
        <v>1409</v>
      </c>
      <c r="E37" s="45">
        <f t="shared" ref="E37:E50" si="2">ROUND((F37/80),2)</f>
        <v>17</v>
      </c>
      <c r="F37" s="45">
        <f>ROUND((82944.32*0.0164),2)</f>
        <v>1360.29</v>
      </c>
      <c r="K37" s="51"/>
    </row>
    <row r="38" spans="2:11" ht="30.95" customHeight="1" x14ac:dyDescent="0.25">
      <c r="B38" s="4">
        <v>2222</v>
      </c>
      <c r="C38" s="5" t="s">
        <v>61</v>
      </c>
      <c r="D38" s="5" t="s">
        <v>1410</v>
      </c>
      <c r="E38" s="45">
        <f t="shared" si="2"/>
        <v>0.86</v>
      </c>
      <c r="F38" s="45">
        <f>ROUND((4203.76*0.0164),2)</f>
        <v>68.94</v>
      </c>
      <c r="K38" s="51"/>
    </row>
    <row r="39" spans="2:11" ht="31.5" x14ac:dyDescent="0.25">
      <c r="B39" s="4">
        <v>2223</v>
      </c>
      <c r="C39" s="5" t="s">
        <v>19</v>
      </c>
      <c r="D39" s="68" t="s">
        <v>1411</v>
      </c>
      <c r="E39" s="45">
        <f t="shared" si="2"/>
        <v>1.6</v>
      </c>
      <c r="F39" s="45">
        <f>ROUND((7807.39*0.0164),2)</f>
        <v>128.04</v>
      </c>
      <c r="K39" s="51"/>
    </row>
    <row r="40" spans="2:11" ht="78" customHeight="1" x14ac:dyDescent="0.25">
      <c r="B40" s="4">
        <v>2224</v>
      </c>
      <c r="C40" s="176" t="s">
        <v>62</v>
      </c>
      <c r="D40" s="176" t="s">
        <v>1412</v>
      </c>
      <c r="E40" s="45">
        <f t="shared" si="2"/>
        <v>0.06</v>
      </c>
      <c r="F40" s="45">
        <f>ROUND((275.91*0.0164),2)</f>
        <v>4.5199999999999996</v>
      </c>
      <c r="K40" s="51"/>
    </row>
    <row r="41" spans="2:11" ht="30" customHeight="1" x14ac:dyDescent="0.25">
      <c r="B41" s="4">
        <v>2232</v>
      </c>
      <c r="C41" s="125" t="s">
        <v>45</v>
      </c>
      <c r="D41" s="90" t="s">
        <v>533</v>
      </c>
      <c r="E41" s="45">
        <f t="shared" si="2"/>
        <v>0.03</v>
      </c>
      <c r="F41" s="45">
        <f>ROUND((149.11*0.0164),2)</f>
        <v>2.4500000000000002</v>
      </c>
      <c r="K41" s="51"/>
    </row>
    <row r="42" spans="2:11" ht="31.5" x14ac:dyDescent="0.25">
      <c r="B42" s="4">
        <v>2239</v>
      </c>
      <c r="C42" s="58" t="s">
        <v>20</v>
      </c>
      <c r="D42" s="124" t="s">
        <v>534</v>
      </c>
      <c r="E42" s="45">
        <f t="shared" si="2"/>
        <v>0.01</v>
      </c>
      <c r="F42" s="45">
        <f>ROUND((57*0.0164),2)</f>
        <v>0.93</v>
      </c>
      <c r="K42" s="51"/>
    </row>
    <row r="43" spans="2:11" ht="31.5" x14ac:dyDescent="0.25">
      <c r="B43" s="4">
        <v>2241</v>
      </c>
      <c r="C43" s="176" t="s">
        <v>64</v>
      </c>
      <c r="D43" s="68" t="s">
        <v>535</v>
      </c>
      <c r="E43" s="45">
        <f>ROUND((F43/80+0.01),2)</f>
        <v>0.39</v>
      </c>
      <c r="F43" s="45">
        <f>ROUND((1875.92*0.0164),2)</f>
        <v>30.77</v>
      </c>
      <c r="K43" s="51"/>
    </row>
    <row r="44" spans="2:11" ht="47.25" x14ac:dyDescent="0.25">
      <c r="B44" s="4">
        <v>2243</v>
      </c>
      <c r="C44" s="176" t="s">
        <v>21</v>
      </c>
      <c r="D44" s="90" t="s">
        <v>536</v>
      </c>
      <c r="E44" s="45">
        <f t="shared" si="2"/>
        <v>0.2</v>
      </c>
      <c r="F44" s="45">
        <f>ROUND((956.5*0.0164),2)</f>
        <v>15.69</v>
      </c>
      <c r="K44" s="51"/>
    </row>
    <row r="45" spans="2:11" ht="48.6" customHeight="1" x14ac:dyDescent="0.25">
      <c r="B45" s="4">
        <v>2244</v>
      </c>
      <c r="C45" s="176" t="s">
        <v>22</v>
      </c>
      <c r="D45" s="67" t="s">
        <v>685</v>
      </c>
      <c r="E45" s="45">
        <f t="shared" si="2"/>
        <v>0.69</v>
      </c>
      <c r="F45" s="45">
        <f>ROUND((3378.56*0.0164),2)</f>
        <v>55.41</v>
      </c>
      <c r="K45" s="51"/>
    </row>
    <row r="46" spans="2:11" ht="31.5" customHeight="1" x14ac:dyDescent="0.25">
      <c r="B46" s="4">
        <v>2249</v>
      </c>
      <c r="C46" s="176" t="s">
        <v>50</v>
      </c>
      <c r="D46" s="67" t="s">
        <v>684</v>
      </c>
      <c r="E46" s="45">
        <f t="shared" si="2"/>
        <v>0.76</v>
      </c>
      <c r="F46" s="45">
        <f>ROUND((3705.93*0.0164),2)</f>
        <v>60.78</v>
      </c>
      <c r="K46" s="51"/>
    </row>
    <row r="47" spans="2:11" ht="31.5" customHeight="1" x14ac:dyDescent="0.25">
      <c r="B47" s="4">
        <v>2312</v>
      </c>
      <c r="C47" s="5" t="s">
        <v>13</v>
      </c>
      <c r="D47" s="67" t="s">
        <v>683</v>
      </c>
      <c r="E47" s="45">
        <f t="shared" si="2"/>
        <v>0.18</v>
      </c>
      <c r="F47" s="45">
        <f>ROUND((856.97*0.0164),2)</f>
        <v>14.05</v>
      </c>
      <c r="K47" s="51"/>
    </row>
    <row r="48" spans="2:11" ht="47.25" x14ac:dyDescent="0.25">
      <c r="B48" s="4">
        <v>2350</v>
      </c>
      <c r="C48" s="5" t="s">
        <v>236</v>
      </c>
      <c r="D48" s="67" t="s">
        <v>682</v>
      </c>
      <c r="E48" s="45">
        <f t="shared" si="2"/>
        <v>0.35</v>
      </c>
      <c r="F48" s="114">
        <f>ROUND((1711.8*0.0164),2)</f>
        <v>28.07</v>
      </c>
      <c r="K48" s="51"/>
    </row>
    <row r="49" spans="2:11" ht="33" customHeight="1" x14ac:dyDescent="0.25">
      <c r="B49" s="4">
        <v>2513</v>
      </c>
      <c r="C49" s="5" t="s">
        <v>63</v>
      </c>
      <c r="D49" s="67" t="s">
        <v>681</v>
      </c>
      <c r="E49" s="45">
        <f t="shared" si="2"/>
        <v>1.66</v>
      </c>
      <c r="F49" s="45">
        <f>ROUND((8084.39*0.0164),2)</f>
        <v>132.58000000000001</v>
      </c>
      <c r="K49" s="51"/>
    </row>
    <row r="50" spans="2:11" ht="31.5" x14ac:dyDescent="0.25">
      <c r="B50" s="4">
        <v>2515</v>
      </c>
      <c r="C50" s="5" t="s">
        <v>49</v>
      </c>
      <c r="D50" s="67" t="s">
        <v>680</v>
      </c>
      <c r="E50" s="45">
        <f t="shared" si="2"/>
        <v>0.39</v>
      </c>
      <c r="F50" s="45">
        <f>ROUND((1920.89*0.0164),2)</f>
        <v>31.5</v>
      </c>
      <c r="K50" s="51"/>
    </row>
    <row r="51" spans="2:11" ht="15.75" x14ac:dyDescent="0.25">
      <c r="B51" s="10">
        <v>5000</v>
      </c>
      <c r="C51" s="166" t="s">
        <v>17</v>
      </c>
      <c r="D51" s="284"/>
      <c r="E51" s="41">
        <f>SUM(E52:E54)</f>
        <v>0.84000000000000008</v>
      </c>
      <c r="F51" s="41">
        <f>SUM(F52:F54)</f>
        <v>67.8</v>
      </c>
      <c r="K51" s="51"/>
    </row>
    <row r="52" spans="2:11" ht="31.5" x14ac:dyDescent="0.25">
      <c r="B52" s="4">
        <v>5213</v>
      </c>
      <c r="C52" s="5" t="s">
        <v>32</v>
      </c>
      <c r="D52" s="67" t="s">
        <v>679</v>
      </c>
      <c r="E52" s="45">
        <f>ROUND((F52/80),2)</f>
        <v>0.05</v>
      </c>
      <c r="F52" s="45">
        <f>ROUND((251.64*0.0164),2)</f>
        <v>4.13</v>
      </c>
      <c r="K52" s="51"/>
    </row>
    <row r="53" spans="2:11" ht="31.5" x14ac:dyDescent="0.25">
      <c r="B53" s="19">
        <v>5218</v>
      </c>
      <c r="C53" s="67" t="s">
        <v>33</v>
      </c>
      <c r="D53" s="67" t="s">
        <v>678</v>
      </c>
      <c r="E53" s="45">
        <f>ROUND((F53/80),2)</f>
        <v>0.23</v>
      </c>
      <c r="F53" s="45">
        <f>ROUND((1134.21*0.0164),2)</f>
        <v>18.600000000000001</v>
      </c>
      <c r="K53" s="51"/>
    </row>
    <row r="54" spans="2:11" ht="46.5" customHeight="1" x14ac:dyDescent="0.25">
      <c r="B54" s="19">
        <v>5239</v>
      </c>
      <c r="C54" s="67" t="s">
        <v>18</v>
      </c>
      <c r="D54" s="67" t="s">
        <v>537</v>
      </c>
      <c r="E54" s="45">
        <f>ROUND((F54/80),2)</f>
        <v>0.56000000000000005</v>
      </c>
      <c r="F54" s="45">
        <f>ROUND((2748.15*0.0164),2)</f>
        <v>45.07</v>
      </c>
      <c r="K54" s="51"/>
    </row>
    <row r="55" spans="2:11" ht="15.75" x14ac:dyDescent="0.25">
      <c r="B55" s="4"/>
      <c r="C55" s="9" t="s">
        <v>23</v>
      </c>
      <c r="D55" s="64"/>
      <c r="E55" s="26">
        <f>SUM(E23+E36+E51)</f>
        <v>26.430000000000007</v>
      </c>
      <c r="F55" s="41">
        <f>SUM(F23+F36+F51)</f>
        <v>2114.84</v>
      </c>
      <c r="K55" s="51"/>
    </row>
    <row r="56" spans="2:11" ht="31.5" x14ac:dyDescent="0.25">
      <c r="B56" s="4"/>
      <c r="C56" s="11" t="s">
        <v>28</v>
      </c>
      <c r="D56" s="64"/>
      <c r="E56" s="27">
        <f>E21+E55</f>
        <v>34.990000000000009</v>
      </c>
      <c r="F56" s="42">
        <f>F21+F55</f>
        <v>2799.34</v>
      </c>
      <c r="K56" s="51"/>
    </row>
    <row r="57" spans="2:11" ht="15.75" x14ac:dyDescent="0.25">
      <c r="B57" s="21"/>
      <c r="C57" s="13" t="s">
        <v>235</v>
      </c>
      <c r="D57" s="64"/>
      <c r="E57" s="27">
        <f>E56*0.12</f>
        <v>4.1988000000000012</v>
      </c>
      <c r="F57" s="42">
        <f>F56*0.12</f>
        <v>335.92079999999999</v>
      </c>
      <c r="K57" s="51"/>
    </row>
    <row r="58" spans="2:11" ht="31.5" x14ac:dyDescent="0.25">
      <c r="B58" s="21"/>
      <c r="C58" s="179" t="s">
        <v>30</v>
      </c>
      <c r="D58" s="180"/>
      <c r="E58" s="181">
        <f>E56*1.12</f>
        <v>39.188800000000015</v>
      </c>
      <c r="F58" s="182">
        <f>F56*1.12</f>
        <v>3135.2608000000005</v>
      </c>
      <c r="K58" s="51"/>
    </row>
    <row r="59" spans="2:11" ht="15.75" x14ac:dyDescent="0.25">
      <c r="B59" s="351" t="s">
        <v>202</v>
      </c>
      <c r="C59" s="351"/>
      <c r="D59" s="351"/>
      <c r="E59" s="8">
        <f>2*40</f>
        <v>80</v>
      </c>
      <c r="F59" s="165" t="s">
        <v>75</v>
      </c>
    </row>
    <row r="60" spans="2:11" ht="30.6" customHeight="1" x14ac:dyDescent="0.25">
      <c r="B60" s="351" t="s">
        <v>359</v>
      </c>
      <c r="C60" s="351"/>
      <c r="D60" s="351"/>
      <c r="E60" s="8">
        <f>ROUND((F58/E59),2)</f>
        <v>39.19</v>
      </c>
      <c r="F60" s="205" t="s">
        <v>532</v>
      </c>
    </row>
    <row r="61" spans="2:11" ht="15.75" x14ac:dyDescent="0.25">
      <c r="B61" s="1"/>
      <c r="C61" s="1"/>
      <c r="D61" s="1"/>
    </row>
  </sheetData>
  <mergeCells count="7">
    <mergeCell ref="B60:D60"/>
    <mergeCell ref="B2:D2"/>
    <mergeCell ref="B3:F3"/>
    <mergeCell ref="B4:C4"/>
    <mergeCell ref="B26:B34"/>
    <mergeCell ref="C26:C34"/>
    <mergeCell ref="B59:D59"/>
  </mergeCells>
  <pageMargins left="0.7" right="0.7" top="0.75" bottom="0.75" header="0.3" footer="0.3"/>
  <pageSetup paperSize="9" orientation="landscape" r:id="rId1"/>
  <rowBreaks count="2" manualBreakCount="2">
    <brk id="21" max="16383" man="1"/>
    <brk id="35" max="16383" man="1"/>
  </rowBreaks>
  <ignoredErrors>
    <ignoredError sqref="E18 E51 E36 E43" formula="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D3FC9-A629-4697-8203-EFEEC461A67F}">
  <dimension ref="A1:H61"/>
  <sheetViews>
    <sheetView topLeftCell="A46" zoomScaleNormal="100" workbookViewId="0">
      <selection activeCell="C16" sqref="C16"/>
    </sheetView>
  </sheetViews>
  <sheetFormatPr defaultRowHeight="15" x14ac:dyDescent="0.25"/>
  <cols>
    <col min="1" max="1" width="12" customWidth="1"/>
    <col min="2" max="2" width="27.5703125" customWidth="1"/>
    <col min="3" max="3" width="62" customWidth="1"/>
    <col min="4" max="4" width="9.85546875" customWidth="1"/>
    <col min="5" max="5" width="17.7109375" customWidth="1"/>
    <col min="6" max="6" width="8" customWidth="1"/>
    <col min="7" max="7" width="8.85546875" bestFit="1" customWidth="1"/>
    <col min="8" max="8" width="8.42578125" bestFit="1" customWidth="1"/>
  </cols>
  <sheetData>
    <row r="1" spans="1:8" s="175" customFormat="1" ht="18.75" x14ac:dyDescent="0.3">
      <c r="A1" s="158" t="s">
        <v>51</v>
      </c>
    </row>
    <row r="2" spans="1:8" ht="18.75" x14ac:dyDescent="0.3">
      <c r="A2" s="358" t="s">
        <v>54</v>
      </c>
      <c r="B2" s="358"/>
      <c r="C2" s="358"/>
    </row>
    <row r="3" spans="1:8" ht="18.75" x14ac:dyDescent="0.25">
      <c r="A3" s="352" t="s">
        <v>186</v>
      </c>
      <c r="B3" s="352"/>
      <c r="C3" s="352"/>
      <c r="D3" s="352"/>
      <c r="E3" s="352"/>
    </row>
    <row r="4" spans="1:8" ht="15.75" x14ac:dyDescent="0.25">
      <c r="A4" s="359" t="s">
        <v>74</v>
      </c>
      <c r="B4" s="359"/>
    </row>
    <row r="6" spans="1:8" ht="78.75" x14ac:dyDescent="0.25">
      <c r="A6" s="149" t="s">
        <v>0</v>
      </c>
      <c r="B6" s="149" t="s">
        <v>1</v>
      </c>
      <c r="C6" s="149" t="s">
        <v>2</v>
      </c>
      <c r="D6" s="162" t="s">
        <v>26</v>
      </c>
      <c r="E6" s="53" t="s">
        <v>27</v>
      </c>
    </row>
    <row r="7" spans="1:8" x14ac:dyDescent="0.25">
      <c r="A7" s="292">
        <v>1</v>
      </c>
      <c r="B7" s="292">
        <v>2</v>
      </c>
      <c r="C7" s="292">
        <v>3</v>
      </c>
      <c r="D7" s="292">
        <v>4</v>
      </c>
      <c r="E7" s="292">
        <v>5</v>
      </c>
    </row>
    <row r="8" spans="1:8" ht="15.75" x14ac:dyDescent="0.25">
      <c r="A8" s="4"/>
      <c r="B8" s="7" t="s">
        <v>7</v>
      </c>
      <c r="C8" s="64" t="s">
        <v>8</v>
      </c>
      <c r="D8" s="25"/>
      <c r="E8" s="23"/>
    </row>
    <row r="9" spans="1:8" ht="15.75" x14ac:dyDescent="0.25">
      <c r="A9" s="8">
        <v>1000</v>
      </c>
      <c r="B9" s="7" t="s">
        <v>9</v>
      </c>
      <c r="C9" s="284"/>
      <c r="D9" s="44">
        <f>D10+D18</f>
        <v>11.129999999999999</v>
      </c>
      <c r="E9" s="44">
        <f>E10+E18</f>
        <v>3005.12</v>
      </c>
    </row>
    <row r="10" spans="1:8" ht="15.75" x14ac:dyDescent="0.25">
      <c r="A10" s="280">
        <v>1100</v>
      </c>
      <c r="B10" s="280" t="s">
        <v>10</v>
      </c>
      <c r="C10" s="284"/>
      <c r="D10" s="44">
        <f>SUM(D12:D17)</f>
        <v>8.69</v>
      </c>
      <c r="E10" s="44">
        <f>SUM(E12:E17)</f>
        <v>2345.27</v>
      </c>
    </row>
    <row r="11" spans="1:8" ht="15.75" x14ac:dyDescent="0.25">
      <c r="A11" s="16">
        <v>1110</v>
      </c>
      <c r="B11" s="16" t="s">
        <v>240</v>
      </c>
      <c r="C11" s="147" t="s">
        <v>241</v>
      </c>
      <c r="D11" s="114">
        <f>SUM(D12:D16)</f>
        <v>7.8999999999999995</v>
      </c>
      <c r="E11" s="114">
        <f>SUM(E12:E16)</f>
        <v>2132.0500000000002</v>
      </c>
    </row>
    <row r="12" spans="1:8" ht="77.25" customHeight="1" x14ac:dyDescent="0.25">
      <c r="A12" s="136"/>
      <c r="B12" s="139"/>
      <c r="C12" s="152" t="s">
        <v>1413</v>
      </c>
      <c r="D12" s="114">
        <f t="shared" ref="D12:D20" si="0">ROUND((E12/270),2)</f>
        <v>1.56</v>
      </c>
      <c r="E12" s="114">
        <f>ROUND((486.2*12*0.072),2)</f>
        <v>420.08</v>
      </c>
    </row>
    <row r="13" spans="1:8" ht="76.5" customHeight="1" x14ac:dyDescent="0.25">
      <c r="A13" s="153"/>
      <c r="B13" s="154"/>
      <c r="C13" s="152" t="s">
        <v>666</v>
      </c>
      <c r="D13" s="114">
        <f t="shared" si="0"/>
        <v>1.96</v>
      </c>
      <c r="E13" s="114">
        <f>ROUND((613.42*12*0.072),2)</f>
        <v>529.99</v>
      </c>
    </row>
    <row r="14" spans="1:8" ht="78" customHeight="1" x14ac:dyDescent="0.25">
      <c r="A14" s="137"/>
      <c r="B14" s="140"/>
      <c r="C14" s="152" t="s">
        <v>667</v>
      </c>
      <c r="D14" s="114">
        <f t="shared" si="0"/>
        <v>1.84</v>
      </c>
      <c r="E14" s="114">
        <f>ROUND((574.48*12*0.072),2)</f>
        <v>496.35</v>
      </c>
      <c r="F14" s="51"/>
      <c r="G14" s="51"/>
      <c r="H14" s="51"/>
    </row>
    <row r="15" spans="1:8" ht="77.45" customHeight="1" x14ac:dyDescent="0.25">
      <c r="A15" s="137"/>
      <c r="B15" s="140"/>
      <c r="C15" s="152" t="s">
        <v>1414</v>
      </c>
      <c r="D15" s="114">
        <f t="shared" si="0"/>
        <v>1.65</v>
      </c>
      <c r="E15" s="114">
        <f>ROUND((516.85*12*0.072),2)</f>
        <v>446.56</v>
      </c>
      <c r="F15" s="51"/>
      <c r="G15" s="51"/>
      <c r="H15" s="51"/>
    </row>
    <row r="16" spans="1:8" ht="77.25" customHeight="1" x14ac:dyDescent="0.25">
      <c r="A16" s="138"/>
      <c r="B16" s="141"/>
      <c r="C16" s="152" t="s">
        <v>1578</v>
      </c>
      <c r="D16" s="114">
        <f t="shared" si="0"/>
        <v>0.89</v>
      </c>
      <c r="E16" s="114">
        <f>ROUND((276.7*12*0.072),2)</f>
        <v>239.07</v>
      </c>
      <c r="G16" s="40"/>
    </row>
    <row r="17" spans="1:5" ht="93.75" customHeight="1" x14ac:dyDescent="0.25">
      <c r="A17" s="131">
        <v>1140</v>
      </c>
      <c r="B17" s="5" t="s">
        <v>237</v>
      </c>
      <c r="C17" s="152" t="s">
        <v>1415</v>
      </c>
      <c r="D17" s="114">
        <f t="shared" si="0"/>
        <v>0.79</v>
      </c>
      <c r="E17" s="114">
        <f>ROUND((420.08*0.1+529.99*0.1+496.35*0.1+446.56*0.1+239.07*0.1+0.01),2)</f>
        <v>213.22</v>
      </c>
    </row>
    <row r="18" spans="1:5" ht="63" x14ac:dyDescent="0.25">
      <c r="A18" s="7">
        <v>1200</v>
      </c>
      <c r="B18" s="296" t="s">
        <v>11</v>
      </c>
      <c r="C18" s="176" t="s">
        <v>1417</v>
      </c>
      <c r="D18" s="92">
        <f>ROUND((D19+D20),2)</f>
        <v>2.44</v>
      </c>
      <c r="E18" s="92">
        <f>ROUND((E19+E20),2)</f>
        <v>659.85</v>
      </c>
    </row>
    <row r="19" spans="1:5" ht="47.25" x14ac:dyDescent="0.25">
      <c r="A19" s="4">
        <v>1210</v>
      </c>
      <c r="B19" s="5" t="s">
        <v>239</v>
      </c>
      <c r="C19" s="176" t="s">
        <v>1416</v>
      </c>
      <c r="D19" s="45">
        <f t="shared" si="0"/>
        <v>2.0499999999999998</v>
      </c>
      <c r="E19" s="45">
        <f>ROUND((2345.27*0.2359),2)</f>
        <v>553.25</v>
      </c>
    </row>
    <row r="20" spans="1:5" ht="93" customHeight="1" x14ac:dyDescent="0.25">
      <c r="A20" s="4">
        <v>1227</v>
      </c>
      <c r="B20" s="5" t="s">
        <v>238</v>
      </c>
      <c r="C20" s="152" t="s">
        <v>538</v>
      </c>
      <c r="D20" s="45">
        <f t="shared" si="0"/>
        <v>0.39</v>
      </c>
      <c r="E20" s="114">
        <f>ROUND((420.08*0.05+529.99*0.05+496.35*0.05+446.56*0.05+239.07*0.05),2)</f>
        <v>106.6</v>
      </c>
    </row>
    <row r="21" spans="1:5" ht="15.75" x14ac:dyDescent="0.25">
      <c r="A21" s="4"/>
      <c r="B21" s="9" t="s">
        <v>14</v>
      </c>
      <c r="C21" s="65" t="s">
        <v>16</v>
      </c>
      <c r="D21" s="26">
        <f>D9</f>
        <v>11.129999999999999</v>
      </c>
      <c r="E21" s="44">
        <f>E9</f>
        <v>3005.12</v>
      </c>
    </row>
    <row r="22" spans="1:5" ht="15.75" x14ac:dyDescent="0.25">
      <c r="A22" s="4"/>
      <c r="B22" s="9" t="s">
        <v>15</v>
      </c>
      <c r="C22" s="64" t="s">
        <v>8</v>
      </c>
      <c r="D22" s="23"/>
      <c r="E22" s="43"/>
    </row>
    <row r="23" spans="1:5" ht="15.75" x14ac:dyDescent="0.25">
      <c r="A23" s="8">
        <v>1000</v>
      </c>
      <c r="B23" s="7" t="s">
        <v>9</v>
      </c>
      <c r="C23" s="64"/>
      <c r="D23" s="88">
        <f>SUM(D24+D35)</f>
        <v>1.83</v>
      </c>
      <c r="E23" s="88">
        <f>SUM(E24+E35)</f>
        <v>496.14</v>
      </c>
    </row>
    <row r="24" spans="1:5" ht="15.75" x14ac:dyDescent="0.25">
      <c r="A24" s="4">
        <v>1100</v>
      </c>
      <c r="B24" s="4" t="s">
        <v>10</v>
      </c>
      <c r="C24" s="147" t="s">
        <v>267</v>
      </c>
      <c r="D24" s="88">
        <f>SUM(D25:D34)</f>
        <v>1.4800000000000002</v>
      </c>
      <c r="E24" s="88">
        <f>SUM(E25:E34)</f>
        <v>401.44</v>
      </c>
    </row>
    <row r="25" spans="1:5" ht="80.25" customHeight="1" x14ac:dyDescent="0.25">
      <c r="A25" s="237"/>
      <c r="B25" s="238"/>
      <c r="C25" s="152" t="s">
        <v>668</v>
      </c>
      <c r="D25" s="28">
        <f t="shared" ref="D25:D35" si="1">ROUND((E25/270),2)</f>
        <v>0.04</v>
      </c>
      <c r="E25" s="46">
        <f>ROUND((14.05*12*0.072),2)</f>
        <v>12.14</v>
      </c>
    </row>
    <row r="26" spans="1:5" ht="79.5" customHeight="1" x14ac:dyDescent="0.25">
      <c r="A26" s="355"/>
      <c r="B26" s="353"/>
      <c r="C26" s="152" t="s">
        <v>669</v>
      </c>
      <c r="D26" s="47">
        <f t="shared" si="1"/>
        <v>0.03</v>
      </c>
      <c r="E26" s="62">
        <f>ROUND((9.32*12*0.072),2)</f>
        <v>8.0500000000000007</v>
      </c>
    </row>
    <row r="27" spans="1:5" ht="78.75" customHeight="1" x14ac:dyDescent="0.25">
      <c r="A27" s="355"/>
      <c r="B27" s="353"/>
      <c r="C27" s="152" t="s">
        <v>670</v>
      </c>
      <c r="D27" s="28">
        <f t="shared" si="1"/>
        <v>0.04</v>
      </c>
      <c r="E27" s="28">
        <f>ROUND((13.46*12*0.072),2)</f>
        <v>11.63</v>
      </c>
    </row>
    <row r="28" spans="1:5" ht="78.95" customHeight="1" x14ac:dyDescent="0.25">
      <c r="A28" s="355"/>
      <c r="B28" s="353"/>
      <c r="C28" s="152" t="s">
        <v>671</v>
      </c>
      <c r="D28" s="28">
        <f t="shared" si="1"/>
        <v>0.06</v>
      </c>
      <c r="E28" s="46">
        <f>ROUND((18.64*12*0.072),2)</f>
        <v>16.100000000000001</v>
      </c>
    </row>
    <row r="29" spans="1:5" ht="78" customHeight="1" x14ac:dyDescent="0.25">
      <c r="A29" s="355"/>
      <c r="B29" s="353"/>
      <c r="C29" s="66" t="s">
        <v>672</v>
      </c>
      <c r="D29" s="28">
        <f t="shared" si="1"/>
        <v>0.04</v>
      </c>
      <c r="E29" s="28">
        <f>ROUND((13.16*12*0.072),2)</f>
        <v>11.37</v>
      </c>
    </row>
    <row r="30" spans="1:5" ht="80.25" customHeight="1" x14ac:dyDescent="0.25">
      <c r="A30" s="355"/>
      <c r="B30" s="353"/>
      <c r="C30" s="66" t="s">
        <v>673</v>
      </c>
      <c r="D30" s="28">
        <f t="shared" si="1"/>
        <v>0.24</v>
      </c>
      <c r="E30" s="28">
        <f>ROUND((75.79*12*0.072),2)</f>
        <v>65.48</v>
      </c>
    </row>
    <row r="31" spans="1:5" ht="77.45" customHeight="1" x14ac:dyDescent="0.25">
      <c r="A31" s="355"/>
      <c r="B31" s="353"/>
      <c r="C31" s="66" t="s">
        <v>674</v>
      </c>
      <c r="D31" s="28">
        <f t="shared" si="1"/>
        <v>0.25</v>
      </c>
      <c r="E31" s="28">
        <f>ROUND((77.25*12*0.072),2)</f>
        <v>66.739999999999995</v>
      </c>
    </row>
    <row r="32" spans="1:5" ht="78.75" x14ac:dyDescent="0.25">
      <c r="A32" s="355"/>
      <c r="B32" s="353"/>
      <c r="C32" s="66" t="s">
        <v>675</v>
      </c>
      <c r="D32" s="28">
        <f t="shared" si="1"/>
        <v>0.32</v>
      </c>
      <c r="E32" s="28">
        <f>ROUND((98.97*12*0.072),2)</f>
        <v>85.51</v>
      </c>
    </row>
    <row r="33" spans="1:5" ht="93" customHeight="1" x14ac:dyDescent="0.25">
      <c r="A33" s="355"/>
      <c r="B33" s="353"/>
      <c r="C33" s="66" t="s">
        <v>676</v>
      </c>
      <c r="D33" s="28">
        <f t="shared" si="1"/>
        <v>0.37</v>
      </c>
      <c r="E33" s="28">
        <f>ROUND((114.88*12*0.072),2)</f>
        <v>99.26</v>
      </c>
    </row>
    <row r="34" spans="1:5" ht="77.099999999999994" customHeight="1" x14ac:dyDescent="0.25">
      <c r="A34" s="356"/>
      <c r="B34" s="354"/>
      <c r="C34" s="66" t="s">
        <v>677</v>
      </c>
      <c r="D34" s="28">
        <f t="shared" si="1"/>
        <v>0.09</v>
      </c>
      <c r="E34" s="28">
        <f>ROUND((29.12*12*0.072),2)</f>
        <v>25.16</v>
      </c>
    </row>
    <row r="35" spans="1:5" ht="61.5" customHeight="1" x14ac:dyDescent="0.25">
      <c r="A35" s="7">
        <v>1200</v>
      </c>
      <c r="B35" s="166" t="s">
        <v>11</v>
      </c>
      <c r="C35" s="176" t="s">
        <v>1418</v>
      </c>
      <c r="D35" s="88">
        <f t="shared" si="1"/>
        <v>0.35</v>
      </c>
      <c r="E35" s="92">
        <f>ROUND((401.44*0.2359),2)</f>
        <v>94.7</v>
      </c>
    </row>
    <row r="36" spans="1:5" ht="15.75" x14ac:dyDescent="0.25">
      <c r="A36" s="8">
        <v>2000</v>
      </c>
      <c r="B36" s="7" t="s">
        <v>12</v>
      </c>
      <c r="C36" s="64"/>
      <c r="D36" s="24">
        <f>SUM(D37:D50)</f>
        <v>31.46</v>
      </c>
      <c r="E36" s="44">
        <f>SUM(E37:E50)</f>
        <v>8490.8599999999988</v>
      </c>
    </row>
    <row r="37" spans="1:5" ht="31.5" x14ac:dyDescent="0.25">
      <c r="A37" s="4">
        <v>2221</v>
      </c>
      <c r="B37" s="112" t="s">
        <v>60</v>
      </c>
      <c r="C37" s="67" t="s">
        <v>542</v>
      </c>
      <c r="D37" s="28">
        <f t="shared" ref="D37:D50" si="2">ROUND((E37/270),2)</f>
        <v>22.12</v>
      </c>
      <c r="E37" s="45">
        <f>ROUND((82944.32*0.072),2)</f>
        <v>5971.99</v>
      </c>
    </row>
    <row r="38" spans="1:5" ht="32.450000000000003" customHeight="1" x14ac:dyDescent="0.25">
      <c r="A38" s="4">
        <v>2222</v>
      </c>
      <c r="B38" s="5" t="s">
        <v>61</v>
      </c>
      <c r="C38" s="5" t="s">
        <v>543</v>
      </c>
      <c r="D38" s="28">
        <f t="shared" si="2"/>
        <v>1.1200000000000001</v>
      </c>
      <c r="E38" s="45">
        <f>ROUND((4203.76*0.072),2)</f>
        <v>302.67</v>
      </c>
    </row>
    <row r="39" spans="1:5" ht="31.5" x14ac:dyDescent="0.25">
      <c r="A39" s="4">
        <v>2223</v>
      </c>
      <c r="B39" s="5" t="s">
        <v>19</v>
      </c>
      <c r="C39" s="68" t="s">
        <v>544</v>
      </c>
      <c r="D39" s="28">
        <f t="shared" si="2"/>
        <v>2.08</v>
      </c>
      <c r="E39" s="45">
        <f>ROUND((7807.39*0.072),2)</f>
        <v>562.13</v>
      </c>
    </row>
    <row r="40" spans="1:5" ht="76.5" customHeight="1" x14ac:dyDescent="0.25">
      <c r="A40" s="4">
        <v>2224</v>
      </c>
      <c r="B40" s="112" t="s">
        <v>62</v>
      </c>
      <c r="C40" s="67" t="s">
        <v>545</v>
      </c>
      <c r="D40" s="28">
        <f t="shared" si="2"/>
        <v>7.0000000000000007E-2</v>
      </c>
      <c r="E40" s="28">
        <f>ROUND((275.91*0.072),2)</f>
        <v>19.87</v>
      </c>
    </row>
    <row r="41" spans="1:5" ht="31.5" x14ac:dyDescent="0.25">
      <c r="A41" s="4">
        <v>2232</v>
      </c>
      <c r="B41" s="125" t="s">
        <v>45</v>
      </c>
      <c r="C41" s="90" t="s">
        <v>539</v>
      </c>
      <c r="D41" s="28">
        <f t="shared" si="2"/>
        <v>0.04</v>
      </c>
      <c r="E41" s="28">
        <f>ROUND((149.11*0.072),2)</f>
        <v>10.74</v>
      </c>
    </row>
    <row r="42" spans="1:5" ht="31.5" x14ac:dyDescent="0.25">
      <c r="A42" s="4">
        <v>2239</v>
      </c>
      <c r="B42" s="58" t="s">
        <v>20</v>
      </c>
      <c r="C42" s="124" t="s">
        <v>540</v>
      </c>
      <c r="D42" s="28">
        <f t="shared" si="2"/>
        <v>0.02</v>
      </c>
      <c r="E42" s="46">
        <f>ROUND((57*0.072),2)</f>
        <v>4.0999999999999996</v>
      </c>
    </row>
    <row r="43" spans="1:5" ht="31.5" x14ac:dyDescent="0.25">
      <c r="A43" s="4">
        <v>2241</v>
      </c>
      <c r="B43" s="67" t="s">
        <v>64</v>
      </c>
      <c r="C43" s="68" t="s">
        <v>541</v>
      </c>
      <c r="D43" s="46">
        <f t="shared" si="2"/>
        <v>0.5</v>
      </c>
      <c r="E43" s="28">
        <f>ROUND((1875.92*0.072),2)</f>
        <v>135.07</v>
      </c>
    </row>
    <row r="44" spans="1:5" ht="47.25" x14ac:dyDescent="0.25">
      <c r="A44" s="4">
        <v>2243</v>
      </c>
      <c r="B44" s="67" t="s">
        <v>21</v>
      </c>
      <c r="C44" s="90" t="s">
        <v>546</v>
      </c>
      <c r="D44" s="28">
        <f t="shared" si="2"/>
        <v>0.26</v>
      </c>
      <c r="E44" s="28">
        <f>ROUND((956.5*0.072),2)</f>
        <v>68.87</v>
      </c>
    </row>
    <row r="45" spans="1:5" ht="46.5" customHeight="1" x14ac:dyDescent="0.25">
      <c r="A45" s="4">
        <v>2244</v>
      </c>
      <c r="B45" s="67" t="s">
        <v>22</v>
      </c>
      <c r="C45" s="67" t="s">
        <v>547</v>
      </c>
      <c r="D45" s="46">
        <f t="shared" si="2"/>
        <v>0.9</v>
      </c>
      <c r="E45" s="45">
        <f>ROUND((3378.56*0.072),2)</f>
        <v>243.26</v>
      </c>
    </row>
    <row r="46" spans="1:5" ht="32.25" customHeight="1" x14ac:dyDescent="0.25">
      <c r="A46" s="4">
        <v>2249</v>
      </c>
      <c r="B46" s="67" t="s">
        <v>50</v>
      </c>
      <c r="C46" s="67" t="s">
        <v>548</v>
      </c>
      <c r="D46" s="28">
        <f t="shared" si="2"/>
        <v>0.99</v>
      </c>
      <c r="E46" s="45">
        <f>ROUND((3705.93*0.072),2)</f>
        <v>266.83</v>
      </c>
    </row>
    <row r="47" spans="1:5" ht="31.5" x14ac:dyDescent="0.25">
      <c r="A47" s="4">
        <v>2312</v>
      </c>
      <c r="B47" s="4" t="s">
        <v>13</v>
      </c>
      <c r="C47" s="67" t="s">
        <v>549</v>
      </c>
      <c r="D47" s="28">
        <f t="shared" si="2"/>
        <v>0.23</v>
      </c>
      <c r="E47" s="45">
        <f>ROUND((856.97*0.072),2)</f>
        <v>61.7</v>
      </c>
    </row>
    <row r="48" spans="1:5" ht="47.25" x14ac:dyDescent="0.25">
      <c r="A48" s="4">
        <v>2350</v>
      </c>
      <c r="B48" s="5" t="s">
        <v>236</v>
      </c>
      <c r="C48" s="67" t="s">
        <v>550</v>
      </c>
      <c r="D48" s="46">
        <f t="shared" si="2"/>
        <v>0.46</v>
      </c>
      <c r="E48" s="62">
        <f>ROUND((1711.8*0.072),2)</f>
        <v>123.25</v>
      </c>
    </row>
    <row r="49" spans="1:5" ht="31.5" x14ac:dyDescent="0.25">
      <c r="A49" s="4">
        <v>2513</v>
      </c>
      <c r="B49" s="5" t="s">
        <v>63</v>
      </c>
      <c r="C49" s="67" t="s">
        <v>551</v>
      </c>
      <c r="D49" s="46">
        <f t="shared" si="2"/>
        <v>2.16</v>
      </c>
      <c r="E49" s="46">
        <f>ROUND((8084.39*0.072),2)</f>
        <v>582.08000000000004</v>
      </c>
    </row>
    <row r="50" spans="1:5" ht="31.5" x14ac:dyDescent="0.25">
      <c r="A50" s="4">
        <v>2515</v>
      </c>
      <c r="B50" s="5" t="s">
        <v>49</v>
      </c>
      <c r="C50" s="67" t="s">
        <v>552</v>
      </c>
      <c r="D50" s="46">
        <f t="shared" si="2"/>
        <v>0.51</v>
      </c>
      <c r="E50" s="46">
        <f>ROUND((1920.89*0.072),2)</f>
        <v>138.30000000000001</v>
      </c>
    </row>
    <row r="51" spans="1:5" ht="18.95" customHeight="1" x14ac:dyDescent="0.25">
      <c r="A51" s="10">
        <v>5000</v>
      </c>
      <c r="B51" s="229" t="s">
        <v>17</v>
      </c>
      <c r="C51" s="19"/>
      <c r="D51" s="88">
        <f>SUM(D52:D54)</f>
        <v>1.1000000000000001</v>
      </c>
      <c r="E51" s="88">
        <f>SUM(E52:E54)</f>
        <v>297.64999999999998</v>
      </c>
    </row>
    <row r="52" spans="1:5" ht="31.5" x14ac:dyDescent="0.25">
      <c r="A52" s="4">
        <v>5213</v>
      </c>
      <c r="B52" s="5" t="s">
        <v>32</v>
      </c>
      <c r="C52" s="67" t="s">
        <v>553</v>
      </c>
      <c r="D52" s="46">
        <f>ROUND((E52/270),2)</f>
        <v>7.0000000000000007E-2</v>
      </c>
      <c r="E52" s="46">
        <f>ROUND((251.64*0.072),2)</f>
        <v>18.12</v>
      </c>
    </row>
    <row r="53" spans="1:5" ht="31.5" x14ac:dyDescent="0.25">
      <c r="A53" s="19">
        <v>5218</v>
      </c>
      <c r="B53" s="67" t="s">
        <v>33</v>
      </c>
      <c r="C53" s="67" t="s">
        <v>554</v>
      </c>
      <c r="D53" s="46">
        <f>ROUND((E53/270),2)</f>
        <v>0.3</v>
      </c>
      <c r="E53" s="46">
        <f>ROUND((1134.21*0.072),2)</f>
        <v>81.66</v>
      </c>
    </row>
    <row r="54" spans="1:5" ht="46.5" customHeight="1" x14ac:dyDescent="0.25">
      <c r="A54" s="19">
        <v>5239</v>
      </c>
      <c r="B54" s="67" t="s">
        <v>18</v>
      </c>
      <c r="C54" s="67" t="s">
        <v>555</v>
      </c>
      <c r="D54" s="46">
        <f>ROUND((E54/270),2)</f>
        <v>0.73</v>
      </c>
      <c r="E54" s="46">
        <f>ROUND((2748.15*0.072),2)</f>
        <v>197.87</v>
      </c>
    </row>
    <row r="55" spans="1:5" ht="15.75" x14ac:dyDescent="0.25">
      <c r="A55" s="171"/>
      <c r="B55" s="9" t="s">
        <v>23</v>
      </c>
      <c r="C55" s="64"/>
      <c r="D55" s="26">
        <f>SUM(D23+D36+D51)</f>
        <v>34.39</v>
      </c>
      <c r="E55" s="41">
        <f>SUM(E23+E36+E51)</f>
        <v>9284.6499999999978</v>
      </c>
    </row>
    <row r="56" spans="1:5" ht="31.5" x14ac:dyDescent="0.25">
      <c r="A56" s="172"/>
      <c r="B56" s="11" t="s">
        <v>28</v>
      </c>
      <c r="C56" s="64"/>
      <c r="D56" s="27">
        <f>D21+D55</f>
        <v>45.519999999999996</v>
      </c>
      <c r="E56" s="42">
        <f>E21+E55</f>
        <v>12289.769999999997</v>
      </c>
    </row>
    <row r="57" spans="1:5" ht="15.75" x14ac:dyDescent="0.25">
      <c r="A57" s="172"/>
      <c r="B57" s="13" t="s">
        <v>235</v>
      </c>
      <c r="C57" s="64"/>
      <c r="D57" s="27">
        <f>D56*0.12</f>
        <v>5.4623999999999997</v>
      </c>
      <c r="E57" s="42">
        <f>E56*0.12</f>
        <v>1474.7723999999996</v>
      </c>
    </row>
    <row r="58" spans="1:5" ht="31.5" x14ac:dyDescent="0.25">
      <c r="A58" s="6"/>
      <c r="B58" s="179" t="s">
        <v>30</v>
      </c>
      <c r="C58" s="180"/>
      <c r="D58" s="181">
        <f>D56*1.12</f>
        <v>50.982399999999998</v>
      </c>
      <c r="E58" s="182">
        <f>E56*1.12</f>
        <v>13764.542399999998</v>
      </c>
    </row>
    <row r="59" spans="1:5" ht="15.75" x14ac:dyDescent="0.25">
      <c r="A59" s="351" t="s">
        <v>228</v>
      </c>
      <c r="B59" s="351"/>
      <c r="C59" s="351"/>
      <c r="D59" s="8">
        <f>3*90</f>
        <v>270</v>
      </c>
      <c r="E59" s="165" t="s">
        <v>75</v>
      </c>
    </row>
    <row r="60" spans="1:5" ht="30.6" customHeight="1" x14ac:dyDescent="0.25">
      <c r="A60" s="351" t="s">
        <v>359</v>
      </c>
      <c r="B60" s="351"/>
      <c r="C60" s="351"/>
      <c r="D60" s="8">
        <f>ROUND((E58/D59),2)</f>
        <v>50.98</v>
      </c>
      <c r="E60" s="205" t="s">
        <v>401</v>
      </c>
    </row>
    <row r="61" spans="1:5" ht="15.75" x14ac:dyDescent="0.25">
      <c r="A61" s="1"/>
      <c r="B61" s="1"/>
      <c r="C61" s="1"/>
    </row>
  </sheetData>
  <mergeCells count="7">
    <mergeCell ref="A60:C60"/>
    <mergeCell ref="A2:C2"/>
    <mergeCell ref="A3:E3"/>
    <mergeCell ref="A4:B4"/>
    <mergeCell ref="A26:A34"/>
    <mergeCell ref="B26:B34"/>
    <mergeCell ref="A59:C59"/>
  </mergeCells>
  <pageMargins left="0.7" right="0.7" top="0.75" bottom="0.7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2254C2-2F8F-45DB-BB32-6F7D7A07B66B}">
  <dimension ref="A1:J61"/>
  <sheetViews>
    <sheetView topLeftCell="A46" zoomScaleNormal="100" workbookViewId="0">
      <selection activeCell="H63" sqref="H63"/>
    </sheetView>
  </sheetViews>
  <sheetFormatPr defaultRowHeight="15" x14ac:dyDescent="0.25"/>
  <cols>
    <col min="1" max="1" width="12.42578125" customWidth="1"/>
    <col min="2" max="2" width="27" customWidth="1"/>
    <col min="3" max="3" width="63.5703125" customWidth="1"/>
    <col min="4" max="4" width="9.28515625" customWidth="1"/>
    <col min="5" max="5" width="17.140625" customWidth="1"/>
    <col min="6" max="6" width="7.28515625" customWidth="1"/>
    <col min="7" max="7" width="6.85546875" bestFit="1" customWidth="1"/>
    <col min="8" max="8" width="6.28515625" customWidth="1"/>
    <col min="9" max="10" width="6.85546875" customWidth="1"/>
  </cols>
  <sheetData>
    <row r="1" spans="1:5" ht="15.75" x14ac:dyDescent="0.25">
      <c r="A1" s="63" t="s">
        <v>51</v>
      </c>
    </row>
    <row r="2" spans="1:5" ht="18.75" x14ac:dyDescent="0.3">
      <c r="A2" s="358" t="s">
        <v>55</v>
      </c>
      <c r="B2" s="358"/>
      <c r="C2" s="358"/>
    </row>
    <row r="3" spans="1:5" ht="18.75" x14ac:dyDescent="0.25">
      <c r="A3" s="352" t="s">
        <v>187</v>
      </c>
      <c r="B3" s="352"/>
      <c r="C3" s="352"/>
      <c r="D3" s="352"/>
      <c r="E3" s="352"/>
    </row>
    <row r="4" spans="1:5" ht="15.75" x14ac:dyDescent="0.25">
      <c r="A4" s="359" t="s">
        <v>74</v>
      </c>
      <c r="B4" s="359"/>
    </row>
    <row r="6" spans="1:5" ht="75" customHeight="1" x14ac:dyDescent="0.25">
      <c r="A6" s="149" t="s">
        <v>0</v>
      </c>
      <c r="B6" s="149" t="s">
        <v>1</v>
      </c>
      <c r="C6" s="149" t="s">
        <v>2</v>
      </c>
      <c r="D6" s="162" t="s">
        <v>26</v>
      </c>
      <c r="E6" s="162" t="s">
        <v>27</v>
      </c>
    </row>
    <row r="7" spans="1:5" x14ac:dyDescent="0.25">
      <c r="A7" s="292">
        <v>1</v>
      </c>
      <c r="B7" s="292">
        <v>2</v>
      </c>
      <c r="C7" s="292">
        <v>3</v>
      </c>
      <c r="D7" s="292">
        <v>4</v>
      </c>
      <c r="E7" s="292">
        <v>5</v>
      </c>
    </row>
    <row r="8" spans="1:5" ht="15.75" x14ac:dyDescent="0.25">
      <c r="A8" s="4"/>
      <c r="B8" s="7" t="s">
        <v>7</v>
      </c>
      <c r="C8" s="64" t="s">
        <v>8</v>
      </c>
      <c r="D8" s="25"/>
      <c r="E8" s="23"/>
    </row>
    <row r="9" spans="1:5" ht="15.75" x14ac:dyDescent="0.25">
      <c r="A9" s="8">
        <v>1000</v>
      </c>
      <c r="B9" s="7" t="s">
        <v>9</v>
      </c>
      <c r="C9" s="284"/>
      <c r="D9" s="26">
        <f>D10+D18</f>
        <v>7.5</v>
      </c>
      <c r="E9" s="26">
        <f>E10+E18</f>
        <v>480</v>
      </c>
    </row>
    <row r="10" spans="1:5" ht="15.75" x14ac:dyDescent="0.25">
      <c r="A10" s="280">
        <v>1100</v>
      </c>
      <c r="B10" s="280" t="s">
        <v>10</v>
      </c>
      <c r="C10" s="284"/>
      <c r="D10" s="26">
        <f>SUM(D12:D17)</f>
        <v>5.8500000000000005</v>
      </c>
      <c r="E10" s="26">
        <f>SUM(E12:E17)</f>
        <v>374.6</v>
      </c>
    </row>
    <row r="11" spans="1:5" ht="15.75" x14ac:dyDescent="0.25">
      <c r="A11" s="16">
        <v>1110</v>
      </c>
      <c r="B11" s="16" t="s">
        <v>240</v>
      </c>
      <c r="C11" s="147" t="s">
        <v>241</v>
      </c>
      <c r="D11" s="62">
        <f>SUM(D12:D16)</f>
        <v>5.32</v>
      </c>
      <c r="E11" s="62">
        <f>SUM(E12:E16)</f>
        <v>340.54</v>
      </c>
    </row>
    <row r="12" spans="1:5" ht="80.25" customHeight="1" x14ac:dyDescent="0.25">
      <c r="A12" s="136"/>
      <c r="B12" s="139"/>
      <c r="C12" s="152" t="s">
        <v>663</v>
      </c>
      <c r="D12" s="62">
        <f t="shared" ref="D12:D19" si="0">ROUND((E12/64),2)</f>
        <v>1.05</v>
      </c>
      <c r="E12" s="114">
        <f>ROUND((486.2*12*0.0115),2)</f>
        <v>67.099999999999994</v>
      </c>
    </row>
    <row r="13" spans="1:5" ht="76.5" customHeight="1" x14ac:dyDescent="0.25">
      <c r="A13" s="153"/>
      <c r="B13" s="154"/>
      <c r="C13" s="152" t="s">
        <v>664</v>
      </c>
      <c r="D13" s="62">
        <f t="shared" si="0"/>
        <v>1.32</v>
      </c>
      <c r="E13" s="114">
        <f>ROUND((613.42*12*0.0115),2)</f>
        <v>84.65</v>
      </c>
    </row>
    <row r="14" spans="1:5" ht="78.75" x14ac:dyDescent="0.25">
      <c r="A14" s="137"/>
      <c r="B14" s="140"/>
      <c r="C14" s="152" t="s">
        <v>665</v>
      </c>
      <c r="D14" s="62">
        <f t="shared" si="0"/>
        <v>1.24</v>
      </c>
      <c r="E14" s="114">
        <f>ROUND((574.48*12*0.0115),2)</f>
        <v>79.28</v>
      </c>
    </row>
    <row r="15" spans="1:5" ht="77.099999999999994" customHeight="1" x14ac:dyDescent="0.25">
      <c r="A15" s="137"/>
      <c r="B15" s="140"/>
      <c r="C15" s="152" t="s">
        <v>662</v>
      </c>
      <c r="D15" s="62">
        <f t="shared" si="0"/>
        <v>1.1100000000000001</v>
      </c>
      <c r="E15" s="114">
        <f>ROUND((516.85*12*0.0115),2)</f>
        <v>71.33</v>
      </c>
    </row>
    <row r="16" spans="1:5" ht="79.5" customHeight="1" x14ac:dyDescent="0.25">
      <c r="A16" s="138"/>
      <c r="B16" s="141"/>
      <c r="C16" s="152" t="s">
        <v>1556</v>
      </c>
      <c r="D16" s="62">
        <f t="shared" si="0"/>
        <v>0.6</v>
      </c>
      <c r="E16" s="114">
        <f>ROUND((276.7*12*0.0115),2)</f>
        <v>38.18</v>
      </c>
    </row>
    <row r="17" spans="1:10" ht="80.099999999999994" customHeight="1" x14ac:dyDescent="0.25">
      <c r="A17" s="131">
        <v>1140</v>
      </c>
      <c r="B17" s="5" t="s">
        <v>237</v>
      </c>
      <c r="C17" s="152" t="s">
        <v>1399</v>
      </c>
      <c r="D17" s="62">
        <f t="shared" si="0"/>
        <v>0.53</v>
      </c>
      <c r="E17" s="114">
        <f>ROUND((67.1*0.1+84.65*0.1+79.28*0.1+71.33*0.1+38.18*0.1+0.01),2)</f>
        <v>34.06</v>
      </c>
    </row>
    <row r="18" spans="1:10" ht="62.25" customHeight="1" x14ac:dyDescent="0.25">
      <c r="A18" s="7">
        <v>1200</v>
      </c>
      <c r="B18" s="296" t="s">
        <v>11</v>
      </c>
      <c r="C18" s="176" t="s">
        <v>556</v>
      </c>
      <c r="D18" s="88">
        <f>ROUND((D19+D20),2)</f>
        <v>1.65</v>
      </c>
      <c r="E18" s="88">
        <f>ROUND((E19+E20),2)</f>
        <v>105.4</v>
      </c>
    </row>
    <row r="19" spans="1:10" ht="47.25" x14ac:dyDescent="0.25">
      <c r="A19" s="4">
        <v>1210</v>
      </c>
      <c r="B19" s="5" t="s">
        <v>239</v>
      </c>
      <c r="C19" s="176" t="s">
        <v>1400</v>
      </c>
      <c r="D19" s="62">
        <f t="shared" si="0"/>
        <v>1.38</v>
      </c>
      <c r="E19" s="45">
        <f>ROUND((374.6*0.2359),2)</f>
        <v>88.37</v>
      </c>
    </row>
    <row r="20" spans="1:10" ht="77.25" customHeight="1" x14ac:dyDescent="0.25">
      <c r="A20" s="4">
        <v>1227</v>
      </c>
      <c r="B20" s="5" t="s">
        <v>238</v>
      </c>
      <c r="C20" s="152" t="s">
        <v>1401</v>
      </c>
      <c r="D20" s="62">
        <f t="shared" ref="D20" si="1">ROUND((E20/64),2)</f>
        <v>0.27</v>
      </c>
      <c r="E20" s="114">
        <f>ROUND((67.1*0.05+84.65*0.05+79.28*0.05+71.33*0.05+38.18*0.05),2)</f>
        <v>17.03</v>
      </c>
      <c r="F20" s="40"/>
      <c r="G20" s="40"/>
      <c r="H20" s="40"/>
      <c r="I20" s="40"/>
      <c r="J20" s="40"/>
    </row>
    <row r="21" spans="1:10" ht="15.75" x14ac:dyDescent="0.25">
      <c r="A21" s="4"/>
      <c r="B21" s="9" t="s">
        <v>14</v>
      </c>
      <c r="C21" s="151" t="s">
        <v>16</v>
      </c>
      <c r="D21" s="26">
        <f>D9</f>
        <v>7.5</v>
      </c>
      <c r="E21" s="44">
        <f>E9</f>
        <v>480</v>
      </c>
    </row>
    <row r="22" spans="1:10" ht="15.75" x14ac:dyDescent="0.25">
      <c r="A22" s="4"/>
      <c r="B22" s="9" t="s">
        <v>15</v>
      </c>
      <c r="C22" s="150" t="s">
        <v>8</v>
      </c>
      <c r="D22" s="23"/>
      <c r="E22" s="43"/>
    </row>
    <row r="23" spans="1:10" ht="15.75" x14ac:dyDescent="0.25">
      <c r="A23" s="8">
        <v>1000</v>
      </c>
      <c r="B23" s="7" t="s">
        <v>9</v>
      </c>
      <c r="C23" s="150"/>
      <c r="D23" s="88">
        <f>SUM(D24+D35)</f>
        <v>1.24</v>
      </c>
      <c r="E23" s="88">
        <f>SUM(E24+E35)</f>
        <v>79.260000000000005</v>
      </c>
    </row>
    <row r="24" spans="1:10" ht="15.75" x14ac:dyDescent="0.25">
      <c r="A24" s="4">
        <v>1100</v>
      </c>
      <c r="B24" s="4" t="s">
        <v>10</v>
      </c>
      <c r="C24" s="147" t="s">
        <v>267</v>
      </c>
      <c r="D24" s="88">
        <f>SUM(D25:D34)</f>
        <v>1</v>
      </c>
      <c r="E24" s="88">
        <f>SUM(E25:E34)</f>
        <v>64.13000000000001</v>
      </c>
    </row>
    <row r="25" spans="1:10" ht="78.75" customHeight="1" x14ac:dyDescent="0.25">
      <c r="A25" s="237"/>
      <c r="B25" s="238"/>
      <c r="C25" s="152" t="s">
        <v>576</v>
      </c>
      <c r="D25" s="28">
        <f t="shared" ref="D25:D35" si="2">ROUND((E25/64),2)</f>
        <v>0.03</v>
      </c>
      <c r="E25" s="46">
        <f>ROUND((14.05*12*0.0115),2)</f>
        <v>1.94</v>
      </c>
    </row>
    <row r="26" spans="1:10" ht="78.75" x14ac:dyDescent="0.25">
      <c r="A26" s="355"/>
      <c r="B26" s="353"/>
      <c r="C26" s="152" t="s">
        <v>577</v>
      </c>
      <c r="D26" s="28">
        <f t="shared" si="2"/>
        <v>0.02</v>
      </c>
      <c r="E26" s="46">
        <f>ROUND((9.32*12*0.0115),2)</f>
        <v>1.29</v>
      </c>
    </row>
    <row r="27" spans="1:10" ht="78.75" x14ac:dyDescent="0.25">
      <c r="A27" s="355"/>
      <c r="B27" s="353"/>
      <c r="C27" s="152" t="s">
        <v>578</v>
      </c>
      <c r="D27" s="28">
        <f t="shared" si="2"/>
        <v>0.03</v>
      </c>
      <c r="E27" s="28">
        <f>ROUND((13.46*12*0.0115),2)</f>
        <v>1.86</v>
      </c>
    </row>
    <row r="28" spans="1:10" ht="78.75" customHeight="1" x14ac:dyDescent="0.25">
      <c r="A28" s="355"/>
      <c r="B28" s="353"/>
      <c r="C28" s="152" t="s">
        <v>579</v>
      </c>
      <c r="D28" s="28">
        <f t="shared" si="2"/>
        <v>0.04</v>
      </c>
      <c r="E28" s="46">
        <f>ROUND((18.64*12*0.0115),2)</f>
        <v>2.57</v>
      </c>
    </row>
    <row r="29" spans="1:10" ht="78.75" customHeight="1" x14ac:dyDescent="0.25">
      <c r="A29" s="355"/>
      <c r="B29" s="353"/>
      <c r="C29" s="66" t="s">
        <v>580</v>
      </c>
      <c r="D29" s="28">
        <f t="shared" si="2"/>
        <v>0.03</v>
      </c>
      <c r="E29" s="28">
        <f>ROUND((13.16*12*0.0115),2)</f>
        <v>1.82</v>
      </c>
    </row>
    <row r="30" spans="1:10" ht="78.75" x14ac:dyDescent="0.25">
      <c r="A30" s="355"/>
      <c r="B30" s="353"/>
      <c r="C30" s="66" t="s">
        <v>581</v>
      </c>
      <c r="D30" s="28">
        <f t="shared" si="2"/>
        <v>0.16</v>
      </c>
      <c r="E30" s="28">
        <f>ROUND((75.79*12*0.0115),2)</f>
        <v>10.46</v>
      </c>
    </row>
    <row r="31" spans="1:10" ht="78.75" x14ac:dyDescent="0.25">
      <c r="A31" s="355"/>
      <c r="B31" s="353"/>
      <c r="C31" s="66" t="s">
        <v>582</v>
      </c>
      <c r="D31" s="28">
        <f t="shared" si="2"/>
        <v>0.17</v>
      </c>
      <c r="E31" s="28">
        <f>ROUND((77.25*12*0.0115),2)</f>
        <v>10.66</v>
      </c>
    </row>
    <row r="32" spans="1:10" ht="78.75" x14ac:dyDescent="0.25">
      <c r="A32" s="355"/>
      <c r="B32" s="353"/>
      <c r="C32" s="66" t="s">
        <v>583</v>
      </c>
      <c r="D32" s="28">
        <f t="shared" si="2"/>
        <v>0.21</v>
      </c>
      <c r="E32" s="28">
        <f>ROUND((98.97*12*0.0115),2)</f>
        <v>13.66</v>
      </c>
    </row>
    <row r="33" spans="1:5" ht="94.5" x14ac:dyDescent="0.25">
      <c r="A33" s="355"/>
      <c r="B33" s="353"/>
      <c r="C33" s="66" t="s">
        <v>575</v>
      </c>
      <c r="D33" s="28">
        <f t="shared" si="2"/>
        <v>0.25</v>
      </c>
      <c r="E33" s="28">
        <f>ROUND((114.88*12*0.0115),2)</f>
        <v>15.85</v>
      </c>
    </row>
    <row r="34" spans="1:5" ht="78.75" x14ac:dyDescent="0.25">
      <c r="A34" s="356"/>
      <c r="B34" s="354"/>
      <c r="C34" s="66" t="s">
        <v>574</v>
      </c>
      <c r="D34" s="28">
        <f t="shared" si="2"/>
        <v>0.06</v>
      </c>
      <c r="E34" s="28">
        <f>ROUND((29.12*12*0.0115),2)</f>
        <v>4.0199999999999996</v>
      </c>
    </row>
    <row r="35" spans="1:5" ht="65.25" customHeight="1" x14ac:dyDescent="0.25">
      <c r="A35" s="7">
        <v>1200</v>
      </c>
      <c r="B35" s="166" t="s">
        <v>11</v>
      </c>
      <c r="C35" s="67" t="s">
        <v>573</v>
      </c>
      <c r="D35" s="88">
        <f t="shared" si="2"/>
        <v>0.24</v>
      </c>
      <c r="E35" s="92">
        <f>ROUND((64.13*0.2359),2)</f>
        <v>15.13</v>
      </c>
    </row>
    <row r="36" spans="1:5" ht="15.75" x14ac:dyDescent="0.25">
      <c r="A36" s="8">
        <v>2000</v>
      </c>
      <c r="B36" s="7" t="s">
        <v>12</v>
      </c>
      <c r="C36" s="64"/>
      <c r="D36" s="44">
        <f>SUM(D37:D50)</f>
        <v>21.19</v>
      </c>
      <c r="E36" s="44">
        <f>SUM(E37:E50)</f>
        <v>1356.1699999999998</v>
      </c>
    </row>
    <row r="37" spans="1:5" ht="31.5" customHeight="1" x14ac:dyDescent="0.25">
      <c r="A37" s="4">
        <v>2221</v>
      </c>
      <c r="B37" s="112" t="s">
        <v>60</v>
      </c>
      <c r="C37" s="67" t="s">
        <v>572</v>
      </c>
      <c r="D37" s="45">
        <f>ROUND((E37/64),2)</f>
        <v>14.9</v>
      </c>
      <c r="E37" s="45">
        <f>ROUND((82944.32*0.0115),2)</f>
        <v>953.86</v>
      </c>
    </row>
    <row r="38" spans="1:5" ht="31.5" x14ac:dyDescent="0.25">
      <c r="A38" s="4">
        <v>2222</v>
      </c>
      <c r="B38" s="5" t="s">
        <v>61</v>
      </c>
      <c r="C38" s="5" t="s">
        <v>571</v>
      </c>
      <c r="D38" s="45">
        <f t="shared" ref="D38:D49" si="3">ROUND((E38/64),2)</f>
        <v>0.76</v>
      </c>
      <c r="E38" s="45">
        <f>ROUND((4203.76*0.0115),2)</f>
        <v>48.34</v>
      </c>
    </row>
    <row r="39" spans="1:5" ht="33.75" customHeight="1" x14ac:dyDescent="0.25">
      <c r="A39" s="4">
        <v>2223</v>
      </c>
      <c r="B39" s="5" t="s">
        <v>19</v>
      </c>
      <c r="C39" s="176" t="s">
        <v>570</v>
      </c>
      <c r="D39" s="45">
        <f t="shared" si="3"/>
        <v>1.4</v>
      </c>
      <c r="E39" s="45">
        <f>ROUND((7807.39*0.0115),2)</f>
        <v>89.78</v>
      </c>
    </row>
    <row r="40" spans="1:5" ht="79.5" customHeight="1" x14ac:dyDescent="0.25">
      <c r="A40" s="4">
        <v>2224</v>
      </c>
      <c r="B40" s="112" t="s">
        <v>62</v>
      </c>
      <c r="C40" s="67" t="s">
        <v>569</v>
      </c>
      <c r="D40" s="45">
        <f t="shared" si="3"/>
        <v>0.05</v>
      </c>
      <c r="E40" s="45">
        <f>ROUND((275.91*0.0115),2)</f>
        <v>3.17</v>
      </c>
    </row>
    <row r="41" spans="1:5" ht="31.5" customHeight="1" x14ac:dyDescent="0.25">
      <c r="A41" s="4">
        <v>2232</v>
      </c>
      <c r="B41" s="125" t="s">
        <v>45</v>
      </c>
      <c r="C41" s="90" t="s">
        <v>568</v>
      </c>
      <c r="D41" s="45">
        <f t="shared" si="3"/>
        <v>0.03</v>
      </c>
      <c r="E41" s="45">
        <f>ROUND((149.11*0.0115),2)</f>
        <v>1.71</v>
      </c>
    </row>
    <row r="42" spans="1:5" ht="31.5" x14ac:dyDescent="0.25">
      <c r="A42" s="4">
        <v>2239</v>
      </c>
      <c r="B42" s="58" t="s">
        <v>20</v>
      </c>
      <c r="C42" s="124" t="s">
        <v>567</v>
      </c>
      <c r="D42" s="45">
        <f t="shared" si="3"/>
        <v>0.01</v>
      </c>
      <c r="E42" s="45">
        <f>ROUND((57*0.0115),2)</f>
        <v>0.66</v>
      </c>
    </row>
    <row r="43" spans="1:5" ht="32.25" customHeight="1" x14ac:dyDescent="0.25">
      <c r="A43" s="4">
        <v>2241</v>
      </c>
      <c r="B43" s="176" t="s">
        <v>64</v>
      </c>
      <c r="C43" s="176" t="s">
        <v>566</v>
      </c>
      <c r="D43" s="45">
        <f t="shared" si="3"/>
        <v>0.34</v>
      </c>
      <c r="E43" s="45">
        <f>ROUND((1875.92*0.0115),2)</f>
        <v>21.57</v>
      </c>
    </row>
    <row r="44" spans="1:5" ht="49.5" customHeight="1" x14ac:dyDescent="0.25">
      <c r="A44" s="4">
        <v>2243</v>
      </c>
      <c r="B44" s="67" t="s">
        <v>21</v>
      </c>
      <c r="C44" s="90" t="s">
        <v>584</v>
      </c>
      <c r="D44" s="45">
        <f t="shared" si="3"/>
        <v>0.17</v>
      </c>
      <c r="E44" s="45">
        <f>ROUND((956.5*0.0115),2)</f>
        <v>11</v>
      </c>
    </row>
    <row r="45" spans="1:5" ht="46.5" customHeight="1" x14ac:dyDescent="0.25">
      <c r="A45" s="4">
        <v>2244</v>
      </c>
      <c r="B45" s="67" t="s">
        <v>22</v>
      </c>
      <c r="C45" s="67" t="s">
        <v>565</v>
      </c>
      <c r="D45" s="45">
        <f t="shared" si="3"/>
        <v>0.61</v>
      </c>
      <c r="E45" s="45">
        <f>ROUND((3378.56*0.0115),2)</f>
        <v>38.85</v>
      </c>
    </row>
    <row r="46" spans="1:5" ht="47.25" x14ac:dyDescent="0.25">
      <c r="A46" s="4">
        <v>2249</v>
      </c>
      <c r="B46" s="67" t="s">
        <v>50</v>
      </c>
      <c r="C46" s="67" t="s">
        <v>564</v>
      </c>
      <c r="D46" s="28">
        <f t="shared" si="3"/>
        <v>0.67</v>
      </c>
      <c r="E46" s="45">
        <f>ROUND((3705.93*0.0115),2)</f>
        <v>42.62</v>
      </c>
    </row>
    <row r="47" spans="1:5" ht="31.5" customHeight="1" x14ac:dyDescent="0.25">
      <c r="A47" s="4">
        <v>2312</v>
      </c>
      <c r="B47" s="4" t="s">
        <v>13</v>
      </c>
      <c r="C47" s="176" t="s">
        <v>563</v>
      </c>
      <c r="D47" s="28">
        <f t="shared" si="3"/>
        <v>0.15</v>
      </c>
      <c r="E47" s="45">
        <f>ROUND((856.97*0.0115),2)</f>
        <v>9.86</v>
      </c>
    </row>
    <row r="48" spans="1:5" ht="45.75" customHeight="1" x14ac:dyDescent="0.25">
      <c r="A48" s="4">
        <v>2350</v>
      </c>
      <c r="B48" s="5" t="s">
        <v>236</v>
      </c>
      <c r="C48" s="67" t="s">
        <v>562</v>
      </c>
      <c r="D48" s="28">
        <f t="shared" si="3"/>
        <v>0.31</v>
      </c>
      <c r="E48" s="62">
        <f>ROUND((1711.8*0.0115),2)</f>
        <v>19.690000000000001</v>
      </c>
    </row>
    <row r="49" spans="1:5" ht="32.25" customHeight="1" x14ac:dyDescent="0.25">
      <c r="A49" s="4">
        <v>2513</v>
      </c>
      <c r="B49" s="5" t="s">
        <v>63</v>
      </c>
      <c r="C49" s="67" t="s">
        <v>561</v>
      </c>
      <c r="D49" s="28">
        <f t="shared" si="3"/>
        <v>1.45</v>
      </c>
      <c r="E49" s="46">
        <f>ROUND((8084.39*0.0115),2)</f>
        <v>92.97</v>
      </c>
    </row>
    <row r="50" spans="1:5" ht="33" customHeight="1" x14ac:dyDescent="0.25">
      <c r="A50" s="4">
        <v>2515</v>
      </c>
      <c r="B50" s="5" t="s">
        <v>49</v>
      </c>
      <c r="C50" s="67" t="s">
        <v>560</v>
      </c>
      <c r="D50" s="28">
        <f>ROUND((E50/64),2)-0.01</f>
        <v>0.33999999999999997</v>
      </c>
      <c r="E50" s="46">
        <f>ROUND((1920.89*0.0115),2)</f>
        <v>22.09</v>
      </c>
    </row>
    <row r="51" spans="1:5" ht="15.75" x14ac:dyDescent="0.25">
      <c r="A51" s="10">
        <v>5000</v>
      </c>
      <c r="B51" s="9" t="s">
        <v>17</v>
      </c>
      <c r="C51" s="64"/>
      <c r="D51" s="26">
        <f>SUM(D52:D54)</f>
        <v>0.74</v>
      </c>
      <c r="E51" s="26">
        <f>SUM(E52:E54)</f>
        <v>47.53</v>
      </c>
    </row>
    <row r="52" spans="1:5" ht="32.25" customHeight="1" x14ac:dyDescent="0.25">
      <c r="A52" s="4">
        <v>5213</v>
      </c>
      <c r="B52" s="5" t="s">
        <v>32</v>
      </c>
      <c r="C52" s="67" t="s">
        <v>559</v>
      </c>
      <c r="D52" s="46">
        <f t="shared" ref="D52:D54" si="4">ROUND((E52/64),2)</f>
        <v>0.05</v>
      </c>
      <c r="E52" s="46">
        <f>ROUND((251.64*0.0115),2)</f>
        <v>2.89</v>
      </c>
    </row>
    <row r="53" spans="1:5" ht="32.25" customHeight="1" x14ac:dyDescent="0.25">
      <c r="A53" s="19">
        <v>5218</v>
      </c>
      <c r="B53" s="67" t="s">
        <v>33</v>
      </c>
      <c r="C53" s="67" t="s">
        <v>558</v>
      </c>
      <c r="D53" s="46">
        <f t="shared" si="4"/>
        <v>0.2</v>
      </c>
      <c r="E53" s="46">
        <f>ROUND((1134.21*0.0115),2)</f>
        <v>13.04</v>
      </c>
    </row>
    <row r="54" spans="1:5" ht="48.6" customHeight="1" x14ac:dyDescent="0.25">
      <c r="A54" s="19">
        <v>5239</v>
      </c>
      <c r="B54" s="67" t="s">
        <v>18</v>
      </c>
      <c r="C54" s="67" t="s">
        <v>557</v>
      </c>
      <c r="D54" s="46">
        <f t="shared" si="4"/>
        <v>0.49</v>
      </c>
      <c r="E54" s="46">
        <f>ROUND((2748.15*0.0115),2)</f>
        <v>31.6</v>
      </c>
    </row>
    <row r="55" spans="1:5" ht="15.75" x14ac:dyDescent="0.25">
      <c r="A55" s="4"/>
      <c r="B55" s="9" t="s">
        <v>23</v>
      </c>
      <c r="C55" s="64"/>
      <c r="D55" s="26">
        <f>SUM(D23+D36+D51)</f>
        <v>23.169999999999998</v>
      </c>
      <c r="E55" s="41">
        <f>SUM(E23+E36+E51)</f>
        <v>1482.9599999999998</v>
      </c>
    </row>
    <row r="56" spans="1:5" ht="31.5" x14ac:dyDescent="0.25">
      <c r="A56" s="4"/>
      <c r="B56" s="11" t="s">
        <v>28</v>
      </c>
      <c r="C56" s="64"/>
      <c r="D56" s="27">
        <f>D21+D55</f>
        <v>30.669999999999998</v>
      </c>
      <c r="E56" s="42">
        <f>E21+E55</f>
        <v>1962.9599999999998</v>
      </c>
    </row>
    <row r="57" spans="1:5" ht="15.75" x14ac:dyDescent="0.25">
      <c r="A57" s="21"/>
      <c r="B57" s="13" t="s">
        <v>235</v>
      </c>
      <c r="C57" s="64"/>
      <c r="D57" s="27">
        <f>D56*0.12</f>
        <v>3.6803999999999997</v>
      </c>
      <c r="E57" s="42">
        <f>E56*0.12</f>
        <v>235.55519999999996</v>
      </c>
    </row>
    <row r="58" spans="1:5" ht="31.5" x14ac:dyDescent="0.25">
      <c r="A58" s="21"/>
      <c r="B58" s="179" t="s">
        <v>30</v>
      </c>
      <c r="C58" s="180"/>
      <c r="D58" s="181">
        <f>D56*1.12</f>
        <v>34.3504</v>
      </c>
      <c r="E58" s="182">
        <f>E56*1.12</f>
        <v>2198.5151999999998</v>
      </c>
    </row>
    <row r="59" spans="1:5" ht="15.75" x14ac:dyDescent="0.25">
      <c r="A59" s="351" t="s">
        <v>229</v>
      </c>
      <c r="B59" s="351"/>
      <c r="C59" s="351"/>
      <c r="D59" s="8">
        <f>2*32</f>
        <v>64</v>
      </c>
      <c r="E59" s="165" t="s">
        <v>75</v>
      </c>
    </row>
    <row r="60" spans="1:5" ht="30.6" customHeight="1" x14ac:dyDescent="0.25">
      <c r="A60" s="351" t="s">
        <v>359</v>
      </c>
      <c r="B60" s="351"/>
      <c r="C60" s="351"/>
      <c r="D60" s="183">
        <f>ROUND((E58/D59),2)</f>
        <v>34.35</v>
      </c>
      <c r="E60" s="205" t="s">
        <v>401</v>
      </c>
    </row>
    <row r="61" spans="1:5" ht="15.75" x14ac:dyDescent="0.25">
      <c r="A61" s="1"/>
      <c r="B61" s="1"/>
      <c r="C61" s="1"/>
    </row>
  </sheetData>
  <mergeCells count="7">
    <mergeCell ref="A60:C60"/>
    <mergeCell ref="A2:C2"/>
    <mergeCell ref="A3:E3"/>
    <mergeCell ref="A4:B4"/>
    <mergeCell ref="A26:A34"/>
    <mergeCell ref="B26:B34"/>
    <mergeCell ref="A59:C59"/>
  </mergeCells>
  <pageMargins left="0.7" right="0.7" top="0.75" bottom="0.75" header="0.3" footer="0.3"/>
  <pageSetup paperSize="9" orientation="landscape" r:id="rId1"/>
  <rowBreaks count="3" manualBreakCount="3">
    <brk id="21" max="4" man="1"/>
    <brk id="35" max="4" man="1"/>
    <brk id="47" max="4" man="1"/>
  </rowBreaks>
  <ignoredErrors>
    <ignoredError sqref="D18:E18" formula="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AAF0A-4774-4D3C-A3DE-5F6F3F196704}">
  <dimension ref="A1:L61"/>
  <sheetViews>
    <sheetView topLeftCell="A46" zoomScaleNormal="100" workbookViewId="0">
      <selection activeCell="E6" sqref="E6"/>
    </sheetView>
  </sheetViews>
  <sheetFormatPr defaultRowHeight="15" x14ac:dyDescent="0.25"/>
  <cols>
    <col min="1" max="1" width="12.28515625" customWidth="1"/>
    <col min="2" max="2" width="27" customWidth="1"/>
    <col min="3" max="3" width="62.7109375" customWidth="1"/>
    <col min="4" max="4" width="9.85546875" customWidth="1"/>
    <col min="5" max="5" width="17.42578125" customWidth="1"/>
  </cols>
  <sheetData>
    <row r="1" spans="1:12" ht="18.75" x14ac:dyDescent="0.3">
      <c r="A1" s="158" t="s">
        <v>51</v>
      </c>
    </row>
    <row r="2" spans="1:12" ht="18.75" x14ac:dyDescent="0.3">
      <c r="A2" s="358" t="s">
        <v>55</v>
      </c>
      <c r="B2" s="358"/>
      <c r="C2" s="358"/>
    </row>
    <row r="3" spans="1:12" ht="18.75" x14ac:dyDescent="0.25">
      <c r="A3" s="352" t="s">
        <v>198</v>
      </c>
      <c r="B3" s="352"/>
      <c r="C3" s="352"/>
      <c r="D3" s="352"/>
      <c r="E3" s="352"/>
    </row>
    <row r="4" spans="1:12" ht="15.75" x14ac:dyDescent="0.25">
      <c r="A4" s="359" t="s">
        <v>74</v>
      </c>
      <c r="B4" s="359"/>
    </row>
    <row r="6" spans="1:12" ht="77.25" customHeight="1" x14ac:dyDescent="0.25">
      <c r="A6" s="149" t="s">
        <v>0</v>
      </c>
      <c r="B6" s="149" t="s">
        <v>1</v>
      </c>
      <c r="C6" s="149" t="s">
        <v>2</v>
      </c>
      <c r="D6" s="162" t="s">
        <v>26</v>
      </c>
      <c r="E6" s="162" t="s">
        <v>27</v>
      </c>
    </row>
    <row r="7" spans="1:12" ht="15.75" x14ac:dyDescent="0.25">
      <c r="A7" s="69">
        <v>1</v>
      </c>
      <c r="B7" s="69">
        <v>2</v>
      </c>
      <c r="C7" s="69">
        <v>3</v>
      </c>
      <c r="D7" s="28">
        <v>4</v>
      </c>
      <c r="E7" s="28">
        <v>5</v>
      </c>
    </row>
    <row r="8" spans="1:12" ht="15.75" x14ac:dyDescent="0.25">
      <c r="A8" s="4"/>
      <c r="B8" s="7" t="s">
        <v>7</v>
      </c>
      <c r="C8" s="69" t="s">
        <v>8</v>
      </c>
      <c r="D8" s="25"/>
      <c r="E8" s="23"/>
    </row>
    <row r="9" spans="1:12" ht="15.75" x14ac:dyDescent="0.25">
      <c r="A9" s="8">
        <v>1000</v>
      </c>
      <c r="B9" s="7" t="s">
        <v>9</v>
      </c>
      <c r="C9" s="284"/>
      <c r="D9" s="44">
        <f>D10+D18</f>
        <v>5.38</v>
      </c>
      <c r="E9" s="44">
        <f>E10+E18</f>
        <v>905.69999999999993</v>
      </c>
    </row>
    <row r="10" spans="1:12" ht="15.75" x14ac:dyDescent="0.25">
      <c r="A10" s="280">
        <v>1100</v>
      </c>
      <c r="B10" s="280" t="s">
        <v>10</v>
      </c>
      <c r="C10" s="284"/>
      <c r="D10" s="44">
        <f>SUM(D12:D17)</f>
        <v>4.2</v>
      </c>
      <c r="E10" s="44">
        <f>SUM(E12:E17)</f>
        <v>706.82999999999993</v>
      </c>
    </row>
    <row r="11" spans="1:12" ht="15.75" x14ac:dyDescent="0.25">
      <c r="A11" s="16">
        <v>1110</v>
      </c>
      <c r="B11" s="16" t="s">
        <v>240</v>
      </c>
      <c r="C11" s="147" t="s">
        <v>241</v>
      </c>
      <c r="D11" s="114">
        <f>SUM(D12:D16)</f>
        <v>3.82</v>
      </c>
      <c r="E11" s="114">
        <f>SUM(E12:E16)</f>
        <v>642.56999999999994</v>
      </c>
    </row>
    <row r="12" spans="1:12" ht="78.75" customHeight="1" x14ac:dyDescent="0.25">
      <c r="A12" s="136"/>
      <c r="B12" s="139"/>
      <c r="C12" s="152" t="s">
        <v>609</v>
      </c>
      <c r="D12" s="114">
        <f>ROUND((E12/168),2)</f>
        <v>0.75</v>
      </c>
      <c r="E12" s="114">
        <f>ROUND((486.2*12*0.0217),2)</f>
        <v>126.61</v>
      </c>
      <c r="G12" s="203"/>
      <c r="I12" s="87"/>
      <c r="L12" s="51"/>
    </row>
    <row r="13" spans="1:12" ht="78.75" x14ac:dyDescent="0.25">
      <c r="A13" s="153"/>
      <c r="B13" s="154"/>
      <c r="C13" s="152" t="s">
        <v>661</v>
      </c>
      <c r="D13" s="114">
        <f t="shared" ref="D13:D20" si="0">ROUND((E13/168),2)</f>
        <v>0.95</v>
      </c>
      <c r="E13" s="114">
        <f>ROUND((613.42*12*0.0217),2)</f>
        <v>159.72999999999999</v>
      </c>
      <c r="F13" s="40"/>
      <c r="G13" s="227"/>
      <c r="I13" s="87"/>
    </row>
    <row r="14" spans="1:12" ht="78.75" x14ac:dyDescent="0.25">
      <c r="A14" s="137"/>
      <c r="B14" s="140"/>
      <c r="C14" s="152" t="s">
        <v>660</v>
      </c>
      <c r="D14" s="114">
        <f t="shared" si="0"/>
        <v>0.89</v>
      </c>
      <c r="E14" s="114">
        <f>ROUND((574.48*12*0.0217),2)</f>
        <v>149.59</v>
      </c>
      <c r="G14" s="227"/>
      <c r="I14" s="87"/>
    </row>
    <row r="15" spans="1:12" ht="78.75" x14ac:dyDescent="0.25">
      <c r="A15" s="137"/>
      <c r="B15" s="140"/>
      <c r="C15" s="152" t="s">
        <v>615</v>
      </c>
      <c r="D15" s="114">
        <f t="shared" si="0"/>
        <v>0.8</v>
      </c>
      <c r="E15" s="114">
        <f>ROUND((516.85*12*0.0217),2)</f>
        <v>134.59</v>
      </c>
      <c r="G15" s="227"/>
      <c r="I15" s="87"/>
    </row>
    <row r="16" spans="1:12" ht="78.75" x14ac:dyDescent="0.25">
      <c r="A16" s="138"/>
      <c r="B16" s="141"/>
      <c r="C16" s="152" t="s">
        <v>1557</v>
      </c>
      <c r="D16" s="114">
        <f t="shared" si="0"/>
        <v>0.43</v>
      </c>
      <c r="E16" s="114">
        <f>ROUND((276.7*12*0.0217),2)</f>
        <v>72.05</v>
      </c>
      <c r="G16" s="227"/>
      <c r="I16" s="87"/>
    </row>
    <row r="17" spans="1:12" ht="94.5" x14ac:dyDescent="0.25">
      <c r="A17" s="131">
        <v>1140</v>
      </c>
      <c r="B17" s="5" t="s">
        <v>237</v>
      </c>
      <c r="C17" s="152" t="s">
        <v>1402</v>
      </c>
      <c r="D17" s="114">
        <f t="shared" si="0"/>
        <v>0.38</v>
      </c>
      <c r="E17" s="114">
        <f>ROUND((126.61*0.1+159.73*0.1+149.59*0.1+134.59*0.1+72.05*0.1),2)</f>
        <v>64.260000000000005</v>
      </c>
      <c r="G17" s="227"/>
      <c r="I17" s="87"/>
    </row>
    <row r="18" spans="1:12" ht="63" customHeight="1" x14ac:dyDescent="0.25">
      <c r="A18" s="7">
        <v>1200</v>
      </c>
      <c r="B18" s="296" t="s">
        <v>11</v>
      </c>
      <c r="C18" s="176" t="s">
        <v>612</v>
      </c>
      <c r="D18" s="92">
        <f>ROUND((D19+D20),2)</f>
        <v>1.18</v>
      </c>
      <c r="E18" s="92">
        <f>ROUND((E19+E20),2)</f>
        <v>198.87</v>
      </c>
      <c r="G18" s="227"/>
      <c r="I18" s="87"/>
    </row>
    <row r="19" spans="1:12" ht="47.25" x14ac:dyDescent="0.25">
      <c r="A19" s="4">
        <v>1210</v>
      </c>
      <c r="B19" s="5" t="s">
        <v>239</v>
      </c>
      <c r="C19" s="176" t="s">
        <v>610</v>
      </c>
      <c r="D19" s="45">
        <f t="shared" si="0"/>
        <v>0.99</v>
      </c>
      <c r="E19" s="45">
        <f>ROUND((706.83*0.2359),2)</f>
        <v>166.74</v>
      </c>
      <c r="G19" s="227"/>
      <c r="I19" s="87"/>
    </row>
    <row r="20" spans="1:12" ht="78" customHeight="1" x14ac:dyDescent="0.25">
      <c r="A20" s="4">
        <v>1227</v>
      </c>
      <c r="B20" s="5" t="s">
        <v>238</v>
      </c>
      <c r="C20" s="152" t="s">
        <v>611</v>
      </c>
      <c r="D20" s="45">
        <f t="shared" si="0"/>
        <v>0.19</v>
      </c>
      <c r="E20" s="114">
        <f>ROUND((126.61*0.05+159.73*0.05+149.59*0.05+134.59*0.05+72.05*0.05),2)</f>
        <v>32.130000000000003</v>
      </c>
      <c r="G20" s="227"/>
    </row>
    <row r="21" spans="1:12" ht="15.75" x14ac:dyDescent="0.25">
      <c r="A21" s="4"/>
      <c r="B21" s="9" t="s">
        <v>14</v>
      </c>
      <c r="C21" s="70" t="s">
        <v>16</v>
      </c>
      <c r="D21" s="44">
        <f>D9</f>
        <v>5.38</v>
      </c>
      <c r="E21" s="44">
        <f>E9</f>
        <v>905.69999999999993</v>
      </c>
      <c r="G21" s="227"/>
    </row>
    <row r="22" spans="1:12" ht="15.75" x14ac:dyDescent="0.25">
      <c r="A22" s="4"/>
      <c r="B22" s="9" t="s">
        <v>15</v>
      </c>
      <c r="C22" s="69" t="s">
        <v>8</v>
      </c>
      <c r="D22" s="43"/>
      <c r="E22" s="43"/>
      <c r="G22" s="227"/>
    </row>
    <row r="23" spans="1:12" ht="15.75" x14ac:dyDescent="0.25">
      <c r="A23" s="8">
        <v>1000</v>
      </c>
      <c r="B23" s="7" t="s">
        <v>9</v>
      </c>
      <c r="C23" s="69"/>
      <c r="D23" s="92">
        <f>SUM(D24+D35)</f>
        <v>0.9</v>
      </c>
      <c r="E23" s="92">
        <f>SUM(E24+E35)</f>
        <v>150.98999999999998</v>
      </c>
      <c r="G23" s="227"/>
    </row>
    <row r="24" spans="1:12" ht="15.75" x14ac:dyDescent="0.25">
      <c r="A24" s="4">
        <v>1100</v>
      </c>
      <c r="B24" s="4" t="s">
        <v>10</v>
      </c>
      <c r="C24" s="147" t="s">
        <v>267</v>
      </c>
      <c r="D24" s="92">
        <f>SUM(D25:D34)</f>
        <v>0.73</v>
      </c>
      <c r="E24" s="92">
        <f>SUM(E25:E34)</f>
        <v>122.16999999999999</v>
      </c>
      <c r="G24" s="227"/>
    </row>
    <row r="25" spans="1:12" ht="78" customHeight="1" x14ac:dyDescent="0.25">
      <c r="A25" s="237"/>
      <c r="B25" s="238"/>
      <c r="C25" s="71" t="s">
        <v>607</v>
      </c>
      <c r="D25" s="45">
        <f t="shared" ref="D25:D35" si="1">ROUND((E25/168),2)</f>
        <v>0.02</v>
      </c>
      <c r="E25" s="45">
        <f>ROUND((14.05*12*0.0217),2)</f>
        <v>3.66</v>
      </c>
      <c r="G25" s="203"/>
      <c r="I25" s="87"/>
    </row>
    <row r="26" spans="1:12" ht="78.75" x14ac:dyDescent="0.25">
      <c r="A26" s="355"/>
      <c r="B26" s="353"/>
      <c r="C26" s="132" t="s">
        <v>613</v>
      </c>
      <c r="D26" s="45">
        <f t="shared" si="1"/>
        <v>0.01</v>
      </c>
      <c r="E26" s="45">
        <f>ROUND((9.32*12*0.0217),2)</f>
        <v>2.4300000000000002</v>
      </c>
      <c r="G26" s="203"/>
      <c r="I26" s="51"/>
      <c r="L26" s="87"/>
    </row>
    <row r="27" spans="1:12" ht="78.75" x14ac:dyDescent="0.25">
      <c r="A27" s="355"/>
      <c r="B27" s="353"/>
      <c r="C27" s="132" t="s">
        <v>606</v>
      </c>
      <c r="D27" s="45">
        <f t="shared" si="1"/>
        <v>0.02</v>
      </c>
      <c r="E27" s="45">
        <f>ROUND((13.46*12*0.0217),2)</f>
        <v>3.5</v>
      </c>
      <c r="G27" s="203"/>
      <c r="I27" s="87"/>
    </row>
    <row r="28" spans="1:12" ht="78" customHeight="1" x14ac:dyDescent="0.25">
      <c r="A28" s="355"/>
      <c r="B28" s="353"/>
      <c r="C28" s="132" t="s">
        <v>1532</v>
      </c>
      <c r="D28" s="45">
        <f t="shared" si="1"/>
        <v>0.04</v>
      </c>
      <c r="E28" s="45">
        <f>ROUND((23.15*12*0.0217),2)</f>
        <v>6.03</v>
      </c>
      <c r="F28" s="40"/>
      <c r="G28" s="203"/>
      <c r="I28" s="87"/>
    </row>
    <row r="29" spans="1:12" ht="78.75" customHeight="1" x14ac:dyDescent="0.25">
      <c r="A29" s="355"/>
      <c r="B29" s="353"/>
      <c r="C29" s="132" t="s">
        <v>605</v>
      </c>
      <c r="D29" s="45">
        <f t="shared" si="1"/>
        <v>0.02</v>
      </c>
      <c r="E29" s="45">
        <f>ROUND((13.16*12*0.0217),2)</f>
        <v>3.43</v>
      </c>
      <c r="G29" s="227"/>
      <c r="I29" s="87"/>
    </row>
    <row r="30" spans="1:12" ht="78.75" x14ac:dyDescent="0.25">
      <c r="A30" s="355"/>
      <c r="B30" s="353"/>
      <c r="C30" s="132" t="s">
        <v>608</v>
      </c>
      <c r="D30" s="45">
        <f t="shared" si="1"/>
        <v>0.12</v>
      </c>
      <c r="E30" s="45">
        <f>ROUND((75.79*12*0.0217),2)</f>
        <v>19.739999999999998</v>
      </c>
      <c r="G30" s="227"/>
      <c r="I30" s="87"/>
    </row>
    <row r="31" spans="1:12" ht="78.75" x14ac:dyDescent="0.25">
      <c r="A31" s="355"/>
      <c r="B31" s="353"/>
      <c r="C31" s="71" t="s">
        <v>603</v>
      </c>
      <c r="D31" s="45">
        <f t="shared" si="1"/>
        <v>0.12</v>
      </c>
      <c r="E31" s="45">
        <f>ROUND((77.25*12*0.0217),2)</f>
        <v>20.12</v>
      </c>
      <c r="G31" s="203"/>
      <c r="I31" s="87"/>
    </row>
    <row r="32" spans="1:12" ht="78.75" x14ac:dyDescent="0.25">
      <c r="A32" s="355"/>
      <c r="B32" s="353"/>
      <c r="C32" s="71" t="s">
        <v>604</v>
      </c>
      <c r="D32" s="45">
        <f t="shared" si="1"/>
        <v>0.15</v>
      </c>
      <c r="E32" s="45">
        <f>ROUND((98.97*12*0.0217),2)</f>
        <v>25.77</v>
      </c>
      <c r="G32" s="203"/>
      <c r="I32" s="87"/>
      <c r="L32" s="87"/>
    </row>
    <row r="33" spans="1:9" ht="94.5" x14ac:dyDescent="0.25">
      <c r="A33" s="355"/>
      <c r="B33" s="353"/>
      <c r="C33" s="71" t="s">
        <v>1403</v>
      </c>
      <c r="D33" s="45">
        <f t="shared" si="1"/>
        <v>0.18</v>
      </c>
      <c r="E33" s="45">
        <f>ROUND((114.88*12*0.0217),2)</f>
        <v>29.91</v>
      </c>
      <c r="G33" s="227"/>
      <c r="I33" s="87"/>
    </row>
    <row r="34" spans="1:9" ht="78.75" x14ac:dyDescent="0.25">
      <c r="A34" s="356"/>
      <c r="B34" s="354"/>
      <c r="C34" s="71" t="s">
        <v>602</v>
      </c>
      <c r="D34" s="114">
        <f t="shared" si="1"/>
        <v>0.05</v>
      </c>
      <c r="E34" s="45">
        <f>ROUND((29.12*12*0.0217),2)</f>
        <v>7.58</v>
      </c>
      <c r="G34" s="228"/>
      <c r="I34" s="87"/>
    </row>
    <row r="35" spans="1:9" ht="62.45" customHeight="1" x14ac:dyDescent="0.25">
      <c r="A35" s="7">
        <v>1200</v>
      </c>
      <c r="B35" s="166" t="s">
        <v>11</v>
      </c>
      <c r="C35" s="72" t="s">
        <v>1534</v>
      </c>
      <c r="D35" s="92">
        <f t="shared" si="1"/>
        <v>0.17</v>
      </c>
      <c r="E35" s="92">
        <f>ROUND((122.17*0.2359),2)</f>
        <v>28.82</v>
      </c>
      <c r="G35" s="227"/>
      <c r="I35" s="87"/>
    </row>
    <row r="36" spans="1:9" ht="15.75" x14ac:dyDescent="0.25">
      <c r="A36" s="8">
        <v>2000</v>
      </c>
      <c r="B36" s="7" t="s">
        <v>12</v>
      </c>
      <c r="C36" s="69"/>
      <c r="D36" s="44">
        <f>SUM(D37:D50)</f>
        <v>15.229999999999997</v>
      </c>
      <c r="E36" s="44">
        <f>SUM(E37:E50)</f>
        <v>2559.0599999999995</v>
      </c>
      <c r="G36" s="227"/>
      <c r="I36" s="87"/>
    </row>
    <row r="37" spans="1:9" ht="31.5" customHeight="1" x14ac:dyDescent="0.25">
      <c r="A37" s="4">
        <v>2221</v>
      </c>
      <c r="B37" s="112" t="s">
        <v>60</v>
      </c>
      <c r="C37" s="121" t="s">
        <v>601</v>
      </c>
      <c r="D37" s="45">
        <f>ROUND((E37/168),2)</f>
        <v>10.71</v>
      </c>
      <c r="E37" s="45">
        <f>ROUND((82944.32*0.0217),2)</f>
        <v>1799.89</v>
      </c>
      <c r="G37" s="203"/>
      <c r="I37" s="87"/>
    </row>
    <row r="38" spans="1:9" ht="30" customHeight="1" x14ac:dyDescent="0.25">
      <c r="A38" s="4">
        <v>2222</v>
      </c>
      <c r="B38" s="5" t="s">
        <v>61</v>
      </c>
      <c r="C38" s="121" t="s">
        <v>600</v>
      </c>
      <c r="D38" s="45">
        <f>ROUND((E38/168),2)</f>
        <v>0.54</v>
      </c>
      <c r="E38" s="45">
        <f>ROUND((4203.76*0.0217),2)</f>
        <v>91.22</v>
      </c>
      <c r="G38" s="203"/>
      <c r="I38" s="87"/>
    </row>
    <row r="39" spans="1:9" ht="33" customHeight="1" x14ac:dyDescent="0.25">
      <c r="A39" s="4">
        <v>2223</v>
      </c>
      <c r="B39" s="5" t="s">
        <v>19</v>
      </c>
      <c r="C39" s="121" t="s">
        <v>599</v>
      </c>
      <c r="D39" s="45">
        <f>ROUND((E39/168),2)</f>
        <v>1.01</v>
      </c>
      <c r="E39" s="45">
        <f>ROUND((7807.39*0.0217),2)</f>
        <v>169.42</v>
      </c>
      <c r="G39" s="203"/>
      <c r="I39" s="87"/>
    </row>
    <row r="40" spans="1:9" ht="80.25" customHeight="1" x14ac:dyDescent="0.25">
      <c r="A40" s="4">
        <v>2224</v>
      </c>
      <c r="B40" s="112" t="s">
        <v>62</v>
      </c>
      <c r="C40" s="121" t="s">
        <v>597</v>
      </c>
      <c r="D40" s="45">
        <f t="shared" ref="D40:D50" si="2">ROUND((E40/168),2)</f>
        <v>0.04</v>
      </c>
      <c r="E40" s="45">
        <f>ROUND((275.91*0.0217),2)</f>
        <v>5.99</v>
      </c>
      <c r="G40" s="203"/>
      <c r="I40" s="87"/>
    </row>
    <row r="41" spans="1:9" ht="48.75" customHeight="1" x14ac:dyDescent="0.25">
      <c r="A41" s="4">
        <v>2232</v>
      </c>
      <c r="B41" s="125" t="s">
        <v>68</v>
      </c>
      <c r="C41" s="90" t="s">
        <v>596</v>
      </c>
      <c r="D41" s="45">
        <f t="shared" si="2"/>
        <v>0.02</v>
      </c>
      <c r="E41" s="45">
        <f>ROUND((149.11*0.0217),2)</f>
        <v>3.24</v>
      </c>
      <c r="G41" s="203"/>
      <c r="I41" s="87"/>
    </row>
    <row r="42" spans="1:9" ht="31.5" x14ac:dyDescent="0.25">
      <c r="A42" s="4">
        <v>2239</v>
      </c>
      <c r="B42" s="90" t="s">
        <v>20</v>
      </c>
      <c r="C42" s="90" t="s">
        <v>595</v>
      </c>
      <c r="D42" s="45">
        <f t="shared" si="2"/>
        <v>0.01</v>
      </c>
      <c r="E42" s="45">
        <f>ROUND((57*0.0217),2)</f>
        <v>1.24</v>
      </c>
      <c r="G42" s="203"/>
      <c r="I42" s="87"/>
    </row>
    <row r="43" spans="1:9" ht="32.25" customHeight="1" x14ac:dyDescent="0.25">
      <c r="A43" s="4">
        <v>2241</v>
      </c>
      <c r="B43" s="112" t="s">
        <v>64</v>
      </c>
      <c r="C43" s="121" t="s">
        <v>594</v>
      </c>
      <c r="D43" s="45">
        <f t="shared" si="2"/>
        <v>0.24</v>
      </c>
      <c r="E43" s="45">
        <f>ROUND((1875.92*0.0217),2)</f>
        <v>40.71</v>
      </c>
      <c r="G43" s="203"/>
      <c r="I43" s="87"/>
    </row>
    <row r="44" spans="1:9" ht="47.25" customHeight="1" x14ac:dyDescent="0.25">
      <c r="A44" s="4">
        <v>2243</v>
      </c>
      <c r="B44" s="72" t="s">
        <v>21</v>
      </c>
      <c r="C44" s="90" t="s">
        <v>593</v>
      </c>
      <c r="D44" s="45">
        <f t="shared" si="2"/>
        <v>0.12</v>
      </c>
      <c r="E44" s="45">
        <f>ROUND((956.5*0.0217),2)</f>
        <v>20.76</v>
      </c>
      <c r="G44" s="203"/>
      <c r="I44" s="87"/>
    </row>
    <row r="45" spans="1:9" ht="46.5" customHeight="1" x14ac:dyDescent="0.25">
      <c r="A45" s="4">
        <v>2244</v>
      </c>
      <c r="B45" s="72" t="s">
        <v>22</v>
      </c>
      <c r="C45" s="121" t="s">
        <v>598</v>
      </c>
      <c r="D45" s="45">
        <f t="shared" si="2"/>
        <v>0.44</v>
      </c>
      <c r="E45" s="45">
        <f>ROUND((3378.56*0.0217),2)</f>
        <v>73.31</v>
      </c>
      <c r="G45" s="203"/>
      <c r="I45" s="87"/>
    </row>
    <row r="46" spans="1:9" ht="47.25" x14ac:dyDescent="0.25">
      <c r="A46" s="4">
        <v>2249</v>
      </c>
      <c r="B46" s="72" t="s">
        <v>50</v>
      </c>
      <c r="C46" s="121" t="s">
        <v>592</v>
      </c>
      <c r="D46" s="45">
        <f t="shared" si="2"/>
        <v>0.48</v>
      </c>
      <c r="E46" s="45">
        <f>ROUND((3705.93*0.0217),2)</f>
        <v>80.42</v>
      </c>
      <c r="G46" s="203"/>
      <c r="I46" s="87"/>
    </row>
    <row r="47" spans="1:9" ht="30.75" customHeight="1" x14ac:dyDescent="0.25">
      <c r="A47" s="4">
        <v>2312</v>
      </c>
      <c r="B47" s="4" t="s">
        <v>13</v>
      </c>
      <c r="C47" s="72" t="s">
        <v>591</v>
      </c>
      <c r="D47" s="45">
        <f t="shared" si="2"/>
        <v>0.11</v>
      </c>
      <c r="E47" s="45">
        <f>ROUND((856.97*0.0217),2)</f>
        <v>18.600000000000001</v>
      </c>
      <c r="G47" s="203"/>
      <c r="I47" s="87"/>
    </row>
    <row r="48" spans="1:9" ht="46.5" customHeight="1" x14ac:dyDescent="0.25">
      <c r="A48" s="4">
        <v>2350</v>
      </c>
      <c r="B48" s="5" t="s">
        <v>236</v>
      </c>
      <c r="C48" s="72" t="s">
        <v>590</v>
      </c>
      <c r="D48" s="45">
        <f t="shared" si="2"/>
        <v>0.22</v>
      </c>
      <c r="E48" s="114">
        <f>ROUND((1711.8*0.0217),2)</f>
        <v>37.15</v>
      </c>
      <c r="G48" s="203"/>
      <c r="I48" s="87"/>
    </row>
    <row r="49" spans="1:12" ht="31.5" customHeight="1" x14ac:dyDescent="0.25">
      <c r="A49" s="4">
        <v>2513</v>
      </c>
      <c r="B49" s="5" t="s">
        <v>63</v>
      </c>
      <c r="C49" s="72" t="s">
        <v>589</v>
      </c>
      <c r="D49" s="45">
        <f>ROUND((E49/168),2)</f>
        <v>1.04</v>
      </c>
      <c r="E49" s="45">
        <f>ROUND((8084.39*0.0217),2)</f>
        <v>175.43</v>
      </c>
      <c r="G49" s="203"/>
      <c r="I49" s="87"/>
    </row>
    <row r="50" spans="1:12" ht="32.25" customHeight="1" x14ac:dyDescent="0.25">
      <c r="A50" s="4">
        <v>2515</v>
      </c>
      <c r="B50" s="5" t="s">
        <v>49</v>
      </c>
      <c r="C50" s="72" t="s">
        <v>588</v>
      </c>
      <c r="D50" s="45">
        <f t="shared" si="2"/>
        <v>0.25</v>
      </c>
      <c r="E50" s="45">
        <f>ROUND((1920.89*0.0217),2)</f>
        <v>41.68</v>
      </c>
      <c r="G50" s="203"/>
      <c r="I50" s="87"/>
    </row>
    <row r="51" spans="1:12" s="313" customFormat="1" ht="15.75" x14ac:dyDescent="0.25">
      <c r="A51" s="310">
        <v>5000</v>
      </c>
      <c r="B51" s="9" t="s">
        <v>17</v>
      </c>
      <c r="C51" s="311"/>
      <c r="D51" s="312">
        <f>SUM(D52:D54)</f>
        <v>0.54</v>
      </c>
      <c r="E51" s="312">
        <f>SUM(E52:E54)</f>
        <v>89.7</v>
      </c>
      <c r="G51" s="314"/>
      <c r="I51" s="87"/>
    </row>
    <row r="52" spans="1:12" ht="32.25" customHeight="1" x14ac:dyDescent="0.25">
      <c r="A52" s="4">
        <v>5213</v>
      </c>
      <c r="B52" s="5" t="s">
        <v>32</v>
      </c>
      <c r="C52" s="72" t="s">
        <v>587</v>
      </c>
      <c r="D52" s="45">
        <f t="shared" ref="D52:D53" si="3">ROUND((E52/168),2)</f>
        <v>0.03</v>
      </c>
      <c r="E52" s="45">
        <f>ROUND((251.64*0.0217),2)</f>
        <v>5.46</v>
      </c>
      <c r="G52" s="227"/>
      <c r="I52" s="87"/>
    </row>
    <row r="53" spans="1:12" ht="32.25" customHeight="1" x14ac:dyDescent="0.25">
      <c r="A53" s="19">
        <v>5218</v>
      </c>
      <c r="B53" s="72" t="s">
        <v>33</v>
      </c>
      <c r="C53" s="72" t="s">
        <v>614</v>
      </c>
      <c r="D53" s="45">
        <f t="shared" si="3"/>
        <v>0.15</v>
      </c>
      <c r="E53" s="45">
        <f>ROUND((1134.21*0.0217),2)</f>
        <v>24.61</v>
      </c>
      <c r="G53" s="227"/>
      <c r="I53" s="87"/>
    </row>
    <row r="54" spans="1:12" ht="47.25" x14ac:dyDescent="0.25">
      <c r="A54" s="19">
        <v>5239</v>
      </c>
      <c r="B54" s="72" t="s">
        <v>18</v>
      </c>
      <c r="C54" s="72" t="s">
        <v>586</v>
      </c>
      <c r="D54" s="159">
        <f>ROUND((E54/168+0.01),2)</f>
        <v>0.36</v>
      </c>
      <c r="E54" s="45">
        <f>ROUND((2748.15*0.0217),2)</f>
        <v>59.63</v>
      </c>
      <c r="G54" s="203"/>
      <c r="I54" s="87"/>
      <c r="L54" s="329"/>
    </row>
    <row r="55" spans="1:12" ht="15.75" x14ac:dyDescent="0.25">
      <c r="A55" s="171"/>
      <c r="B55" s="9" t="s">
        <v>23</v>
      </c>
      <c r="C55" s="69"/>
      <c r="D55" s="26">
        <f>SUM(D23+D36+D51)</f>
        <v>16.669999999999995</v>
      </c>
      <c r="E55" s="41">
        <f>SUM(E23+E36+E51)</f>
        <v>2799.7499999999991</v>
      </c>
      <c r="G55" s="227"/>
      <c r="I55" s="87"/>
      <c r="L55" s="323"/>
    </row>
    <row r="56" spans="1:12" ht="31.5" x14ac:dyDescent="0.25">
      <c r="A56" s="172"/>
      <c r="B56" s="11" t="s">
        <v>28</v>
      </c>
      <c r="C56" s="69"/>
      <c r="D56" s="27">
        <f>D21+D55</f>
        <v>22.049999999999994</v>
      </c>
      <c r="E56" s="42">
        <f>E21+E55</f>
        <v>3705.4499999999989</v>
      </c>
      <c r="G56" s="227"/>
      <c r="I56" s="87"/>
      <c r="L56" s="323"/>
    </row>
    <row r="57" spans="1:12" ht="15.75" x14ac:dyDescent="0.25">
      <c r="A57" s="172"/>
      <c r="B57" s="13" t="s">
        <v>235</v>
      </c>
      <c r="C57" s="69"/>
      <c r="D57" s="27">
        <f>D56*0.12</f>
        <v>2.645999999999999</v>
      </c>
      <c r="E57" s="42">
        <f>E56*0.12</f>
        <v>444.65399999999983</v>
      </c>
      <c r="F57" s="40"/>
    </row>
    <row r="58" spans="1:12" ht="31.5" x14ac:dyDescent="0.25">
      <c r="A58" s="6"/>
      <c r="B58" s="179" t="s">
        <v>30</v>
      </c>
      <c r="C58" s="180"/>
      <c r="D58" s="181">
        <f>D56*1.12</f>
        <v>24.695999999999994</v>
      </c>
      <c r="E58" s="182">
        <f>E56*1.12</f>
        <v>4150.1039999999994</v>
      </c>
    </row>
    <row r="59" spans="1:12" ht="15.75" x14ac:dyDescent="0.25">
      <c r="A59" s="351" t="s">
        <v>203</v>
      </c>
      <c r="B59" s="351"/>
      <c r="C59" s="351"/>
      <c r="D59" s="8">
        <f>3*2*28</f>
        <v>168</v>
      </c>
      <c r="E59" s="165" t="s">
        <v>75</v>
      </c>
    </row>
    <row r="60" spans="1:12" ht="30.6" customHeight="1" x14ac:dyDescent="0.25">
      <c r="A60" s="351" t="s">
        <v>359</v>
      </c>
      <c r="B60" s="351"/>
      <c r="C60" s="351"/>
      <c r="D60" s="183">
        <f>ROUND((E58/D59),2)</f>
        <v>24.7</v>
      </c>
      <c r="E60" s="205" t="s">
        <v>585</v>
      </c>
    </row>
    <row r="61" spans="1:12" ht="15.75" x14ac:dyDescent="0.25">
      <c r="A61" s="1"/>
      <c r="B61" s="1"/>
      <c r="C61" s="1"/>
    </row>
  </sheetData>
  <mergeCells count="7">
    <mergeCell ref="A60:C60"/>
    <mergeCell ref="A2:C2"/>
    <mergeCell ref="A3:E3"/>
    <mergeCell ref="A4:B4"/>
    <mergeCell ref="A26:A34"/>
    <mergeCell ref="B26:B34"/>
    <mergeCell ref="A59:C59"/>
  </mergeCells>
  <pageMargins left="0.70866141732283472" right="0.70866141732283472" top="0.74803149606299213" bottom="0.74803149606299213" header="0.31496062992125984" footer="0.31496062992125984"/>
  <pageSetup paperSize="9" orientation="landscape" r:id="rId1"/>
  <rowBreaks count="4" manualBreakCount="4">
    <brk id="21" max="16383" man="1"/>
    <brk id="29" max="16383" man="1"/>
    <brk id="35" max="16383" man="1"/>
    <brk id="46" max="16383" man="1"/>
  </rowBreaks>
  <ignoredErrors>
    <ignoredError sqref="D18 D51 D36" formula="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A2AA4-326A-430F-870C-08EAAA6620D3}">
  <dimension ref="A1:I61"/>
  <sheetViews>
    <sheetView topLeftCell="A46" workbookViewId="0">
      <selection activeCell="I54" sqref="I54"/>
    </sheetView>
  </sheetViews>
  <sheetFormatPr defaultRowHeight="15" x14ac:dyDescent="0.25"/>
  <cols>
    <col min="1" max="1" width="12.28515625" customWidth="1"/>
    <col min="2" max="2" width="27.140625" customWidth="1"/>
    <col min="3" max="3" width="63" customWidth="1"/>
    <col min="4" max="4" width="10.140625" customWidth="1"/>
    <col min="5" max="5" width="18.140625" customWidth="1"/>
    <col min="8" max="8" width="9.5703125" bestFit="1" customWidth="1"/>
  </cols>
  <sheetData>
    <row r="1" spans="1:5" ht="18.75" x14ac:dyDescent="0.3">
      <c r="A1" s="158" t="s">
        <v>51</v>
      </c>
    </row>
    <row r="2" spans="1:5" ht="18.75" x14ac:dyDescent="0.3">
      <c r="A2" s="358" t="s">
        <v>55</v>
      </c>
      <c r="B2" s="358"/>
      <c r="C2" s="358"/>
    </row>
    <row r="3" spans="1:5" ht="18.75" x14ac:dyDescent="0.25">
      <c r="A3" s="352" t="s">
        <v>188</v>
      </c>
      <c r="B3" s="352"/>
      <c r="C3" s="352"/>
      <c r="D3" s="352"/>
      <c r="E3" s="352"/>
    </row>
    <row r="4" spans="1:5" ht="15.75" x14ac:dyDescent="0.25">
      <c r="A4" s="359" t="s">
        <v>74</v>
      </c>
      <c r="B4" s="359"/>
    </row>
    <row r="6" spans="1:5" ht="78.75" x14ac:dyDescent="0.25">
      <c r="A6" s="149" t="s">
        <v>0</v>
      </c>
      <c r="B6" s="149" t="s">
        <v>1</v>
      </c>
      <c r="C6" s="149" t="s">
        <v>2</v>
      </c>
      <c r="D6" s="162" t="s">
        <v>26</v>
      </c>
      <c r="E6" s="53" t="s">
        <v>27</v>
      </c>
    </row>
    <row r="7" spans="1:5" x14ac:dyDescent="0.25">
      <c r="A7" s="292">
        <v>1</v>
      </c>
      <c r="B7" s="292">
        <v>2</v>
      </c>
      <c r="C7" s="292">
        <v>3</v>
      </c>
      <c r="D7" s="292">
        <v>4</v>
      </c>
      <c r="E7" s="292">
        <v>5</v>
      </c>
    </row>
    <row r="8" spans="1:5" ht="15.75" x14ac:dyDescent="0.25">
      <c r="A8" s="4"/>
      <c r="B8" s="7" t="s">
        <v>7</v>
      </c>
      <c r="C8" s="69" t="s">
        <v>8</v>
      </c>
      <c r="D8" s="25"/>
      <c r="E8" s="23"/>
    </row>
    <row r="9" spans="1:5" ht="15.75" x14ac:dyDescent="0.25">
      <c r="A9" s="8">
        <v>1000</v>
      </c>
      <c r="B9" s="7" t="s">
        <v>9</v>
      </c>
      <c r="C9" s="284"/>
      <c r="D9" s="44">
        <f>D10+D18</f>
        <v>4.4600000000000009</v>
      </c>
      <c r="E9" s="44">
        <f>E10+E18</f>
        <v>2345.6499999999996</v>
      </c>
    </row>
    <row r="10" spans="1:5" ht="15.75" x14ac:dyDescent="0.25">
      <c r="A10" s="280">
        <v>1100</v>
      </c>
      <c r="B10" s="280" t="s">
        <v>10</v>
      </c>
      <c r="C10" s="284"/>
      <c r="D10" s="44">
        <f>SUM(D12:D17)</f>
        <v>3.4800000000000004</v>
      </c>
      <c r="E10" s="44">
        <f>SUM(E12:E17)</f>
        <v>1830.6</v>
      </c>
    </row>
    <row r="11" spans="1:5" ht="15.75" x14ac:dyDescent="0.25">
      <c r="A11" s="16">
        <v>1110</v>
      </c>
      <c r="B11" s="16" t="s">
        <v>240</v>
      </c>
      <c r="C11" s="147" t="s">
        <v>241</v>
      </c>
      <c r="D11" s="114">
        <f>SUM(D12:D16)</f>
        <v>3.1600000000000006</v>
      </c>
      <c r="E11" s="114">
        <f>SUM(E12:E16)</f>
        <v>1664.1799999999998</v>
      </c>
    </row>
    <row r="12" spans="1:5" ht="79.5" customHeight="1" x14ac:dyDescent="0.25">
      <c r="A12" s="136"/>
      <c r="B12" s="139"/>
      <c r="C12" s="132" t="s">
        <v>658</v>
      </c>
      <c r="D12" s="62">
        <f t="shared" ref="D12:D19" si="0">ROUND((E12/525),2)</f>
        <v>0.62</v>
      </c>
      <c r="E12" s="114">
        <f>ROUND((486.2*12*0.0562),2)</f>
        <v>327.89</v>
      </c>
    </row>
    <row r="13" spans="1:5" ht="78.75" x14ac:dyDescent="0.25">
      <c r="A13" s="153"/>
      <c r="B13" s="154"/>
      <c r="C13" s="132" t="s">
        <v>657</v>
      </c>
      <c r="D13" s="62">
        <f t="shared" si="0"/>
        <v>0.79</v>
      </c>
      <c r="E13" s="114">
        <f>ROUND((613.42*12*0.0562),2)</f>
        <v>413.69</v>
      </c>
    </row>
    <row r="14" spans="1:5" ht="78.75" x14ac:dyDescent="0.25">
      <c r="A14" s="137"/>
      <c r="B14" s="140"/>
      <c r="C14" s="132" t="s">
        <v>656</v>
      </c>
      <c r="D14" s="62">
        <f t="shared" si="0"/>
        <v>0.74</v>
      </c>
      <c r="E14" s="114">
        <f>ROUND((574.48*12*0.0562),2)</f>
        <v>387.43</v>
      </c>
    </row>
    <row r="15" spans="1:5" ht="78.75" x14ac:dyDescent="0.25">
      <c r="A15" s="137"/>
      <c r="B15" s="140"/>
      <c r="C15" s="132" t="s">
        <v>659</v>
      </c>
      <c r="D15" s="62">
        <f t="shared" si="0"/>
        <v>0.66</v>
      </c>
      <c r="E15" s="114">
        <f>ROUND((516.85*12*0.0562),2)</f>
        <v>348.56</v>
      </c>
    </row>
    <row r="16" spans="1:5" ht="78.75" x14ac:dyDescent="0.25">
      <c r="A16" s="138"/>
      <c r="B16" s="141"/>
      <c r="C16" s="132" t="s">
        <v>1560</v>
      </c>
      <c r="D16" s="62">
        <f>ROUND((E16/525-0.01),2)</f>
        <v>0.35</v>
      </c>
      <c r="E16" s="114">
        <f>ROUND((276.7*12*0.0562),2)</f>
        <v>186.61</v>
      </c>
    </row>
    <row r="17" spans="1:8" ht="94.5" x14ac:dyDescent="0.25">
      <c r="A17" s="131">
        <v>1140</v>
      </c>
      <c r="B17" s="5" t="s">
        <v>237</v>
      </c>
      <c r="C17" s="152" t="s">
        <v>1404</v>
      </c>
      <c r="D17" s="62">
        <f t="shared" si="0"/>
        <v>0.32</v>
      </c>
      <c r="E17" s="114">
        <f>ROUND((327.89*0.1+413.69*0.1+387.43*0.1+348.56*0.1+186.61*0.1),2)</f>
        <v>166.42</v>
      </c>
    </row>
    <row r="18" spans="1:8" ht="62.25" customHeight="1" x14ac:dyDescent="0.25">
      <c r="A18" s="7">
        <v>1200</v>
      </c>
      <c r="B18" s="296" t="s">
        <v>11</v>
      </c>
      <c r="C18" s="176" t="s">
        <v>617</v>
      </c>
      <c r="D18" s="92">
        <f>ROUND((D19+D20),2)</f>
        <v>0.98</v>
      </c>
      <c r="E18" s="92">
        <f>ROUND((E19+E20),2)</f>
        <v>515.04999999999995</v>
      </c>
      <c r="H18" s="40"/>
    </row>
    <row r="19" spans="1:8" ht="47.25" x14ac:dyDescent="0.25">
      <c r="A19" s="4">
        <v>1210</v>
      </c>
      <c r="B19" s="5" t="s">
        <v>239</v>
      </c>
      <c r="C19" s="176" t="s">
        <v>616</v>
      </c>
      <c r="D19" s="62">
        <f t="shared" si="0"/>
        <v>0.82</v>
      </c>
      <c r="E19" s="45">
        <f>ROUND((1830.6*0.2359),2)</f>
        <v>431.84</v>
      </c>
      <c r="H19" s="40"/>
    </row>
    <row r="20" spans="1:8" ht="94.5" x14ac:dyDescent="0.25">
      <c r="A20" s="4">
        <v>1227</v>
      </c>
      <c r="B20" s="5" t="s">
        <v>238</v>
      </c>
      <c r="C20" s="152" t="s">
        <v>1559</v>
      </c>
      <c r="D20" s="62">
        <f t="shared" ref="D20" si="1">ROUND((E20/525),2)</f>
        <v>0.16</v>
      </c>
      <c r="E20" s="114">
        <f>ROUND((327.89*0.05+413.69*0.05+387.43*0.05+348.56*0.05+186.61*0.05),2)</f>
        <v>83.21</v>
      </c>
    </row>
    <row r="21" spans="1:8" ht="15.75" x14ac:dyDescent="0.25">
      <c r="A21" s="4"/>
      <c r="B21" s="9" t="s">
        <v>14</v>
      </c>
      <c r="C21" s="70" t="s">
        <v>16</v>
      </c>
      <c r="D21" s="26">
        <f>D9</f>
        <v>4.4600000000000009</v>
      </c>
      <c r="E21" s="44">
        <f>E9</f>
        <v>2345.6499999999996</v>
      </c>
    </row>
    <row r="22" spans="1:8" ht="15.75" x14ac:dyDescent="0.25">
      <c r="A22" s="4"/>
      <c r="B22" s="9" t="s">
        <v>15</v>
      </c>
      <c r="C22" s="69" t="s">
        <v>8</v>
      </c>
      <c r="D22" s="23"/>
      <c r="E22" s="43"/>
    </row>
    <row r="23" spans="1:8" ht="15.75" x14ac:dyDescent="0.25">
      <c r="A23" s="8">
        <v>1000</v>
      </c>
      <c r="B23" s="7" t="s">
        <v>9</v>
      </c>
      <c r="C23" s="69"/>
      <c r="D23" s="88">
        <f>SUM(D24+D35)</f>
        <v>0.75000000000000011</v>
      </c>
      <c r="E23" s="88">
        <f>SUM(E24+E35)</f>
        <v>387.31</v>
      </c>
    </row>
    <row r="24" spans="1:8" ht="15.75" x14ac:dyDescent="0.25">
      <c r="A24" s="4">
        <v>1100</v>
      </c>
      <c r="B24" s="4" t="s">
        <v>10</v>
      </c>
      <c r="C24" s="147" t="s">
        <v>267</v>
      </c>
      <c r="D24" s="88">
        <f>SUM(D25:D34)</f>
        <v>0.6100000000000001</v>
      </c>
      <c r="E24" s="88">
        <f>SUM(E25:E34)</f>
        <v>313.38</v>
      </c>
    </row>
    <row r="25" spans="1:8" ht="78" customHeight="1" x14ac:dyDescent="0.25">
      <c r="A25" s="237"/>
      <c r="B25" s="238"/>
      <c r="C25" s="152" t="s">
        <v>636</v>
      </c>
      <c r="D25" s="62">
        <f t="shared" ref="D25:D35" si="2">ROUND((E25/525),2)</f>
        <v>0.02</v>
      </c>
      <c r="E25" s="62">
        <f>ROUND((14.05*12*0.0562),2)</f>
        <v>9.48</v>
      </c>
    </row>
    <row r="26" spans="1:8" ht="78.75" x14ac:dyDescent="0.25">
      <c r="A26" s="355"/>
      <c r="B26" s="353"/>
      <c r="C26" s="152" t="s">
        <v>637</v>
      </c>
      <c r="D26" s="62">
        <f t="shared" si="2"/>
        <v>0.01</v>
      </c>
      <c r="E26" s="62">
        <f>ROUND((9.32*12*0.0562),2)</f>
        <v>6.29</v>
      </c>
    </row>
    <row r="27" spans="1:8" ht="78.75" x14ac:dyDescent="0.25">
      <c r="A27" s="355"/>
      <c r="B27" s="353"/>
      <c r="C27" s="152" t="s">
        <v>638</v>
      </c>
      <c r="D27" s="62">
        <f t="shared" si="2"/>
        <v>0.02</v>
      </c>
      <c r="E27" s="47">
        <f>ROUND((13.46*12*0.0562),2)</f>
        <v>9.08</v>
      </c>
    </row>
    <row r="28" spans="1:8" ht="78.75" customHeight="1" x14ac:dyDescent="0.25">
      <c r="A28" s="355"/>
      <c r="B28" s="353"/>
      <c r="C28" s="152" t="s">
        <v>1558</v>
      </c>
      <c r="D28" s="62">
        <f t="shared" si="2"/>
        <v>0.02</v>
      </c>
      <c r="E28" s="62">
        <f>ROUND((18.64*12*0.0562),2)</f>
        <v>12.57</v>
      </c>
    </row>
    <row r="29" spans="1:8" ht="77.25" customHeight="1" x14ac:dyDescent="0.25">
      <c r="A29" s="355"/>
      <c r="B29" s="353"/>
      <c r="C29" s="152" t="s">
        <v>639</v>
      </c>
      <c r="D29" s="46">
        <f t="shared" si="2"/>
        <v>0.02</v>
      </c>
      <c r="E29" s="28">
        <f>ROUND((13.16*12*0.0562),2)</f>
        <v>8.8800000000000008</v>
      </c>
    </row>
    <row r="30" spans="1:8" ht="78.75" x14ac:dyDescent="0.25">
      <c r="A30" s="355"/>
      <c r="B30" s="353"/>
      <c r="C30" s="71" t="s">
        <v>640</v>
      </c>
      <c r="D30" s="46">
        <f t="shared" si="2"/>
        <v>0.1</v>
      </c>
      <c r="E30" s="28">
        <f>ROUND((75.79*12*0.0562),2)</f>
        <v>51.11</v>
      </c>
    </row>
    <row r="31" spans="1:8" ht="78.75" x14ac:dyDescent="0.25">
      <c r="A31" s="355"/>
      <c r="B31" s="353"/>
      <c r="C31" s="152" t="s">
        <v>641</v>
      </c>
      <c r="D31" s="46">
        <f t="shared" si="2"/>
        <v>0.1</v>
      </c>
      <c r="E31" s="46">
        <f>ROUND((77.25*12*0.0562),2)</f>
        <v>52.1</v>
      </c>
    </row>
    <row r="32" spans="1:8" ht="78.75" x14ac:dyDescent="0.25">
      <c r="A32" s="355"/>
      <c r="B32" s="353"/>
      <c r="C32" s="152" t="s">
        <v>642</v>
      </c>
      <c r="D32" s="46">
        <f t="shared" si="2"/>
        <v>0.13</v>
      </c>
      <c r="E32" s="46">
        <f>ROUND((98.97*12*0.0562),2)</f>
        <v>66.75</v>
      </c>
    </row>
    <row r="33" spans="1:9" ht="94.5" x14ac:dyDescent="0.25">
      <c r="A33" s="355"/>
      <c r="B33" s="353"/>
      <c r="C33" s="152" t="s">
        <v>643</v>
      </c>
      <c r="D33" s="46">
        <f t="shared" si="2"/>
        <v>0.15</v>
      </c>
      <c r="E33" s="28">
        <f>ROUND((114.88*12*0.0562),2)</f>
        <v>77.48</v>
      </c>
    </row>
    <row r="34" spans="1:9" ht="78.75" x14ac:dyDescent="0.25">
      <c r="A34" s="356"/>
      <c r="B34" s="354"/>
      <c r="C34" s="71" t="s">
        <v>644</v>
      </c>
      <c r="D34" s="46">
        <f t="shared" si="2"/>
        <v>0.04</v>
      </c>
      <c r="E34" s="28">
        <f>ROUND((29.12*12*0.0562),2)</f>
        <v>19.64</v>
      </c>
    </row>
    <row r="35" spans="1:9" ht="64.5" customHeight="1" x14ac:dyDescent="0.25">
      <c r="A35" s="7">
        <v>1200</v>
      </c>
      <c r="B35" s="166" t="s">
        <v>11</v>
      </c>
      <c r="C35" s="72" t="s">
        <v>635</v>
      </c>
      <c r="D35" s="88">
        <f t="shared" si="2"/>
        <v>0.14000000000000001</v>
      </c>
      <c r="E35" s="92">
        <f>ROUND((313.38*0.2359),2)</f>
        <v>73.930000000000007</v>
      </c>
    </row>
    <row r="36" spans="1:9" ht="15.75" x14ac:dyDescent="0.25">
      <c r="A36" s="8">
        <v>2000</v>
      </c>
      <c r="B36" s="7" t="s">
        <v>12</v>
      </c>
      <c r="C36" s="69"/>
      <c r="D36" s="44">
        <f>SUM(D37:D50)</f>
        <v>12.619999999999997</v>
      </c>
      <c r="E36" s="44">
        <f>SUM(E37:E50)</f>
        <v>6627.5800000000008</v>
      </c>
    </row>
    <row r="37" spans="1:9" ht="31.5" customHeight="1" x14ac:dyDescent="0.25">
      <c r="A37" s="4">
        <v>2221</v>
      </c>
      <c r="B37" s="112" t="s">
        <v>60</v>
      </c>
      <c r="C37" s="5" t="s">
        <v>634</v>
      </c>
      <c r="D37" s="46">
        <f>ROUND((E37/525),2)</f>
        <v>8.8800000000000008</v>
      </c>
      <c r="E37" s="45">
        <f>ROUND((82944.32*0.0562),2)</f>
        <v>4661.47</v>
      </c>
    </row>
    <row r="38" spans="1:9" ht="31.5" x14ac:dyDescent="0.25">
      <c r="A38" s="4">
        <v>2222</v>
      </c>
      <c r="B38" s="5" t="s">
        <v>61</v>
      </c>
      <c r="C38" s="5" t="s">
        <v>633</v>
      </c>
      <c r="D38" s="46">
        <f t="shared" ref="D38:D50" si="3">ROUND((E38/525),2)</f>
        <v>0.45</v>
      </c>
      <c r="E38" s="45">
        <f>ROUND((4203.76*0.0562),2)</f>
        <v>236.25</v>
      </c>
      <c r="I38" s="87"/>
    </row>
    <row r="39" spans="1:9" ht="31.5" x14ac:dyDescent="0.25">
      <c r="A39" s="4">
        <v>2223</v>
      </c>
      <c r="B39" s="5" t="s">
        <v>19</v>
      </c>
      <c r="C39" s="5" t="s">
        <v>632</v>
      </c>
      <c r="D39" s="46">
        <f>ROUND((E39/525-0.01),2)</f>
        <v>0.83</v>
      </c>
      <c r="E39" s="45">
        <f>ROUND((7807.39*0.0562),2)</f>
        <v>438.78</v>
      </c>
    </row>
    <row r="40" spans="1:9" ht="78" customHeight="1" x14ac:dyDescent="0.25">
      <c r="A40" s="4">
        <v>2224</v>
      </c>
      <c r="B40" s="112" t="s">
        <v>62</v>
      </c>
      <c r="C40" s="5" t="s">
        <v>628</v>
      </c>
      <c r="D40" s="46">
        <f t="shared" si="3"/>
        <v>0.03</v>
      </c>
      <c r="E40" s="28">
        <f>ROUND((275.91*0.0562),2)</f>
        <v>15.51</v>
      </c>
    </row>
    <row r="41" spans="1:9" ht="31.5" x14ac:dyDescent="0.25">
      <c r="A41" s="4">
        <v>2232</v>
      </c>
      <c r="B41" s="125" t="s">
        <v>45</v>
      </c>
      <c r="C41" s="126" t="s">
        <v>629</v>
      </c>
      <c r="D41" s="46">
        <f t="shared" si="3"/>
        <v>0.02</v>
      </c>
      <c r="E41" s="28">
        <f>ROUND((149.11*0.0562),2)</f>
        <v>8.3800000000000008</v>
      </c>
    </row>
    <row r="42" spans="1:9" ht="31.5" x14ac:dyDescent="0.25">
      <c r="A42" s="4">
        <v>2239</v>
      </c>
      <c r="B42" s="58" t="s">
        <v>20</v>
      </c>
      <c r="C42" s="126" t="s">
        <v>630</v>
      </c>
      <c r="D42" s="46">
        <f t="shared" si="3"/>
        <v>0.01</v>
      </c>
      <c r="E42" s="46">
        <f>ROUND((57*0.0562),2)</f>
        <v>3.2</v>
      </c>
    </row>
    <row r="43" spans="1:9" ht="32.25" customHeight="1" x14ac:dyDescent="0.25">
      <c r="A43" s="4">
        <v>2241</v>
      </c>
      <c r="B43" s="112" t="s">
        <v>64</v>
      </c>
      <c r="C43" s="5" t="s">
        <v>631</v>
      </c>
      <c r="D43" s="46">
        <f t="shared" si="3"/>
        <v>0.2</v>
      </c>
      <c r="E43" s="28">
        <f>ROUND((1875.92*0.0562),2)</f>
        <v>105.43</v>
      </c>
    </row>
    <row r="44" spans="1:9" ht="48.75" customHeight="1" x14ac:dyDescent="0.25">
      <c r="A44" s="4">
        <v>2243</v>
      </c>
      <c r="B44" s="72" t="s">
        <v>21</v>
      </c>
      <c r="C44" s="126" t="s">
        <v>627</v>
      </c>
      <c r="D44" s="46">
        <f t="shared" si="3"/>
        <v>0.1</v>
      </c>
      <c r="E44" s="46">
        <f>ROUND((956.5*0.0562),2)</f>
        <v>53.76</v>
      </c>
    </row>
    <row r="45" spans="1:9" ht="47.25" customHeight="1" x14ac:dyDescent="0.25">
      <c r="A45" s="4">
        <v>2244</v>
      </c>
      <c r="B45" s="72" t="s">
        <v>22</v>
      </c>
      <c r="C45" s="72" t="s">
        <v>626</v>
      </c>
      <c r="D45" s="46">
        <f t="shared" si="3"/>
        <v>0.36</v>
      </c>
      <c r="E45" s="45">
        <f>ROUND((3378.56*0.0562),2)</f>
        <v>189.88</v>
      </c>
    </row>
    <row r="46" spans="1:9" ht="32.25" customHeight="1" x14ac:dyDescent="0.25">
      <c r="A46" s="4">
        <v>2249</v>
      </c>
      <c r="B46" s="72" t="s">
        <v>50</v>
      </c>
      <c r="C46" s="72" t="s">
        <v>625</v>
      </c>
      <c r="D46" s="46">
        <f t="shared" si="3"/>
        <v>0.4</v>
      </c>
      <c r="E46" s="45">
        <f>ROUND((3705.93*0.0562),2)</f>
        <v>208.27</v>
      </c>
    </row>
    <row r="47" spans="1:9" ht="30" customHeight="1" x14ac:dyDescent="0.25">
      <c r="A47" s="4">
        <v>2312</v>
      </c>
      <c r="B47" s="4" t="s">
        <v>13</v>
      </c>
      <c r="C47" s="72" t="s">
        <v>624</v>
      </c>
      <c r="D47" s="46">
        <f t="shared" si="3"/>
        <v>0.09</v>
      </c>
      <c r="E47" s="45">
        <f>ROUND((856.97*0.0562),2)</f>
        <v>48.16</v>
      </c>
    </row>
    <row r="48" spans="1:9" ht="45.75" customHeight="1" x14ac:dyDescent="0.25">
      <c r="A48" s="4">
        <v>2350</v>
      </c>
      <c r="B48" s="5" t="s">
        <v>236</v>
      </c>
      <c r="C48" s="72" t="s">
        <v>623</v>
      </c>
      <c r="D48" s="46">
        <f t="shared" si="3"/>
        <v>0.18</v>
      </c>
      <c r="E48" s="62">
        <f>ROUND((1711.8*0.0562),2)</f>
        <v>96.2</v>
      </c>
    </row>
    <row r="49" spans="1:5" ht="31.5" x14ac:dyDescent="0.25">
      <c r="A49" s="4">
        <v>2513</v>
      </c>
      <c r="B49" s="5" t="s">
        <v>63</v>
      </c>
      <c r="C49" s="72" t="s">
        <v>619</v>
      </c>
      <c r="D49" s="46">
        <f>ROUND((E49/525-0.01),2)</f>
        <v>0.86</v>
      </c>
      <c r="E49" s="46">
        <f>ROUND((8084.39*0.0562),2)</f>
        <v>454.34</v>
      </c>
    </row>
    <row r="50" spans="1:5" ht="31.5" customHeight="1" x14ac:dyDescent="0.25">
      <c r="A50" s="4">
        <v>2515</v>
      </c>
      <c r="B50" s="5" t="s">
        <v>49</v>
      </c>
      <c r="C50" s="72" t="s">
        <v>620</v>
      </c>
      <c r="D50" s="46">
        <f t="shared" si="3"/>
        <v>0.21</v>
      </c>
      <c r="E50" s="46">
        <f>ROUND((1920.89*0.0562),2)</f>
        <v>107.95</v>
      </c>
    </row>
    <row r="51" spans="1:5" ht="15.75" x14ac:dyDescent="0.25">
      <c r="A51" s="10">
        <v>5000</v>
      </c>
      <c r="B51" s="166" t="s">
        <v>17</v>
      </c>
      <c r="C51" s="69"/>
      <c r="D51" s="26">
        <f>SUM(D52:D54)</f>
        <v>0.43999999999999995</v>
      </c>
      <c r="E51" s="26">
        <f>SUM(E52:E54)</f>
        <v>232.32999999999998</v>
      </c>
    </row>
    <row r="52" spans="1:5" ht="31.5" customHeight="1" x14ac:dyDescent="0.25">
      <c r="A52" s="4">
        <v>5213</v>
      </c>
      <c r="B52" s="5" t="s">
        <v>32</v>
      </c>
      <c r="C52" s="72" t="s">
        <v>621</v>
      </c>
      <c r="D52" s="46">
        <f t="shared" ref="D52:D54" si="4">ROUND((E52/525),2)</f>
        <v>0.03</v>
      </c>
      <c r="E52" s="46">
        <f>ROUND((251.64*0.0562),2)</f>
        <v>14.14</v>
      </c>
    </row>
    <row r="53" spans="1:5" ht="30.75" customHeight="1" x14ac:dyDescent="0.25">
      <c r="A53" s="19">
        <v>5218</v>
      </c>
      <c r="B53" s="176" t="s">
        <v>33</v>
      </c>
      <c r="C53" s="72" t="s">
        <v>622</v>
      </c>
      <c r="D53" s="46">
        <f t="shared" si="4"/>
        <v>0.12</v>
      </c>
      <c r="E53" s="46">
        <f>ROUND((1134.21*0.0562),2)</f>
        <v>63.74</v>
      </c>
    </row>
    <row r="54" spans="1:5" ht="47.25" x14ac:dyDescent="0.25">
      <c r="A54" s="19">
        <v>5239</v>
      </c>
      <c r="B54" s="176" t="s">
        <v>18</v>
      </c>
      <c r="C54" s="72" t="s">
        <v>618</v>
      </c>
      <c r="D54" s="46">
        <f t="shared" si="4"/>
        <v>0.28999999999999998</v>
      </c>
      <c r="E54" s="46">
        <f>ROUND((2748.15*0.0562),2)</f>
        <v>154.44999999999999</v>
      </c>
    </row>
    <row r="55" spans="1:5" ht="15.75" x14ac:dyDescent="0.25">
      <c r="A55" s="171"/>
      <c r="B55" s="9" t="s">
        <v>23</v>
      </c>
      <c r="C55" s="69"/>
      <c r="D55" s="26">
        <f>SUM(D23+D36+D51)</f>
        <v>13.809999999999997</v>
      </c>
      <c r="E55" s="41">
        <f>SUM(E23+E36+E51)</f>
        <v>7247.2200000000012</v>
      </c>
    </row>
    <row r="56" spans="1:5" ht="31.5" x14ac:dyDescent="0.25">
      <c r="A56" s="172"/>
      <c r="B56" s="11" t="s">
        <v>28</v>
      </c>
      <c r="C56" s="69"/>
      <c r="D56" s="27">
        <f>D21+D55</f>
        <v>18.269999999999996</v>
      </c>
      <c r="E56" s="42">
        <f>E21+E55</f>
        <v>9592.8700000000008</v>
      </c>
    </row>
    <row r="57" spans="1:5" ht="15.75" x14ac:dyDescent="0.25">
      <c r="A57" s="172"/>
      <c r="B57" s="13" t="s">
        <v>235</v>
      </c>
      <c r="C57" s="69"/>
      <c r="D57" s="27">
        <f>D56*0.12</f>
        <v>2.1923999999999992</v>
      </c>
      <c r="E57" s="42">
        <f>E56*0.12</f>
        <v>1151.1444000000001</v>
      </c>
    </row>
    <row r="58" spans="1:5" ht="31.5" x14ac:dyDescent="0.25">
      <c r="A58" s="6"/>
      <c r="B58" s="179" t="s">
        <v>30</v>
      </c>
      <c r="C58" s="180"/>
      <c r="D58" s="27">
        <f>D56*1.12</f>
        <v>20.462399999999999</v>
      </c>
      <c r="E58" s="42">
        <f>E56*1.12</f>
        <v>10744.014400000002</v>
      </c>
    </row>
    <row r="59" spans="1:5" ht="15.75" x14ac:dyDescent="0.25">
      <c r="A59" s="351" t="s">
        <v>204</v>
      </c>
      <c r="B59" s="351"/>
      <c r="C59" s="351"/>
      <c r="D59" s="8">
        <f>5*3*35</f>
        <v>525</v>
      </c>
      <c r="E59" s="165" t="s">
        <v>75</v>
      </c>
    </row>
    <row r="60" spans="1:5" ht="30.6" customHeight="1" x14ac:dyDescent="0.25">
      <c r="A60" s="351" t="s">
        <v>359</v>
      </c>
      <c r="B60" s="351"/>
      <c r="C60" s="351"/>
      <c r="D60" s="315">
        <f>ROUND((E58/D59),2)</f>
        <v>20.46</v>
      </c>
      <c r="E60" s="205" t="s">
        <v>585</v>
      </c>
    </row>
    <row r="61" spans="1:5" ht="15.75" x14ac:dyDescent="0.25">
      <c r="A61" s="1"/>
      <c r="B61" s="1"/>
      <c r="C61" s="1"/>
    </row>
  </sheetData>
  <mergeCells count="7">
    <mergeCell ref="A60:C60"/>
    <mergeCell ref="A2:C2"/>
    <mergeCell ref="A3:E3"/>
    <mergeCell ref="A4:B4"/>
    <mergeCell ref="A26:A34"/>
    <mergeCell ref="B26:B34"/>
    <mergeCell ref="A59:C59"/>
  </mergeCells>
  <pageMargins left="0.7" right="0.7" top="0.75" bottom="0.75" header="0.3" footer="0.3"/>
  <pageSetup paperSize="9" orientation="landscape" r:id="rId1"/>
  <ignoredErrors>
    <ignoredError sqref="D18 D16 D36 D49 D51 D39" formula="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1A787-67D7-4D93-9CA0-5BA0B759B144}">
  <dimension ref="A1:K62"/>
  <sheetViews>
    <sheetView topLeftCell="A46" zoomScaleNormal="100" workbookViewId="0">
      <selection activeCell="J58" sqref="J58"/>
    </sheetView>
  </sheetViews>
  <sheetFormatPr defaultRowHeight="15" x14ac:dyDescent="0.25"/>
  <cols>
    <col min="1" max="1" width="13.140625" customWidth="1"/>
    <col min="2" max="2" width="27.5703125" customWidth="1"/>
    <col min="3" max="3" width="63" customWidth="1"/>
    <col min="4" max="4" width="9.85546875" customWidth="1"/>
    <col min="5" max="5" width="17.5703125" customWidth="1"/>
  </cols>
  <sheetData>
    <row r="1" spans="1:5" ht="18.75" x14ac:dyDescent="0.3">
      <c r="A1" s="158" t="s">
        <v>51</v>
      </c>
    </row>
    <row r="2" spans="1:5" ht="18.75" x14ac:dyDescent="0.3">
      <c r="A2" s="358" t="s">
        <v>56</v>
      </c>
      <c r="B2" s="358"/>
      <c r="C2" s="358"/>
    </row>
    <row r="3" spans="1:5" ht="18.75" x14ac:dyDescent="0.25">
      <c r="A3" s="352" t="s">
        <v>189</v>
      </c>
      <c r="B3" s="352"/>
      <c r="C3" s="352"/>
      <c r="D3" s="352"/>
      <c r="E3" s="352"/>
    </row>
    <row r="4" spans="1:5" ht="15.75" x14ac:dyDescent="0.25">
      <c r="A4" s="359" t="s">
        <v>74</v>
      </c>
      <c r="B4" s="359"/>
    </row>
    <row r="6" spans="1:5" ht="78.75" x14ac:dyDescent="0.25">
      <c r="A6" s="149" t="s">
        <v>0</v>
      </c>
      <c r="B6" s="149" t="s">
        <v>1</v>
      </c>
      <c r="C6" s="149" t="s">
        <v>2</v>
      </c>
      <c r="D6" s="162" t="s">
        <v>26</v>
      </c>
      <c r="E6" s="53" t="s">
        <v>27</v>
      </c>
    </row>
    <row r="7" spans="1:5" x14ac:dyDescent="0.25">
      <c r="A7" s="292">
        <v>1</v>
      </c>
      <c r="B7" s="292">
        <v>2</v>
      </c>
      <c r="C7" s="292">
        <v>3</v>
      </c>
      <c r="D7" s="47">
        <v>4</v>
      </c>
      <c r="E7" s="47">
        <v>5</v>
      </c>
    </row>
    <row r="8" spans="1:5" ht="15.75" x14ac:dyDescent="0.25">
      <c r="A8" s="4"/>
      <c r="B8" s="7" t="s">
        <v>7</v>
      </c>
      <c r="C8" s="74" t="s">
        <v>8</v>
      </c>
      <c r="D8" s="25"/>
      <c r="E8" s="23"/>
    </row>
    <row r="9" spans="1:5" ht="15.75" x14ac:dyDescent="0.25">
      <c r="A9" s="8">
        <v>1000</v>
      </c>
      <c r="B9" s="7" t="s">
        <v>9</v>
      </c>
      <c r="C9" s="74"/>
      <c r="D9" s="44">
        <f>D10+D18</f>
        <v>8.32</v>
      </c>
      <c r="E9" s="44">
        <f>E10+E18</f>
        <v>6636.2799999999988</v>
      </c>
    </row>
    <row r="10" spans="1:5" ht="15.75" x14ac:dyDescent="0.25">
      <c r="A10" s="280">
        <v>1100</v>
      </c>
      <c r="B10" s="280" t="s">
        <v>10</v>
      </c>
      <c r="C10" s="74"/>
      <c r="D10" s="44">
        <f>SUM(D12:D17)</f>
        <v>6.49</v>
      </c>
      <c r="E10" s="44">
        <f>SUM(E12:E17)</f>
        <v>5179.1099999999988</v>
      </c>
    </row>
    <row r="11" spans="1:5" ht="15.75" x14ac:dyDescent="0.25">
      <c r="A11" s="16">
        <v>1110</v>
      </c>
      <c r="B11" s="16" t="s">
        <v>240</v>
      </c>
      <c r="C11" s="147" t="s">
        <v>241</v>
      </c>
      <c r="D11" s="114">
        <f>SUM(D12:D16)</f>
        <v>5.9</v>
      </c>
      <c r="E11" s="114">
        <f>SUM(E12:E16)</f>
        <v>4708.2799999999988</v>
      </c>
    </row>
    <row r="12" spans="1:5" ht="79.5" customHeight="1" x14ac:dyDescent="0.25">
      <c r="A12" s="136"/>
      <c r="B12" s="139"/>
      <c r="C12" s="152" t="s">
        <v>648</v>
      </c>
      <c r="D12" s="114">
        <f t="shared" ref="D12:D20" si="0">ROUND((E12/798),2)</f>
        <v>1.1599999999999999</v>
      </c>
      <c r="E12" s="114">
        <f>ROUND((486.2*12*0.159),2)</f>
        <v>927.67</v>
      </c>
    </row>
    <row r="13" spans="1:5" ht="78" customHeight="1" x14ac:dyDescent="0.25">
      <c r="A13" s="153"/>
      <c r="B13" s="154"/>
      <c r="C13" s="152" t="s">
        <v>654</v>
      </c>
      <c r="D13" s="114">
        <f t="shared" si="0"/>
        <v>1.47</v>
      </c>
      <c r="E13" s="114">
        <f>ROUND((613.42*12*0.159),2)</f>
        <v>1170.4100000000001</v>
      </c>
    </row>
    <row r="14" spans="1:5" ht="79.5" customHeight="1" x14ac:dyDescent="0.25">
      <c r="A14" s="137"/>
      <c r="B14" s="140"/>
      <c r="C14" s="152" t="s">
        <v>655</v>
      </c>
      <c r="D14" s="114">
        <f t="shared" si="0"/>
        <v>1.37</v>
      </c>
      <c r="E14" s="114">
        <f>ROUND((574.48*12*0.159),2)</f>
        <v>1096.1099999999999</v>
      </c>
    </row>
    <row r="15" spans="1:5" ht="77.45" customHeight="1" x14ac:dyDescent="0.25">
      <c r="A15" s="137"/>
      <c r="B15" s="140"/>
      <c r="C15" s="152" t="s">
        <v>649</v>
      </c>
      <c r="D15" s="114">
        <f t="shared" si="0"/>
        <v>1.24</v>
      </c>
      <c r="E15" s="114">
        <f>ROUND((516.85*12*0.159),2)</f>
        <v>986.15</v>
      </c>
    </row>
    <row r="16" spans="1:5" ht="77.25" customHeight="1" x14ac:dyDescent="0.25">
      <c r="A16" s="138"/>
      <c r="B16" s="141"/>
      <c r="C16" s="152" t="s">
        <v>1561</v>
      </c>
      <c r="D16" s="114">
        <f t="shared" si="0"/>
        <v>0.66</v>
      </c>
      <c r="E16" s="114">
        <f>ROUND((276.7*12*0.159),2)</f>
        <v>527.94000000000005</v>
      </c>
    </row>
    <row r="17" spans="1:8" ht="94.5" customHeight="1" x14ac:dyDescent="0.25">
      <c r="A17" s="131">
        <v>1140</v>
      </c>
      <c r="B17" s="5" t="s">
        <v>237</v>
      </c>
      <c r="C17" s="152" t="s">
        <v>1562</v>
      </c>
      <c r="D17" s="114">
        <f t="shared" si="0"/>
        <v>0.59</v>
      </c>
      <c r="E17" s="114">
        <f>ROUND((927.67*0.1+1170.41*0.1+1096.11*0.1+986.15*0.1+527.94*0.1),2)</f>
        <v>470.83</v>
      </c>
    </row>
    <row r="18" spans="1:8" ht="61.5" customHeight="1" x14ac:dyDescent="0.25">
      <c r="A18" s="7">
        <v>1200</v>
      </c>
      <c r="B18" s="297" t="s">
        <v>11</v>
      </c>
      <c r="C18" s="176" t="s">
        <v>647</v>
      </c>
      <c r="D18" s="92">
        <f>ROUND((D19+D20),2)</f>
        <v>1.83</v>
      </c>
      <c r="E18" s="92">
        <f>ROUND((E19+E20),2)</f>
        <v>1457.17</v>
      </c>
    </row>
    <row r="19" spans="1:8" ht="47.25" x14ac:dyDescent="0.25">
      <c r="A19" s="4">
        <v>1210</v>
      </c>
      <c r="B19" s="5" t="s">
        <v>239</v>
      </c>
      <c r="C19" s="176" t="s">
        <v>646</v>
      </c>
      <c r="D19" s="45">
        <f t="shared" si="0"/>
        <v>1.53</v>
      </c>
      <c r="E19" s="45">
        <f>ROUND((5179.11*0.2359),2)</f>
        <v>1221.75</v>
      </c>
    </row>
    <row r="20" spans="1:8" ht="93.75" customHeight="1" x14ac:dyDescent="0.25">
      <c r="A20" s="4">
        <v>1227</v>
      </c>
      <c r="B20" s="5" t="s">
        <v>238</v>
      </c>
      <c r="C20" s="152" t="s">
        <v>1351</v>
      </c>
      <c r="D20" s="45">
        <f t="shared" si="0"/>
        <v>0.3</v>
      </c>
      <c r="E20" s="114">
        <f>ROUND((927.67*0.05+1170.41*0.05+1096.11*0.05+986.15*0.05+527.94*0.05+0.01),2)</f>
        <v>235.42</v>
      </c>
      <c r="H20" s="87"/>
    </row>
    <row r="21" spans="1:8" ht="15.75" x14ac:dyDescent="0.25">
      <c r="A21" s="4"/>
      <c r="B21" s="9" t="s">
        <v>14</v>
      </c>
      <c r="C21" s="75" t="s">
        <v>16</v>
      </c>
      <c r="D21" s="44">
        <f>D9</f>
        <v>8.32</v>
      </c>
      <c r="E21" s="44">
        <f>E9</f>
        <v>6636.2799999999988</v>
      </c>
    </row>
    <row r="22" spans="1:8" ht="15.75" x14ac:dyDescent="0.25">
      <c r="A22" s="4"/>
      <c r="B22" s="9" t="s">
        <v>15</v>
      </c>
      <c r="C22" s="74" t="s">
        <v>8</v>
      </c>
      <c r="D22" s="43"/>
      <c r="E22" s="43"/>
    </row>
    <row r="23" spans="1:8" ht="15.75" x14ac:dyDescent="0.25">
      <c r="A23" s="8">
        <v>1000</v>
      </c>
      <c r="B23" s="7" t="s">
        <v>9</v>
      </c>
      <c r="C23" s="74"/>
      <c r="D23" s="92">
        <f>SUM(D24+D35)</f>
        <v>1.36</v>
      </c>
      <c r="E23" s="92">
        <f>SUM(E24+E35)</f>
        <v>1095.6599999999999</v>
      </c>
    </row>
    <row r="24" spans="1:8" ht="15.75" x14ac:dyDescent="0.25">
      <c r="A24" s="4">
        <v>1100</v>
      </c>
      <c r="B24" s="4" t="s">
        <v>10</v>
      </c>
      <c r="C24" s="147" t="s">
        <v>267</v>
      </c>
      <c r="D24" s="92">
        <f>SUM(D25:D34)</f>
        <v>1.1000000000000001</v>
      </c>
      <c r="E24" s="92">
        <f>SUM(E25:E34)</f>
        <v>886.53</v>
      </c>
    </row>
    <row r="25" spans="1:8" ht="79.5" customHeight="1" x14ac:dyDescent="0.25">
      <c r="A25" s="237"/>
      <c r="B25" s="238"/>
      <c r="C25" s="152" t="s">
        <v>650</v>
      </c>
      <c r="D25" s="45">
        <f t="shared" ref="D25:D35" si="1">ROUND((E25/798),2)</f>
        <v>0.03</v>
      </c>
      <c r="E25" s="45">
        <f>ROUND((14.05*12*0.159),2)</f>
        <v>26.81</v>
      </c>
    </row>
    <row r="26" spans="1:8" ht="78.75" customHeight="1" x14ac:dyDescent="0.25">
      <c r="A26" s="355"/>
      <c r="B26" s="353"/>
      <c r="C26" s="152" t="s">
        <v>651</v>
      </c>
      <c r="D26" s="45">
        <f t="shared" si="1"/>
        <v>0.02</v>
      </c>
      <c r="E26" s="45">
        <f>ROUND((9.32*12*0.159),2)</f>
        <v>17.78</v>
      </c>
    </row>
    <row r="27" spans="1:8" ht="78" customHeight="1" x14ac:dyDescent="0.25">
      <c r="A27" s="355"/>
      <c r="B27" s="353"/>
      <c r="C27" s="152" t="s">
        <v>652</v>
      </c>
      <c r="D27" s="45">
        <f t="shared" si="1"/>
        <v>0.03</v>
      </c>
      <c r="E27" s="45">
        <f>ROUND((13.46*12*0.159),2)</f>
        <v>25.68</v>
      </c>
      <c r="F27" s="40"/>
    </row>
    <row r="28" spans="1:8" ht="76.5" customHeight="1" x14ac:dyDescent="0.25">
      <c r="A28" s="355"/>
      <c r="B28" s="353"/>
      <c r="C28" s="152" t="s">
        <v>653</v>
      </c>
      <c r="D28" s="45">
        <f t="shared" si="1"/>
        <v>0.04</v>
      </c>
      <c r="E28" s="45">
        <f>ROUND((18.64*12*0.159),2)</f>
        <v>35.57</v>
      </c>
    </row>
    <row r="29" spans="1:8" ht="77.45" customHeight="1" x14ac:dyDescent="0.25">
      <c r="A29" s="355"/>
      <c r="B29" s="353"/>
      <c r="C29" s="76" t="s">
        <v>705</v>
      </c>
      <c r="D29" s="45">
        <f t="shared" si="1"/>
        <v>0.03</v>
      </c>
      <c r="E29" s="45">
        <f>ROUND((13.16*12*0.159),2)</f>
        <v>25.11</v>
      </c>
    </row>
    <row r="30" spans="1:8" ht="77.25" customHeight="1" x14ac:dyDescent="0.25">
      <c r="A30" s="355"/>
      <c r="B30" s="353"/>
      <c r="C30" s="76" t="s">
        <v>706</v>
      </c>
      <c r="D30" s="45">
        <f t="shared" si="1"/>
        <v>0.18</v>
      </c>
      <c r="E30" s="45">
        <f>ROUND((75.79*12*0.159),2)</f>
        <v>144.61000000000001</v>
      </c>
    </row>
    <row r="31" spans="1:8" ht="78.75" customHeight="1" x14ac:dyDescent="0.25">
      <c r="A31" s="355"/>
      <c r="B31" s="353"/>
      <c r="C31" s="76" t="s">
        <v>707</v>
      </c>
      <c r="D31" s="45">
        <f t="shared" si="1"/>
        <v>0.18</v>
      </c>
      <c r="E31" s="45">
        <f>ROUND((77.25*12*0.159),2)</f>
        <v>147.38999999999999</v>
      </c>
    </row>
    <row r="32" spans="1:8" ht="78.75" customHeight="1" x14ac:dyDescent="0.25">
      <c r="A32" s="355"/>
      <c r="B32" s="353"/>
      <c r="C32" s="76" t="s">
        <v>708</v>
      </c>
      <c r="D32" s="45">
        <f t="shared" si="1"/>
        <v>0.24</v>
      </c>
      <c r="E32" s="45">
        <f>ROUND((98.97*12*0.159),2)</f>
        <v>188.83</v>
      </c>
    </row>
    <row r="33" spans="1:11" ht="93" customHeight="1" x14ac:dyDescent="0.25">
      <c r="A33" s="355"/>
      <c r="B33" s="353"/>
      <c r="C33" s="76" t="s">
        <v>709</v>
      </c>
      <c r="D33" s="45">
        <f>ROUND((E33/798+0.01),2)</f>
        <v>0.28000000000000003</v>
      </c>
      <c r="E33" s="45">
        <f>ROUND((114.88*12*0.159),2)</f>
        <v>219.19</v>
      </c>
      <c r="K33" s="51"/>
    </row>
    <row r="34" spans="1:11" ht="78" customHeight="1" x14ac:dyDescent="0.25">
      <c r="A34" s="356"/>
      <c r="B34" s="354"/>
      <c r="C34" s="76" t="s">
        <v>710</v>
      </c>
      <c r="D34" s="45">
        <f t="shared" si="1"/>
        <v>7.0000000000000007E-2</v>
      </c>
      <c r="E34" s="45">
        <f>ROUND((29.12*12*0.159),2)</f>
        <v>55.56</v>
      </c>
    </row>
    <row r="35" spans="1:11" ht="63" customHeight="1" x14ac:dyDescent="0.25">
      <c r="A35" s="7">
        <v>1200</v>
      </c>
      <c r="B35" s="166" t="s">
        <v>11</v>
      </c>
      <c r="C35" s="77" t="s">
        <v>645</v>
      </c>
      <c r="D35" s="92">
        <f t="shared" si="1"/>
        <v>0.26</v>
      </c>
      <c r="E35" s="92">
        <f>ROUND((886.53*0.2359),2)</f>
        <v>209.13</v>
      </c>
    </row>
    <row r="36" spans="1:11" ht="15.75" x14ac:dyDescent="0.25">
      <c r="A36" s="8">
        <v>2000</v>
      </c>
      <c r="B36" s="7" t="s">
        <v>12</v>
      </c>
      <c r="C36" s="74"/>
      <c r="D36" s="44">
        <f>SUM(D37:D50)</f>
        <v>23.500000000000004</v>
      </c>
      <c r="E36" s="44">
        <f>SUM(E37:E50)</f>
        <v>18750.629999999997</v>
      </c>
    </row>
    <row r="37" spans="1:11" ht="31.5" x14ac:dyDescent="0.25">
      <c r="A37" s="4">
        <v>2221</v>
      </c>
      <c r="B37" s="112" t="s">
        <v>60</v>
      </c>
      <c r="C37" s="77" t="s">
        <v>1354</v>
      </c>
      <c r="D37" s="46">
        <f>ROUND((E37/798),2)</f>
        <v>16.53</v>
      </c>
      <c r="E37" s="45">
        <f>ROUND((82944.32*0.159),2)</f>
        <v>13188.15</v>
      </c>
    </row>
    <row r="38" spans="1:11" ht="31.5" x14ac:dyDescent="0.25">
      <c r="A38" s="4">
        <v>2222</v>
      </c>
      <c r="B38" s="5" t="s">
        <v>61</v>
      </c>
      <c r="C38" s="5" t="s">
        <v>1352</v>
      </c>
      <c r="D38" s="46">
        <f>ROUND((E38/798),2)</f>
        <v>0.84</v>
      </c>
      <c r="E38" s="45">
        <f>ROUND((4203.76*0.159),2)</f>
        <v>668.4</v>
      </c>
    </row>
    <row r="39" spans="1:11" ht="31.5" x14ac:dyDescent="0.25">
      <c r="A39" s="4">
        <v>2223</v>
      </c>
      <c r="B39" s="5" t="s">
        <v>19</v>
      </c>
      <c r="C39" s="176" t="s">
        <v>1353</v>
      </c>
      <c r="D39" s="46">
        <f>ROUND((E39/798),2)</f>
        <v>1.56</v>
      </c>
      <c r="E39" s="45">
        <f>ROUND((7807.39*0.159),2)</f>
        <v>1241.3800000000001</v>
      </c>
    </row>
    <row r="40" spans="1:11" ht="79.5" customHeight="1" x14ac:dyDescent="0.25">
      <c r="A40" s="4">
        <v>2224</v>
      </c>
      <c r="B40" s="112" t="s">
        <v>62</v>
      </c>
      <c r="C40" s="77" t="s">
        <v>1355</v>
      </c>
      <c r="D40" s="46">
        <f>ROUND((E40/798+0.01),2)</f>
        <v>0.06</v>
      </c>
      <c r="E40" s="28">
        <f>ROUND((275.91*0.159),2)</f>
        <v>43.87</v>
      </c>
      <c r="K40" s="51"/>
    </row>
    <row r="41" spans="1:11" ht="31.5" x14ac:dyDescent="0.25">
      <c r="A41" s="4">
        <v>2232</v>
      </c>
      <c r="B41" s="125" t="s">
        <v>45</v>
      </c>
      <c r="C41" s="90" t="s">
        <v>1356</v>
      </c>
      <c r="D41" s="46">
        <f t="shared" ref="D41:D50" si="2">ROUND((E41/798),2)</f>
        <v>0.03</v>
      </c>
      <c r="E41" s="28">
        <f>ROUND((149.11*0.159),2)</f>
        <v>23.71</v>
      </c>
    </row>
    <row r="42" spans="1:11" ht="31.5" x14ac:dyDescent="0.25">
      <c r="A42" s="4">
        <v>2239</v>
      </c>
      <c r="B42" s="58" t="s">
        <v>20</v>
      </c>
      <c r="C42" s="90" t="s">
        <v>1357</v>
      </c>
      <c r="D42" s="45">
        <f t="shared" si="2"/>
        <v>0.01</v>
      </c>
      <c r="E42" s="45">
        <f>ROUND((57*0.159),2)</f>
        <v>9.06</v>
      </c>
    </row>
    <row r="43" spans="1:11" ht="31.5" customHeight="1" x14ac:dyDescent="0.25">
      <c r="A43" s="4">
        <v>2241</v>
      </c>
      <c r="B43" s="176" t="s">
        <v>64</v>
      </c>
      <c r="C43" s="176" t="s">
        <v>1358</v>
      </c>
      <c r="D43" s="45">
        <f t="shared" si="2"/>
        <v>0.37</v>
      </c>
      <c r="E43" s="45">
        <f>ROUND((1875.92*0.159),2)</f>
        <v>298.27</v>
      </c>
    </row>
    <row r="44" spans="1:11" ht="50.25" customHeight="1" x14ac:dyDescent="0.25">
      <c r="A44" s="4">
        <v>2243</v>
      </c>
      <c r="B44" s="176" t="s">
        <v>21</v>
      </c>
      <c r="C44" s="90" t="s">
        <v>1359</v>
      </c>
      <c r="D44" s="45">
        <f t="shared" si="2"/>
        <v>0.19</v>
      </c>
      <c r="E44" s="45">
        <f>ROUND((956.5*0.159),2)</f>
        <v>152.08000000000001</v>
      </c>
    </row>
    <row r="45" spans="1:11" ht="47.25" customHeight="1" x14ac:dyDescent="0.25">
      <c r="A45" s="4">
        <v>2244</v>
      </c>
      <c r="B45" s="176" t="s">
        <v>22</v>
      </c>
      <c r="C45" s="77" t="s">
        <v>1360</v>
      </c>
      <c r="D45" s="45">
        <f t="shared" si="2"/>
        <v>0.67</v>
      </c>
      <c r="E45" s="45">
        <f>ROUND((3378.56*0.159),2)</f>
        <v>537.19000000000005</v>
      </c>
    </row>
    <row r="46" spans="1:11" ht="33" customHeight="1" x14ac:dyDescent="0.25">
      <c r="A46" s="4">
        <v>2249</v>
      </c>
      <c r="B46" s="176" t="s">
        <v>50</v>
      </c>
      <c r="C46" s="77" t="s">
        <v>1361</v>
      </c>
      <c r="D46" s="45">
        <f t="shared" si="2"/>
        <v>0.74</v>
      </c>
      <c r="E46" s="45">
        <f>ROUND((3705.93*0.159),2)</f>
        <v>589.24</v>
      </c>
    </row>
    <row r="47" spans="1:11" ht="30" customHeight="1" x14ac:dyDescent="0.25">
      <c r="A47" s="4">
        <v>2312</v>
      </c>
      <c r="B47" s="5" t="s">
        <v>13</v>
      </c>
      <c r="C47" s="77" t="s">
        <v>1362</v>
      </c>
      <c r="D47" s="45">
        <f t="shared" si="2"/>
        <v>0.17</v>
      </c>
      <c r="E47" s="45">
        <f>ROUND((856.97*0.159),2)</f>
        <v>136.26</v>
      </c>
    </row>
    <row r="48" spans="1:11" ht="45.95" customHeight="1" x14ac:dyDescent="0.25">
      <c r="A48" s="4">
        <v>2350</v>
      </c>
      <c r="B48" s="5" t="s">
        <v>236</v>
      </c>
      <c r="C48" s="77" t="s">
        <v>1363</v>
      </c>
      <c r="D48" s="45">
        <f t="shared" si="2"/>
        <v>0.34</v>
      </c>
      <c r="E48" s="114">
        <f>ROUND((1711.8*0.159),2)</f>
        <v>272.18</v>
      </c>
    </row>
    <row r="49" spans="1:5" ht="32.1" customHeight="1" x14ac:dyDescent="0.25">
      <c r="A49" s="4">
        <v>2513</v>
      </c>
      <c r="B49" s="5" t="s">
        <v>63</v>
      </c>
      <c r="C49" s="77" t="s">
        <v>1364</v>
      </c>
      <c r="D49" s="45">
        <f t="shared" si="2"/>
        <v>1.61</v>
      </c>
      <c r="E49" s="45">
        <f>ROUND((8084.39*0.159),2)</f>
        <v>1285.42</v>
      </c>
    </row>
    <row r="50" spans="1:5" ht="33.75" customHeight="1" x14ac:dyDescent="0.25">
      <c r="A50" s="4">
        <v>2515</v>
      </c>
      <c r="B50" s="5" t="s">
        <v>49</v>
      </c>
      <c r="C50" s="77" t="s">
        <v>1365</v>
      </c>
      <c r="D50" s="45">
        <f t="shared" si="2"/>
        <v>0.38</v>
      </c>
      <c r="E50" s="45">
        <f>ROUND((1920.89*0.159),2)</f>
        <v>305.42</v>
      </c>
    </row>
    <row r="51" spans="1:5" ht="15.75" x14ac:dyDescent="0.25">
      <c r="A51" s="10">
        <v>5000</v>
      </c>
      <c r="B51" s="9" t="s">
        <v>17</v>
      </c>
      <c r="C51" s="74"/>
      <c r="D51" s="44">
        <f>SUM(D52:D55)</f>
        <v>0.95000000000000007</v>
      </c>
      <c r="E51" s="44">
        <f>SUM(E52:E55)</f>
        <v>756.26</v>
      </c>
    </row>
    <row r="52" spans="1:5" ht="31.5" x14ac:dyDescent="0.25">
      <c r="A52" s="4">
        <v>5212</v>
      </c>
      <c r="B52" s="5" t="s">
        <v>31</v>
      </c>
      <c r="C52" s="77" t="s">
        <v>1366</v>
      </c>
      <c r="D52" s="45">
        <f>ROUND((E52/798),2)</f>
        <v>0.12</v>
      </c>
      <c r="E52" s="45">
        <f>ROUND((622.32*0.159),2)</f>
        <v>98.95</v>
      </c>
    </row>
    <row r="53" spans="1:5" ht="31.5" x14ac:dyDescent="0.25">
      <c r="A53" s="4">
        <v>5213</v>
      </c>
      <c r="B53" s="5" t="s">
        <v>32</v>
      </c>
      <c r="C53" s="77" t="s">
        <v>1367</v>
      </c>
      <c r="D53" s="45">
        <f>ROUND((E53/798),2)</f>
        <v>0.05</v>
      </c>
      <c r="E53" s="45">
        <f>ROUND((251.64*0.159),2)</f>
        <v>40.01</v>
      </c>
    </row>
    <row r="54" spans="1:5" ht="32.25" customHeight="1" x14ac:dyDescent="0.25">
      <c r="A54" s="19">
        <v>5218</v>
      </c>
      <c r="B54" s="77" t="s">
        <v>33</v>
      </c>
      <c r="C54" s="77" t="s">
        <v>1368</v>
      </c>
      <c r="D54" s="45">
        <f>ROUND((E54/798),2)</f>
        <v>0.23</v>
      </c>
      <c r="E54" s="45">
        <f>ROUND((1134.21*0.159),2)</f>
        <v>180.34</v>
      </c>
    </row>
    <row r="55" spans="1:5" ht="47.25" x14ac:dyDescent="0.25">
      <c r="A55" s="19">
        <v>5239</v>
      </c>
      <c r="B55" s="77" t="s">
        <v>18</v>
      </c>
      <c r="C55" s="77" t="s">
        <v>1369</v>
      </c>
      <c r="D55" s="45">
        <f>ROUND((E55/798),2)</f>
        <v>0.55000000000000004</v>
      </c>
      <c r="E55" s="45">
        <f>ROUND((2748.15*0.159),2)</f>
        <v>436.96</v>
      </c>
    </row>
    <row r="56" spans="1:5" ht="15.75" x14ac:dyDescent="0.25">
      <c r="A56" s="171"/>
      <c r="B56" s="9" t="s">
        <v>23</v>
      </c>
      <c r="C56" s="74"/>
      <c r="D56" s="44">
        <f>SUM(D23+D36+D51)</f>
        <v>25.810000000000002</v>
      </c>
      <c r="E56" s="41">
        <f>SUM(E23+E36+E51)</f>
        <v>20602.549999999996</v>
      </c>
    </row>
    <row r="57" spans="1:5" ht="31.5" x14ac:dyDescent="0.25">
      <c r="A57" s="172"/>
      <c r="B57" s="11" t="s">
        <v>28</v>
      </c>
      <c r="C57" s="74"/>
      <c r="D57" s="27">
        <f>D21+D56</f>
        <v>34.130000000000003</v>
      </c>
      <c r="E57" s="42">
        <f>E21+E56</f>
        <v>27238.829999999994</v>
      </c>
    </row>
    <row r="58" spans="1:5" ht="15.75" x14ac:dyDescent="0.25">
      <c r="A58" s="172"/>
      <c r="B58" s="13" t="s">
        <v>235</v>
      </c>
      <c r="C58" s="74"/>
      <c r="D58" s="27">
        <f>D57*0.12</f>
        <v>4.0956000000000001</v>
      </c>
      <c r="E58" s="42">
        <f>E57*0.12</f>
        <v>3268.659599999999</v>
      </c>
    </row>
    <row r="59" spans="1:5" ht="31.5" x14ac:dyDescent="0.25">
      <c r="A59" s="6"/>
      <c r="B59" s="179" t="s">
        <v>30</v>
      </c>
      <c r="C59" s="180"/>
      <c r="D59" s="181">
        <f>D57*1.12</f>
        <v>38.225600000000007</v>
      </c>
      <c r="E59" s="182">
        <f>E57*1.12</f>
        <v>30507.489599999997</v>
      </c>
    </row>
    <row r="60" spans="1:5" ht="15.75" x14ac:dyDescent="0.25">
      <c r="A60" s="351" t="s">
        <v>230</v>
      </c>
      <c r="B60" s="351"/>
      <c r="C60" s="351"/>
      <c r="D60" s="8">
        <f>14*57</f>
        <v>798</v>
      </c>
      <c r="E60" s="165" t="s">
        <v>75</v>
      </c>
    </row>
    <row r="61" spans="1:5" ht="30.6" customHeight="1" x14ac:dyDescent="0.25">
      <c r="A61" s="351" t="s">
        <v>359</v>
      </c>
      <c r="B61" s="351"/>
      <c r="C61" s="351"/>
      <c r="D61" s="183">
        <f>ROUND((E59/D60),2)</f>
        <v>38.229999999999997</v>
      </c>
      <c r="E61" s="205" t="s">
        <v>401</v>
      </c>
    </row>
    <row r="62" spans="1:5" ht="15.75" x14ac:dyDescent="0.25">
      <c r="A62" s="1"/>
      <c r="B62" s="1"/>
      <c r="C62" s="1"/>
    </row>
  </sheetData>
  <mergeCells count="7">
    <mergeCell ref="A61:C61"/>
    <mergeCell ref="A2:C2"/>
    <mergeCell ref="A3:E3"/>
    <mergeCell ref="A4:B4"/>
    <mergeCell ref="A26:A34"/>
    <mergeCell ref="B26:B34"/>
    <mergeCell ref="A60:C60"/>
  </mergeCells>
  <pageMargins left="0.7" right="0.7" top="0.75" bottom="0.75" header="0.3" footer="0.3"/>
  <pageSetup paperSize="9" orientation="landscape" r:id="rId1"/>
  <ignoredErrors>
    <ignoredError sqref="D18 D40" formula="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47D9D-AB9A-4BB1-80B2-E49AE49A6DDB}">
  <dimension ref="A1:J68"/>
  <sheetViews>
    <sheetView topLeftCell="A46" zoomScaleNormal="100" workbookViewId="0">
      <selection activeCell="I55" sqref="I55"/>
    </sheetView>
  </sheetViews>
  <sheetFormatPr defaultRowHeight="15" x14ac:dyDescent="0.25"/>
  <cols>
    <col min="1" max="1" width="12.28515625" customWidth="1"/>
    <col min="2" max="2" width="26.7109375" customWidth="1"/>
    <col min="3" max="3" width="68" customWidth="1"/>
    <col min="4" max="4" width="9.85546875" customWidth="1"/>
    <col min="5" max="5" width="17.140625" customWidth="1"/>
  </cols>
  <sheetData>
    <row r="1" spans="1:5" ht="18.75" x14ac:dyDescent="0.3">
      <c r="A1" s="158" t="s">
        <v>51</v>
      </c>
    </row>
    <row r="2" spans="1:5" ht="18.75" x14ac:dyDescent="0.3">
      <c r="A2" s="358" t="s">
        <v>56</v>
      </c>
      <c r="B2" s="358"/>
      <c r="C2" s="358"/>
    </row>
    <row r="3" spans="1:5" ht="18.75" x14ac:dyDescent="0.25">
      <c r="A3" s="352" t="s">
        <v>190</v>
      </c>
      <c r="B3" s="352"/>
      <c r="C3" s="352"/>
      <c r="D3" s="352"/>
      <c r="E3" s="352"/>
    </row>
    <row r="4" spans="1:5" ht="15.75" x14ac:dyDescent="0.25">
      <c r="A4" s="359" t="s">
        <v>74</v>
      </c>
      <c r="B4" s="359"/>
    </row>
    <row r="6" spans="1:5" ht="79.5" customHeight="1" x14ac:dyDescent="0.25">
      <c r="A6" s="149" t="s">
        <v>0</v>
      </c>
      <c r="B6" s="149" t="s">
        <v>1</v>
      </c>
      <c r="C6" s="149" t="s">
        <v>2</v>
      </c>
      <c r="D6" s="162" t="s">
        <v>26</v>
      </c>
      <c r="E6" s="162" t="s">
        <v>27</v>
      </c>
    </row>
    <row r="7" spans="1:5" x14ac:dyDescent="0.25">
      <c r="A7" s="292">
        <v>1</v>
      </c>
      <c r="B7" s="292">
        <v>2</v>
      </c>
      <c r="C7" s="292">
        <v>3</v>
      </c>
      <c r="D7" s="292">
        <v>4</v>
      </c>
      <c r="E7" s="292">
        <v>5</v>
      </c>
    </row>
    <row r="8" spans="1:5" ht="15.75" x14ac:dyDescent="0.25">
      <c r="A8" s="4"/>
      <c r="B8" s="7" t="s">
        <v>7</v>
      </c>
      <c r="C8" s="74" t="s">
        <v>8</v>
      </c>
      <c r="D8" s="25"/>
      <c r="E8" s="23"/>
    </row>
    <row r="9" spans="1:5" ht="15.75" x14ac:dyDescent="0.25">
      <c r="A9" s="8">
        <v>1000</v>
      </c>
      <c r="B9" s="7" t="s">
        <v>9</v>
      </c>
      <c r="C9" s="74"/>
      <c r="D9" s="44">
        <f>D10+D18</f>
        <v>10.199999999999999</v>
      </c>
      <c r="E9" s="44">
        <f>E10+E18</f>
        <v>1427.47</v>
      </c>
    </row>
    <row r="10" spans="1:5" ht="15.75" x14ac:dyDescent="0.25">
      <c r="A10" s="280">
        <v>1100</v>
      </c>
      <c r="B10" s="280" t="s">
        <v>10</v>
      </c>
      <c r="C10" s="74"/>
      <c r="D10" s="44">
        <f>SUM(D12:D17)</f>
        <v>7.96</v>
      </c>
      <c r="E10" s="44">
        <f>SUM(E12:E17)</f>
        <v>1114.02</v>
      </c>
    </row>
    <row r="11" spans="1:5" ht="15.75" x14ac:dyDescent="0.25">
      <c r="A11" s="16">
        <v>1110</v>
      </c>
      <c r="B11" s="16" t="s">
        <v>240</v>
      </c>
      <c r="C11" s="147" t="s">
        <v>241</v>
      </c>
      <c r="D11" s="114">
        <f>SUM(D12:D16)</f>
        <v>7.24</v>
      </c>
      <c r="E11" s="114">
        <f>SUM(E12:E16)</f>
        <v>1012.74</v>
      </c>
    </row>
    <row r="12" spans="1:5" ht="78.75" x14ac:dyDescent="0.25">
      <c r="A12" s="136"/>
      <c r="B12" s="139"/>
      <c r="C12" s="132" t="s">
        <v>712</v>
      </c>
      <c r="D12" s="62">
        <f t="shared" ref="D12:D20" si="0">ROUND((E12/140),2)</f>
        <v>1.43</v>
      </c>
      <c r="E12" s="114">
        <f>ROUND((486.2*12*0.0342),2)</f>
        <v>199.54</v>
      </c>
    </row>
    <row r="13" spans="1:5" ht="78.75" x14ac:dyDescent="0.25">
      <c r="A13" s="153"/>
      <c r="B13" s="154"/>
      <c r="C13" s="132" t="s">
        <v>711</v>
      </c>
      <c r="D13" s="62">
        <f t="shared" si="0"/>
        <v>1.8</v>
      </c>
      <c r="E13" s="114">
        <f>ROUND((613.42*12*0.0342),2)</f>
        <v>251.75</v>
      </c>
    </row>
    <row r="14" spans="1:5" ht="78.75" x14ac:dyDescent="0.25">
      <c r="A14" s="137"/>
      <c r="B14" s="140"/>
      <c r="C14" s="132" t="s">
        <v>713</v>
      </c>
      <c r="D14" s="62">
        <f t="shared" si="0"/>
        <v>1.68</v>
      </c>
      <c r="E14" s="114">
        <f>ROUND((574.48*12*0.0342),2)</f>
        <v>235.77</v>
      </c>
    </row>
    <row r="15" spans="1:5" ht="78.75" x14ac:dyDescent="0.25">
      <c r="A15" s="137"/>
      <c r="B15" s="140"/>
      <c r="C15" s="132" t="s">
        <v>714</v>
      </c>
      <c r="D15" s="62">
        <f t="shared" si="0"/>
        <v>1.52</v>
      </c>
      <c r="E15" s="114">
        <f>ROUND((516.85*12*0.0342),2)</f>
        <v>212.12</v>
      </c>
    </row>
    <row r="16" spans="1:5" ht="78.75" x14ac:dyDescent="0.25">
      <c r="A16" s="138"/>
      <c r="B16" s="141"/>
      <c r="C16" s="132" t="s">
        <v>1567</v>
      </c>
      <c r="D16" s="62">
        <f t="shared" si="0"/>
        <v>0.81</v>
      </c>
      <c r="E16" s="114">
        <f>ROUND((276.7*12*0.0342),2)</f>
        <v>113.56</v>
      </c>
    </row>
    <row r="17" spans="1:10" ht="77.25" customHeight="1" x14ac:dyDescent="0.25">
      <c r="A17" s="131">
        <v>1140</v>
      </c>
      <c r="B17" s="5" t="s">
        <v>237</v>
      </c>
      <c r="C17" s="152" t="s">
        <v>1370</v>
      </c>
      <c r="D17" s="62">
        <f t="shared" si="0"/>
        <v>0.72</v>
      </c>
      <c r="E17" s="114">
        <f>ROUND((199.54*0.1+251.75*0.1+235.77*0.1+212.12*0.1+113.56*0.1+0.01),2)</f>
        <v>101.28</v>
      </c>
      <c r="G17" s="309"/>
      <c r="J17" s="40"/>
    </row>
    <row r="18" spans="1:10" ht="63" customHeight="1" x14ac:dyDescent="0.25">
      <c r="A18" s="7">
        <v>1200</v>
      </c>
      <c r="B18" s="297" t="s">
        <v>11</v>
      </c>
      <c r="C18" s="176" t="s">
        <v>1568</v>
      </c>
      <c r="D18" s="92">
        <f>ROUND((D19+D20),2)</f>
        <v>2.2400000000000002</v>
      </c>
      <c r="E18" s="92">
        <f>ROUND((E19+E20),2)</f>
        <v>313.45</v>
      </c>
    </row>
    <row r="19" spans="1:10" ht="46.5" customHeight="1" x14ac:dyDescent="0.25">
      <c r="A19" s="4">
        <v>1210</v>
      </c>
      <c r="B19" s="5" t="s">
        <v>239</v>
      </c>
      <c r="C19" s="176" t="s">
        <v>1371</v>
      </c>
      <c r="D19" s="62">
        <f t="shared" si="0"/>
        <v>1.88</v>
      </c>
      <c r="E19" s="45">
        <f>ROUND((1114.02*0.2359),2)</f>
        <v>262.8</v>
      </c>
    </row>
    <row r="20" spans="1:10" ht="78" customHeight="1" x14ac:dyDescent="0.25">
      <c r="A20" s="4">
        <v>1227</v>
      </c>
      <c r="B20" s="5" t="s">
        <v>238</v>
      </c>
      <c r="C20" s="152" t="s">
        <v>1372</v>
      </c>
      <c r="D20" s="62">
        <f t="shared" si="0"/>
        <v>0.36</v>
      </c>
      <c r="E20" s="114">
        <f>ROUND((199.54*0.05+251.75*0.05+235.77*0.05+212.12*0.05+113.56*0.05+0.01),2)</f>
        <v>50.65</v>
      </c>
      <c r="G20" s="299"/>
    </row>
    <row r="21" spans="1:10" ht="15.75" x14ac:dyDescent="0.25">
      <c r="A21" s="4"/>
      <c r="B21" s="9" t="s">
        <v>14</v>
      </c>
      <c r="C21" s="75" t="s">
        <v>16</v>
      </c>
      <c r="D21" s="26">
        <f>D9</f>
        <v>10.199999999999999</v>
      </c>
      <c r="E21" s="44">
        <f>E9</f>
        <v>1427.47</v>
      </c>
    </row>
    <row r="22" spans="1:10" ht="15.75" x14ac:dyDescent="0.25">
      <c r="A22" s="4"/>
      <c r="B22" s="9" t="s">
        <v>15</v>
      </c>
      <c r="C22" s="74" t="s">
        <v>8</v>
      </c>
      <c r="D22" s="23"/>
      <c r="E22" s="43"/>
    </row>
    <row r="23" spans="1:10" ht="15.75" x14ac:dyDescent="0.25">
      <c r="A23" s="8">
        <v>1000</v>
      </c>
      <c r="B23" s="7" t="s">
        <v>9</v>
      </c>
      <c r="C23" s="74"/>
      <c r="D23" s="88">
        <f>SUM(D24+D35)</f>
        <v>1.6900000000000002</v>
      </c>
      <c r="E23" s="88">
        <f>SUM(E24+E35)</f>
        <v>235.65999999999997</v>
      </c>
    </row>
    <row r="24" spans="1:10" ht="15.75" x14ac:dyDescent="0.25">
      <c r="A24" s="4">
        <v>1100</v>
      </c>
      <c r="B24" s="4" t="s">
        <v>10</v>
      </c>
      <c r="C24" s="147" t="s">
        <v>267</v>
      </c>
      <c r="D24" s="88">
        <f>SUM(D25:D34)</f>
        <v>1.37</v>
      </c>
      <c r="E24" s="88">
        <f>SUM(E25:E34)</f>
        <v>190.67999999999998</v>
      </c>
    </row>
    <row r="25" spans="1:10" ht="79.5" customHeight="1" x14ac:dyDescent="0.25">
      <c r="A25" s="237"/>
      <c r="B25" s="238"/>
      <c r="C25" s="152" t="s">
        <v>715</v>
      </c>
      <c r="D25" s="28">
        <f t="shared" ref="D25:D35" si="1">ROUND((E25/140),2)</f>
        <v>0.04</v>
      </c>
      <c r="E25" s="46">
        <f>ROUND((14.05*12*0.0342),2)</f>
        <v>5.77</v>
      </c>
    </row>
    <row r="26" spans="1:10" ht="78.75" x14ac:dyDescent="0.25">
      <c r="A26" s="355"/>
      <c r="B26" s="353"/>
      <c r="C26" s="152" t="s">
        <v>1373</v>
      </c>
      <c r="D26" s="28">
        <f t="shared" si="1"/>
        <v>0.03</v>
      </c>
      <c r="E26" s="46">
        <f>ROUND((9.32*12*0.0342),2)</f>
        <v>3.82</v>
      </c>
    </row>
    <row r="27" spans="1:10" ht="78.75" x14ac:dyDescent="0.25">
      <c r="A27" s="355"/>
      <c r="B27" s="353"/>
      <c r="C27" s="152" t="s">
        <v>716</v>
      </c>
      <c r="D27" s="28">
        <f t="shared" si="1"/>
        <v>0.04</v>
      </c>
      <c r="E27" s="28">
        <f>ROUND((13.46*12*0.0342),2)</f>
        <v>5.52</v>
      </c>
    </row>
    <row r="28" spans="1:10" ht="78.75" x14ac:dyDescent="0.25">
      <c r="A28" s="355"/>
      <c r="B28" s="353"/>
      <c r="C28" s="152" t="s">
        <v>717</v>
      </c>
      <c r="D28" s="28">
        <f t="shared" si="1"/>
        <v>0.05</v>
      </c>
      <c r="E28" s="46">
        <f>ROUND((18.64*12*0.0342),2)</f>
        <v>7.65</v>
      </c>
    </row>
    <row r="29" spans="1:10" ht="78.75" x14ac:dyDescent="0.25">
      <c r="A29" s="355"/>
      <c r="B29" s="353"/>
      <c r="C29" s="76" t="s">
        <v>718</v>
      </c>
      <c r="D29" s="28">
        <f t="shared" si="1"/>
        <v>0.04</v>
      </c>
      <c r="E29" s="46">
        <f>ROUND((13.16*12*0.0342),2)</f>
        <v>5.4</v>
      </c>
    </row>
    <row r="30" spans="1:10" ht="78.75" x14ac:dyDescent="0.25">
      <c r="A30" s="355"/>
      <c r="B30" s="353"/>
      <c r="C30" s="76" t="s">
        <v>719</v>
      </c>
      <c r="D30" s="28">
        <f t="shared" si="1"/>
        <v>0.22</v>
      </c>
      <c r="E30" s="46">
        <f>ROUND((75.79*12*0.0342),2)</f>
        <v>31.1</v>
      </c>
    </row>
    <row r="31" spans="1:10" ht="78" customHeight="1" x14ac:dyDescent="0.25">
      <c r="A31" s="355"/>
      <c r="B31" s="353"/>
      <c r="C31" s="132" t="s">
        <v>720</v>
      </c>
      <c r="D31" s="28">
        <f t="shared" si="1"/>
        <v>0.23</v>
      </c>
      <c r="E31" s="46">
        <f>ROUND((77.25*12*0.0342),2)</f>
        <v>31.7</v>
      </c>
    </row>
    <row r="32" spans="1:10" ht="78" customHeight="1" x14ac:dyDescent="0.25">
      <c r="A32" s="355"/>
      <c r="B32" s="353"/>
      <c r="C32" s="132" t="s">
        <v>1374</v>
      </c>
      <c r="D32" s="28">
        <f t="shared" si="1"/>
        <v>0.28999999999999998</v>
      </c>
      <c r="E32" s="46">
        <f>ROUND((98.97*12*0.0342),2)</f>
        <v>40.619999999999997</v>
      </c>
    </row>
    <row r="33" spans="1:5" ht="94.5" x14ac:dyDescent="0.25">
      <c r="A33" s="355"/>
      <c r="B33" s="353"/>
      <c r="C33" s="132" t="s">
        <v>721</v>
      </c>
      <c r="D33" s="28">
        <f t="shared" si="1"/>
        <v>0.34</v>
      </c>
      <c r="E33" s="28">
        <f>ROUND((114.88*12*0.0342),2)</f>
        <v>47.15</v>
      </c>
    </row>
    <row r="34" spans="1:5" ht="79.5" customHeight="1" x14ac:dyDescent="0.25">
      <c r="A34" s="356"/>
      <c r="B34" s="354"/>
      <c r="C34" s="132" t="s">
        <v>1375</v>
      </c>
      <c r="D34" s="28">
        <f t="shared" si="1"/>
        <v>0.09</v>
      </c>
      <c r="E34" s="46">
        <f>ROUND((29.12*12*0.0342),2)</f>
        <v>11.95</v>
      </c>
    </row>
    <row r="35" spans="1:5" ht="64.5" customHeight="1" x14ac:dyDescent="0.25">
      <c r="A35" s="7">
        <v>1200</v>
      </c>
      <c r="B35" s="166" t="s">
        <v>11</v>
      </c>
      <c r="C35" s="77" t="s">
        <v>1376</v>
      </c>
      <c r="D35" s="88">
        <f t="shared" si="1"/>
        <v>0.32</v>
      </c>
      <c r="E35" s="92">
        <f>ROUND((190.68*0.2359),2)</f>
        <v>44.98</v>
      </c>
    </row>
    <row r="36" spans="1:5" ht="15.75" x14ac:dyDescent="0.25">
      <c r="A36" s="8">
        <v>2000</v>
      </c>
      <c r="B36" s="7" t="s">
        <v>12</v>
      </c>
      <c r="C36" s="74"/>
      <c r="D36" s="44">
        <f>SUM(D37:D50)</f>
        <v>28.800000000000004</v>
      </c>
      <c r="E36" s="44">
        <f>SUM(E37:E50)</f>
        <v>4033.1599999999994</v>
      </c>
    </row>
    <row r="37" spans="1:5" ht="30.75" customHeight="1" x14ac:dyDescent="0.25">
      <c r="A37" s="4">
        <v>2221</v>
      </c>
      <c r="B37" s="112" t="s">
        <v>60</v>
      </c>
      <c r="C37" s="77" t="s">
        <v>1377</v>
      </c>
      <c r="D37" s="45">
        <f>ROUND((E37/140),2)</f>
        <v>20.260000000000002</v>
      </c>
      <c r="E37" s="45">
        <f>ROUND((82944.32*0.0342),2)</f>
        <v>2836.7</v>
      </c>
    </row>
    <row r="38" spans="1:5" ht="31.5" x14ac:dyDescent="0.25">
      <c r="A38" s="4">
        <v>2222</v>
      </c>
      <c r="B38" s="5" t="s">
        <v>61</v>
      </c>
      <c r="C38" s="5" t="s">
        <v>1378</v>
      </c>
      <c r="D38" s="45">
        <f>ROUND((E38/140),2)</f>
        <v>1.03</v>
      </c>
      <c r="E38" s="45">
        <f>ROUND((4203.76*0.0342),2)</f>
        <v>143.77000000000001</v>
      </c>
    </row>
    <row r="39" spans="1:5" ht="31.5" customHeight="1" x14ac:dyDescent="0.25">
      <c r="A39" s="4">
        <v>2223</v>
      </c>
      <c r="B39" s="5" t="s">
        <v>19</v>
      </c>
      <c r="C39" s="176" t="s">
        <v>1379</v>
      </c>
      <c r="D39" s="45">
        <f t="shared" ref="D39:D50" si="2">ROUND((E39/140),2)</f>
        <v>1.91</v>
      </c>
      <c r="E39" s="45">
        <f>ROUND((7807.39*0.0342),2)</f>
        <v>267.01</v>
      </c>
    </row>
    <row r="40" spans="1:5" ht="78" customHeight="1" x14ac:dyDescent="0.25">
      <c r="A40" s="4">
        <v>2224</v>
      </c>
      <c r="B40" s="176" t="s">
        <v>62</v>
      </c>
      <c r="C40" s="77" t="s">
        <v>1380</v>
      </c>
      <c r="D40" s="45">
        <f t="shared" si="2"/>
        <v>7.0000000000000007E-2</v>
      </c>
      <c r="E40" s="45">
        <f>ROUND((275.91*0.0342),2)</f>
        <v>9.44</v>
      </c>
    </row>
    <row r="41" spans="1:5" ht="31.5" x14ac:dyDescent="0.25">
      <c r="A41" s="4">
        <v>2232</v>
      </c>
      <c r="B41" s="125" t="s">
        <v>45</v>
      </c>
      <c r="C41" s="90" t="s">
        <v>1381</v>
      </c>
      <c r="D41" s="45">
        <f t="shared" si="2"/>
        <v>0.04</v>
      </c>
      <c r="E41" s="45">
        <f>ROUND((149.11*0.0342),2)</f>
        <v>5.0999999999999996</v>
      </c>
    </row>
    <row r="42" spans="1:5" ht="31.5" x14ac:dyDescent="0.25">
      <c r="A42" s="4">
        <v>2239</v>
      </c>
      <c r="B42" s="58" t="s">
        <v>20</v>
      </c>
      <c r="C42" s="124" t="s">
        <v>1382</v>
      </c>
      <c r="D42" s="45">
        <f t="shared" si="2"/>
        <v>0.01</v>
      </c>
      <c r="E42" s="45">
        <f>ROUND((57*0.0342),2)</f>
        <v>1.95</v>
      </c>
    </row>
    <row r="43" spans="1:5" ht="31.5" x14ac:dyDescent="0.25">
      <c r="A43" s="4">
        <v>2241</v>
      </c>
      <c r="B43" s="112" t="s">
        <v>64</v>
      </c>
      <c r="C43" s="176" t="s">
        <v>1383</v>
      </c>
      <c r="D43" s="45">
        <f t="shared" si="2"/>
        <v>0.46</v>
      </c>
      <c r="E43" s="45">
        <f>ROUND((1875.92*0.0342),2)</f>
        <v>64.16</v>
      </c>
    </row>
    <row r="44" spans="1:5" ht="47.25" x14ac:dyDescent="0.25">
      <c r="A44" s="4">
        <v>2243</v>
      </c>
      <c r="B44" s="77" t="s">
        <v>21</v>
      </c>
      <c r="C44" s="90" t="s">
        <v>1384</v>
      </c>
      <c r="D44" s="45">
        <f t="shared" si="2"/>
        <v>0.23</v>
      </c>
      <c r="E44" s="45">
        <f>ROUND((956.5*0.0342),2)</f>
        <v>32.71</v>
      </c>
    </row>
    <row r="45" spans="1:5" ht="46.5" customHeight="1" x14ac:dyDescent="0.25">
      <c r="A45" s="4">
        <v>2244</v>
      </c>
      <c r="B45" s="77" t="s">
        <v>22</v>
      </c>
      <c r="C45" s="77" t="s">
        <v>1385</v>
      </c>
      <c r="D45" s="45">
        <f>ROUND((E45/140-0.01),2)</f>
        <v>0.82</v>
      </c>
      <c r="E45" s="45">
        <f>ROUND((3378.56*0.0342),2)</f>
        <v>115.55</v>
      </c>
    </row>
    <row r="46" spans="1:5" ht="47.25" x14ac:dyDescent="0.25">
      <c r="A46" s="4">
        <v>2249</v>
      </c>
      <c r="B46" s="77" t="s">
        <v>50</v>
      </c>
      <c r="C46" s="77" t="s">
        <v>1386</v>
      </c>
      <c r="D46" s="45">
        <f>ROUND((E46/140-0.01),2)</f>
        <v>0.9</v>
      </c>
      <c r="E46" s="45">
        <f>ROUND((3705.93*0.0342),2)</f>
        <v>126.74</v>
      </c>
    </row>
    <row r="47" spans="1:5" ht="32.25" customHeight="1" x14ac:dyDescent="0.25">
      <c r="A47" s="4">
        <v>2312</v>
      </c>
      <c r="B47" s="4" t="s">
        <v>13</v>
      </c>
      <c r="C47" s="77" t="s">
        <v>1387</v>
      </c>
      <c r="D47" s="45">
        <f t="shared" si="2"/>
        <v>0.21</v>
      </c>
      <c r="E47" s="45">
        <f>ROUND((856.97*0.0342),2)</f>
        <v>29.31</v>
      </c>
    </row>
    <row r="48" spans="1:5" ht="48" customHeight="1" x14ac:dyDescent="0.25">
      <c r="A48" s="4">
        <v>2350</v>
      </c>
      <c r="B48" s="5" t="s">
        <v>236</v>
      </c>
      <c r="C48" s="77" t="s">
        <v>1388</v>
      </c>
      <c r="D48" s="45">
        <f t="shared" si="2"/>
        <v>0.42</v>
      </c>
      <c r="E48" s="114">
        <f>ROUND((1711.8*0.0342),2)</f>
        <v>58.54</v>
      </c>
    </row>
    <row r="49" spans="1:5" ht="33" customHeight="1" x14ac:dyDescent="0.25">
      <c r="A49" s="4">
        <v>2513</v>
      </c>
      <c r="B49" s="5" t="s">
        <v>63</v>
      </c>
      <c r="C49" s="77" t="s">
        <v>1389</v>
      </c>
      <c r="D49" s="45">
        <f t="shared" si="2"/>
        <v>1.97</v>
      </c>
      <c r="E49" s="45">
        <f>ROUND((8084.39*0.0342),2)</f>
        <v>276.49</v>
      </c>
    </row>
    <row r="50" spans="1:5" ht="31.5" customHeight="1" x14ac:dyDescent="0.25">
      <c r="A50" s="4">
        <v>2515</v>
      </c>
      <c r="B50" s="5" t="s">
        <v>49</v>
      </c>
      <c r="C50" s="77" t="s">
        <v>1390</v>
      </c>
      <c r="D50" s="45">
        <f t="shared" si="2"/>
        <v>0.47</v>
      </c>
      <c r="E50" s="45">
        <f>ROUND((1920.89*0.0342),2)</f>
        <v>65.69</v>
      </c>
    </row>
    <row r="51" spans="1:5" ht="15.75" x14ac:dyDescent="0.25">
      <c r="A51" s="167">
        <v>5000</v>
      </c>
      <c r="B51" s="166" t="s">
        <v>17</v>
      </c>
      <c r="C51" s="131"/>
      <c r="D51" s="41">
        <f>SUM(D52:D55)</f>
        <v>1.1600000000000001</v>
      </c>
      <c r="E51" s="41">
        <f>SUM(E52:E55)</f>
        <v>162.67000000000002</v>
      </c>
    </row>
    <row r="52" spans="1:5" ht="31.5" customHeight="1" x14ac:dyDescent="0.25">
      <c r="A52" s="4">
        <v>5212</v>
      </c>
      <c r="B52" s="5" t="s">
        <v>31</v>
      </c>
      <c r="C52" s="77" t="s">
        <v>1391</v>
      </c>
      <c r="D52" s="45">
        <f>ROUND((E52/140),2)</f>
        <v>0.15</v>
      </c>
      <c r="E52" s="45">
        <f>ROUND((622.32*0.0342),2)</f>
        <v>21.28</v>
      </c>
    </row>
    <row r="53" spans="1:5" ht="30.75" customHeight="1" x14ac:dyDescent="0.25">
      <c r="A53" s="4">
        <v>5213</v>
      </c>
      <c r="B53" s="5" t="s">
        <v>32</v>
      </c>
      <c r="C53" s="77" t="s">
        <v>1392</v>
      </c>
      <c r="D53" s="45">
        <f>ROUND((E53/140),2)</f>
        <v>0.06</v>
      </c>
      <c r="E53" s="45">
        <f>ROUND((251.64*0.0342),2)</f>
        <v>8.61</v>
      </c>
    </row>
    <row r="54" spans="1:5" ht="31.5" customHeight="1" x14ac:dyDescent="0.25">
      <c r="A54" s="19">
        <v>5218</v>
      </c>
      <c r="B54" s="77" t="s">
        <v>33</v>
      </c>
      <c r="C54" s="77" t="s">
        <v>1393</v>
      </c>
      <c r="D54" s="45">
        <f>ROUND((E54/140),2)</f>
        <v>0.28000000000000003</v>
      </c>
      <c r="E54" s="45">
        <f>ROUND((1134.21*0.0342),2)</f>
        <v>38.79</v>
      </c>
    </row>
    <row r="55" spans="1:5" ht="45.95" customHeight="1" x14ac:dyDescent="0.25">
      <c r="A55" s="19">
        <v>5239</v>
      </c>
      <c r="B55" s="77" t="s">
        <v>18</v>
      </c>
      <c r="C55" s="77" t="s">
        <v>1394</v>
      </c>
      <c r="D55" s="45">
        <f>ROUND((E55/140),2)</f>
        <v>0.67</v>
      </c>
      <c r="E55" s="45">
        <f>ROUND((2748.15*0.0342),2)</f>
        <v>93.99</v>
      </c>
    </row>
    <row r="56" spans="1:5" ht="15.75" x14ac:dyDescent="0.25">
      <c r="A56" s="171"/>
      <c r="B56" s="9" t="s">
        <v>23</v>
      </c>
      <c r="C56" s="74"/>
      <c r="D56" s="44">
        <f>SUM(D23+D36+D51)</f>
        <v>31.650000000000006</v>
      </c>
      <c r="E56" s="41">
        <f>SUM(E23+E36+E51)</f>
        <v>4431.49</v>
      </c>
    </row>
    <row r="57" spans="1:5" ht="31.5" x14ac:dyDescent="0.25">
      <c r="A57" s="172"/>
      <c r="B57" s="11" t="s">
        <v>28</v>
      </c>
      <c r="C57" s="74"/>
      <c r="D57" s="27">
        <f>D21+D56</f>
        <v>41.850000000000009</v>
      </c>
      <c r="E57" s="42">
        <f>E21+E56</f>
        <v>5858.96</v>
      </c>
    </row>
    <row r="58" spans="1:5" ht="15.75" x14ac:dyDescent="0.25">
      <c r="A58" s="172"/>
      <c r="B58" s="13" t="s">
        <v>235</v>
      </c>
      <c r="C58" s="74"/>
      <c r="D58" s="27">
        <f>D57*0.12</f>
        <v>5.0220000000000011</v>
      </c>
      <c r="E58" s="42">
        <f>E57*0.12</f>
        <v>703.0752</v>
      </c>
    </row>
    <row r="59" spans="1:5" ht="31.5" x14ac:dyDescent="0.25">
      <c r="A59" s="6"/>
      <c r="B59" s="179" t="s">
        <v>30</v>
      </c>
      <c r="C59" s="180"/>
      <c r="D59" s="27">
        <f>D57*1.12</f>
        <v>46.872000000000014</v>
      </c>
      <c r="E59" s="42">
        <f>E57*1.12</f>
        <v>6562.0352000000003</v>
      </c>
    </row>
    <row r="60" spans="1:5" ht="15.75" x14ac:dyDescent="0.25">
      <c r="A60" s="351" t="s">
        <v>205</v>
      </c>
      <c r="B60" s="351"/>
      <c r="C60" s="351"/>
      <c r="D60" s="8">
        <f>1*140</f>
        <v>140</v>
      </c>
      <c r="E60" s="165" t="s">
        <v>75</v>
      </c>
    </row>
    <row r="61" spans="1:5" ht="30.6" customHeight="1" x14ac:dyDescent="0.25">
      <c r="A61" s="351" t="s">
        <v>359</v>
      </c>
      <c r="B61" s="351"/>
      <c r="C61" s="351"/>
      <c r="D61" s="183">
        <f>ROUND((E59/D60),2)</f>
        <v>46.87</v>
      </c>
      <c r="E61" s="205" t="s">
        <v>401</v>
      </c>
    </row>
    <row r="62" spans="1:5" ht="15.75" x14ac:dyDescent="0.25">
      <c r="A62" s="1"/>
      <c r="B62" s="1"/>
      <c r="C62" s="1"/>
    </row>
    <row r="68" spans="4:4" x14ac:dyDescent="0.25">
      <c r="D68" s="255"/>
    </row>
  </sheetData>
  <mergeCells count="7">
    <mergeCell ref="A61:C61"/>
    <mergeCell ref="A2:C2"/>
    <mergeCell ref="A3:E3"/>
    <mergeCell ref="A4:B4"/>
    <mergeCell ref="A26:A34"/>
    <mergeCell ref="B26:B34"/>
    <mergeCell ref="A60:C60"/>
  </mergeCells>
  <pageMargins left="0.7" right="0.7" top="0.75" bottom="0.75" header="0.3" footer="0.3"/>
  <pageSetup paperSize="9" scale="96" orientation="landscape" r:id="rId1"/>
  <rowBreaks count="4" manualBreakCount="4">
    <brk id="21" max="16383" man="1"/>
    <brk id="29" max="16383" man="1"/>
    <brk id="35" max="16383" man="1"/>
    <brk id="47"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A36FC-54D4-4F2B-941C-08003231ACDF}">
  <dimension ref="A1:H62"/>
  <sheetViews>
    <sheetView topLeftCell="A45" zoomScaleNormal="100" workbookViewId="0">
      <selection activeCell="E57" sqref="E57"/>
    </sheetView>
  </sheetViews>
  <sheetFormatPr defaultRowHeight="15" x14ac:dyDescent="0.25"/>
  <cols>
    <col min="1" max="1" width="13.140625" customWidth="1"/>
    <col min="2" max="2" width="27.42578125" customWidth="1"/>
    <col min="3" max="3" width="62.42578125" customWidth="1"/>
    <col min="4" max="4" width="10.140625" customWidth="1"/>
    <col min="5" max="5" width="17.85546875" customWidth="1"/>
  </cols>
  <sheetData>
    <row r="1" spans="1:5" ht="15.75" x14ac:dyDescent="0.25">
      <c r="A1" s="63" t="s">
        <v>51</v>
      </c>
    </row>
    <row r="2" spans="1:5" ht="18.75" x14ac:dyDescent="0.3">
      <c r="A2" s="358" t="s">
        <v>57</v>
      </c>
      <c r="B2" s="358"/>
      <c r="C2" s="358"/>
    </row>
    <row r="3" spans="1:5" ht="15.75" x14ac:dyDescent="0.25">
      <c r="A3" s="359" t="s">
        <v>74</v>
      </c>
      <c r="B3" s="359"/>
    </row>
    <row r="5" spans="1:5" ht="78.75" x14ac:dyDescent="0.25">
      <c r="A5" s="149" t="s">
        <v>0</v>
      </c>
      <c r="B5" s="149" t="s">
        <v>1</v>
      </c>
      <c r="C5" s="149" t="s">
        <v>2</v>
      </c>
      <c r="D5" s="162" t="s">
        <v>26</v>
      </c>
      <c r="E5" s="53" t="s">
        <v>27</v>
      </c>
    </row>
    <row r="6" spans="1:5" x14ac:dyDescent="0.25">
      <c r="A6" s="292">
        <v>1</v>
      </c>
      <c r="B6" s="292">
        <v>2</v>
      </c>
      <c r="C6" s="292">
        <v>3</v>
      </c>
      <c r="D6" s="292">
        <v>4</v>
      </c>
      <c r="E6" s="292">
        <v>5</v>
      </c>
    </row>
    <row r="7" spans="1:5" ht="15.75" x14ac:dyDescent="0.25">
      <c r="A7" s="4"/>
      <c r="B7" s="7" t="s">
        <v>7</v>
      </c>
      <c r="C7" s="143" t="s">
        <v>8</v>
      </c>
      <c r="D7" s="25"/>
      <c r="E7" s="23"/>
    </row>
    <row r="8" spans="1:5" ht="15.75" x14ac:dyDescent="0.25">
      <c r="A8" s="8">
        <v>1000</v>
      </c>
      <c r="B8" s="7" t="s">
        <v>9</v>
      </c>
      <c r="C8" s="143"/>
      <c r="D8" s="26">
        <f>D9+D17</f>
        <v>2.5</v>
      </c>
      <c r="E8" s="26">
        <f>E9+E17</f>
        <v>50.06</v>
      </c>
    </row>
    <row r="9" spans="1:5" ht="15.75" x14ac:dyDescent="0.25">
      <c r="A9" s="280">
        <v>1100</v>
      </c>
      <c r="B9" s="280" t="s">
        <v>10</v>
      </c>
      <c r="C9" s="143"/>
      <c r="D9" s="26">
        <f>SUM(D11:D16)</f>
        <v>1.9499999999999997</v>
      </c>
      <c r="E9" s="26">
        <f>SUM(E11:E16)</f>
        <v>39.07</v>
      </c>
    </row>
    <row r="10" spans="1:5" ht="15.75" x14ac:dyDescent="0.25">
      <c r="A10" s="16">
        <v>1110</v>
      </c>
      <c r="B10" s="16" t="s">
        <v>240</v>
      </c>
      <c r="C10" s="300" t="s">
        <v>241</v>
      </c>
      <c r="D10" s="62">
        <f>SUM(D11:D15)</f>
        <v>1.7699999999999998</v>
      </c>
      <c r="E10" s="62">
        <f>SUM(E11:E15)</f>
        <v>35.520000000000003</v>
      </c>
    </row>
    <row r="11" spans="1:5" ht="78.95" customHeight="1" x14ac:dyDescent="0.25">
      <c r="A11" s="136"/>
      <c r="B11" s="139"/>
      <c r="C11" s="132" t="s">
        <v>724</v>
      </c>
      <c r="D11" s="62">
        <f>ROUND((E11/20),2)</f>
        <v>0.35</v>
      </c>
      <c r="E11" s="114">
        <f>ROUND((486.2*12*0.0012),2)</f>
        <v>7</v>
      </c>
    </row>
    <row r="12" spans="1:5" ht="78" customHeight="1" x14ac:dyDescent="0.25">
      <c r="A12" s="153"/>
      <c r="B12" s="154"/>
      <c r="C12" s="132" t="s">
        <v>725</v>
      </c>
      <c r="D12" s="62">
        <f t="shared" ref="D12:D18" si="0">ROUND((E12/20),2)</f>
        <v>0.44</v>
      </c>
      <c r="E12" s="114">
        <f>ROUND((613.42*12*0.0012),2)</f>
        <v>8.83</v>
      </c>
    </row>
    <row r="13" spans="1:5" ht="78" customHeight="1" x14ac:dyDescent="0.25">
      <c r="A13" s="137"/>
      <c r="B13" s="140"/>
      <c r="C13" s="132" t="s">
        <v>723</v>
      </c>
      <c r="D13" s="62">
        <f t="shared" si="0"/>
        <v>0.41</v>
      </c>
      <c r="E13" s="114">
        <f>ROUND((574.48*12*0.0012),2)</f>
        <v>8.27</v>
      </c>
    </row>
    <row r="14" spans="1:5" ht="78" customHeight="1" x14ac:dyDescent="0.25">
      <c r="A14" s="137"/>
      <c r="B14" s="140"/>
      <c r="C14" s="132" t="s">
        <v>726</v>
      </c>
      <c r="D14" s="62">
        <f t="shared" si="0"/>
        <v>0.37</v>
      </c>
      <c r="E14" s="114">
        <f>ROUND((516.85*12*0.0012),2)</f>
        <v>7.44</v>
      </c>
    </row>
    <row r="15" spans="1:5" ht="79.5" customHeight="1" x14ac:dyDescent="0.25">
      <c r="A15" s="138"/>
      <c r="B15" s="141"/>
      <c r="C15" s="132" t="s">
        <v>1563</v>
      </c>
      <c r="D15" s="62">
        <f t="shared" si="0"/>
        <v>0.2</v>
      </c>
      <c r="E15" s="114">
        <f>ROUND((276.7*12*0.0012),2)</f>
        <v>3.98</v>
      </c>
    </row>
    <row r="16" spans="1:5" ht="81" customHeight="1" x14ac:dyDescent="0.25">
      <c r="A16" s="131">
        <v>1140</v>
      </c>
      <c r="B16" s="5" t="s">
        <v>237</v>
      </c>
      <c r="C16" s="152" t="s">
        <v>1395</v>
      </c>
      <c r="D16" s="62">
        <f t="shared" si="0"/>
        <v>0.18</v>
      </c>
      <c r="E16" s="114">
        <f>ROUND((7*0.1+8.83*0.1+8.27*0.1+7.44*0.1+3.98*0.1),2)</f>
        <v>3.55</v>
      </c>
    </row>
    <row r="17" spans="1:8" ht="63" x14ac:dyDescent="0.25">
      <c r="A17" s="7">
        <v>1200</v>
      </c>
      <c r="B17" s="297" t="s">
        <v>11</v>
      </c>
      <c r="C17" s="176" t="s">
        <v>1397</v>
      </c>
      <c r="D17" s="88">
        <f>ROUND((D18+D19),2)</f>
        <v>0.55000000000000004</v>
      </c>
      <c r="E17" s="88">
        <f>ROUND((E18+E19),2)</f>
        <v>10.99</v>
      </c>
    </row>
    <row r="18" spans="1:8" ht="47.25" x14ac:dyDescent="0.25">
      <c r="A18" s="4">
        <v>1210</v>
      </c>
      <c r="B18" s="5" t="s">
        <v>239</v>
      </c>
      <c r="C18" s="176" t="s">
        <v>727</v>
      </c>
      <c r="D18" s="62">
        <f t="shared" si="0"/>
        <v>0.46</v>
      </c>
      <c r="E18" s="45">
        <f>ROUND((39.07*0.2359),2)</f>
        <v>9.2200000000000006</v>
      </c>
    </row>
    <row r="19" spans="1:8" ht="80.25" customHeight="1" x14ac:dyDescent="0.25">
      <c r="A19" s="4">
        <v>1227</v>
      </c>
      <c r="B19" s="5" t="s">
        <v>238</v>
      </c>
      <c r="C19" s="152" t="s">
        <v>1396</v>
      </c>
      <c r="D19" s="62">
        <f t="shared" ref="D19" si="1">ROUND((E19/20),2)</f>
        <v>0.09</v>
      </c>
      <c r="E19" s="114">
        <f>ROUND((7*0.05+8.83*0.05+8.27*0.05+7.44*0.05+3.98*0.05-0.01),2)</f>
        <v>1.77</v>
      </c>
    </row>
    <row r="20" spans="1:8" ht="15.75" x14ac:dyDescent="0.25">
      <c r="A20" s="4"/>
      <c r="B20" s="9" t="s">
        <v>14</v>
      </c>
      <c r="C20" s="144" t="s">
        <v>16</v>
      </c>
      <c r="D20" s="26">
        <f>D8</f>
        <v>2.5</v>
      </c>
      <c r="E20" s="44">
        <f>E8</f>
        <v>50.06</v>
      </c>
    </row>
    <row r="21" spans="1:8" ht="15.75" x14ac:dyDescent="0.25">
      <c r="A21" s="4"/>
      <c r="B21" s="9" t="s">
        <v>15</v>
      </c>
      <c r="C21" s="143" t="s">
        <v>8</v>
      </c>
      <c r="D21" s="23"/>
      <c r="E21" s="43"/>
    </row>
    <row r="22" spans="1:8" ht="15.75" x14ac:dyDescent="0.25">
      <c r="A22" s="8">
        <v>1000</v>
      </c>
      <c r="B22" s="7" t="s">
        <v>9</v>
      </c>
      <c r="C22" s="143"/>
      <c r="D22" s="88">
        <f>SUM(D23+D34)</f>
        <v>0.41000000000000003</v>
      </c>
      <c r="E22" s="88">
        <f>SUM(E23+E34)</f>
        <v>8.26</v>
      </c>
    </row>
    <row r="23" spans="1:8" ht="15.75" x14ac:dyDescent="0.25">
      <c r="A23" s="4">
        <v>1100</v>
      </c>
      <c r="B23" s="4" t="s">
        <v>10</v>
      </c>
      <c r="C23" s="147" t="s">
        <v>267</v>
      </c>
      <c r="D23" s="88">
        <f>SUM(D24:D33)</f>
        <v>0.33</v>
      </c>
      <c r="E23" s="88">
        <f>SUM(E24:E33)</f>
        <v>6.68</v>
      </c>
    </row>
    <row r="24" spans="1:8" ht="78.75" customHeight="1" x14ac:dyDescent="0.25">
      <c r="A24" s="237"/>
      <c r="B24" s="238"/>
      <c r="C24" s="145" t="s">
        <v>729</v>
      </c>
      <c r="D24" s="45">
        <f>ROUND((E24/20),2)</f>
        <v>0.01</v>
      </c>
      <c r="E24" s="45">
        <f>ROUND((14.05*12*0.0012),2)</f>
        <v>0.2</v>
      </c>
    </row>
    <row r="25" spans="1:8" ht="78.75" x14ac:dyDescent="0.25">
      <c r="A25" s="355"/>
      <c r="B25" s="353"/>
      <c r="C25" s="152" t="s">
        <v>730</v>
      </c>
      <c r="D25" s="45">
        <f t="shared" ref="D25:D33" si="2">ROUND((E25/20),2)</f>
        <v>0.01</v>
      </c>
      <c r="E25" s="45">
        <f>ROUND((9.32*12*0.0012),2)</f>
        <v>0.13</v>
      </c>
    </row>
    <row r="26" spans="1:8" ht="78.75" x14ac:dyDescent="0.25">
      <c r="A26" s="355"/>
      <c r="B26" s="353"/>
      <c r="C26" s="145" t="s">
        <v>728</v>
      </c>
      <c r="D26" s="45">
        <f t="shared" si="2"/>
        <v>0.01</v>
      </c>
      <c r="E26" s="45">
        <f>ROUND((13.46*12*0.0012),2)</f>
        <v>0.19</v>
      </c>
    </row>
    <row r="27" spans="1:8" ht="78" customHeight="1" x14ac:dyDescent="0.25">
      <c r="A27" s="355"/>
      <c r="B27" s="353"/>
      <c r="C27" s="152" t="s">
        <v>731</v>
      </c>
      <c r="D27" s="45">
        <f t="shared" si="2"/>
        <v>0.01</v>
      </c>
      <c r="E27" s="45">
        <f>ROUND((18.64*12*0.0012),2)</f>
        <v>0.27</v>
      </c>
      <c r="G27" s="87"/>
      <c r="H27" s="87"/>
    </row>
    <row r="28" spans="1:8" ht="79.5" customHeight="1" x14ac:dyDescent="0.25">
      <c r="A28" s="355"/>
      <c r="B28" s="353"/>
      <c r="C28" s="152" t="s">
        <v>737</v>
      </c>
      <c r="D28" s="45">
        <f t="shared" si="2"/>
        <v>0.01</v>
      </c>
      <c r="E28" s="45">
        <f>ROUND((13.16*12*0.0012),2)</f>
        <v>0.19</v>
      </c>
    </row>
    <row r="29" spans="1:8" ht="79.5" customHeight="1" x14ac:dyDescent="0.25">
      <c r="A29" s="355"/>
      <c r="B29" s="353"/>
      <c r="C29" s="145" t="s">
        <v>732</v>
      </c>
      <c r="D29" s="45">
        <f t="shared" si="2"/>
        <v>0.05</v>
      </c>
      <c r="E29" s="45">
        <f>ROUND((75.79*12*0.0012),2)</f>
        <v>1.0900000000000001</v>
      </c>
    </row>
    <row r="30" spans="1:8" ht="78.75" x14ac:dyDescent="0.25">
      <c r="A30" s="355"/>
      <c r="B30" s="353"/>
      <c r="C30" s="145" t="s">
        <v>733</v>
      </c>
      <c r="D30" s="45">
        <f t="shared" si="2"/>
        <v>0.06</v>
      </c>
      <c r="E30" s="45">
        <f>ROUND((77.25*12*0.0012),2)</f>
        <v>1.1100000000000001</v>
      </c>
    </row>
    <row r="31" spans="1:8" ht="78.75" x14ac:dyDescent="0.25">
      <c r="A31" s="355"/>
      <c r="B31" s="353"/>
      <c r="C31" s="152" t="s">
        <v>734</v>
      </c>
      <c r="D31" s="45">
        <f t="shared" si="2"/>
        <v>7.0000000000000007E-2</v>
      </c>
      <c r="E31" s="45">
        <f>ROUND((98.97*12*0.0012),2)</f>
        <v>1.43</v>
      </c>
      <c r="G31" s="40"/>
    </row>
    <row r="32" spans="1:8" ht="94.5" x14ac:dyDescent="0.25">
      <c r="A32" s="355"/>
      <c r="B32" s="353"/>
      <c r="C32" s="152" t="s">
        <v>735</v>
      </c>
      <c r="D32" s="45">
        <f t="shared" si="2"/>
        <v>0.08</v>
      </c>
      <c r="E32" s="45">
        <f>ROUND((114.88*12*0.0012),2)</f>
        <v>1.65</v>
      </c>
    </row>
    <row r="33" spans="1:7" ht="78.75" x14ac:dyDescent="0.25">
      <c r="A33" s="356"/>
      <c r="B33" s="354"/>
      <c r="C33" s="152" t="s">
        <v>736</v>
      </c>
      <c r="D33" s="45">
        <f t="shared" si="2"/>
        <v>0.02</v>
      </c>
      <c r="E33" s="45">
        <f>ROUND((29.12*12*0.0012),2)</f>
        <v>0.42</v>
      </c>
    </row>
    <row r="34" spans="1:7" ht="63" x14ac:dyDescent="0.25">
      <c r="A34" s="7">
        <v>1200</v>
      </c>
      <c r="B34" s="166" t="s">
        <v>11</v>
      </c>
      <c r="C34" s="121" t="s">
        <v>738</v>
      </c>
      <c r="D34" s="92">
        <f>ROUND((E34/20),2)</f>
        <v>0.08</v>
      </c>
      <c r="E34" s="92">
        <f>ROUND((6.68*0.2359),2)</f>
        <v>1.58</v>
      </c>
    </row>
    <row r="35" spans="1:7" ht="15.75" x14ac:dyDescent="0.25">
      <c r="A35" s="8">
        <v>2000</v>
      </c>
      <c r="B35" s="7" t="s">
        <v>12</v>
      </c>
      <c r="C35" s="143"/>
      <c r="D35" s="26">
        <f>SUM(D36:D49)</f>
        <v>7.0699999999999994</v>
      </c>
      <c r="E35" s="24">
        <f>SUM(E36:E49)</f>
        <v>141.51000000000002</v>
      </c>
    </row>
    <row r="36" spans="1:7" ht="30" customHeight="1" x14ac:dyDescent="0.25">
      <c r="A36" s="4">
        <v>2221</v>
      </c>
      <c r="B36" s="121" t="s">
        <v>60</v>
      </c>
      <c r="C36" s="121" t="s">
        <v>739</v>
      </c>
      <c r="D36" s="28">
        <f>ROUND((E36/20),2)</f>
        <v>4.9800000000000004</v>
      </c>
      <c r="E36" s="45">
        <f>ROUND((82944.32*0.0012),2)</f>
        <v>99.53</v>
      </c>
    </row>
    <row r="37" spans="1:7" ht="31.5" x14ac:dyDescent="0.25">
      <c r="A37" s="4">
        <v>2222</v>
      </c>
      <c r="B37" s="5" t="s">
        <v>61</v>
      </c>
      <c r="C37" s="176" t="s">
        <v>740</v>
      </c>
      <c r="D37" s="28">
        <f t="shared" ref="D37:D47" si="3">ROUND((E37/20),2)</f>
        <v>0.25</v>
      </c>
      <c r="E37" s="45">
        <f>ROUND((4203.76*0.0012),2)</f>
        <v>5.04</v>
      </c>
    </row>
    <row r="38" spans="1:7" ht="31.5" x14ac:dyDescent="0.25">
      <c r="A38" s="4">
        <v>2223</v>
      </c>
      <c r="B38" s="5" t="s">
        <v>19</v>
      </c>
      <c r="C38" s="120" t="s">
        <v>741</v>
      </c>
      <c r="D38" s="28">
        <f t="shared" si="3"/>
        <v>0.47</v>
      </c>
      <c r="E38" s="45">
        <f>ROUND((7807.39*0.0012),2)</f>
        <v>9.3699999999999992</v>
      </c>
    </row>
    <row r="39" spans="1:7" ht="78" customHeight="1" x14ac:dyDescent="0.25">
      <c r="A39" s="4">
        <v>2224</v>
      </c>
      <c r="B39" s="121" t="s">
        <v>62</v>
      </c>
      <c r="C39" s="121" t="s">
        <v>742</v>
      </c>
      <c r="D39" s="28">
        <f t="shared" si="3"/>
        <v>0.02</v>
      </c>
      <c r="E39" s="28">
        <f>ROUND((275.91*0.0012),2)</f>
        <v>0.33</v>
      </c>
    </row>
    <row r="40" spans="1:7" ht="31.5" x14ac:dyDescent="0.25">
      <c r="A40" s="4">
        <v>2232</v>
      </c>
      <c r="B40" s="125" t="s">
        <v>45</v>
      </c>
      <c r="C40" s="90" t="s">
        <v>743</v>
      </c>
      <c r="D40" s="28">
        <f t="shared" si="3"/>
        <v>0.01</v>
      </c>
      <c r="E40" s="46">
        <f>ROUND((149.11*0.0012),2)</f>
        <v>0.18</v>
      </c>
    </row>
    <row r="41" spans="1:7" ht="31.5" x14ac:dyDescent="0.25">
      <c r="A41" s="4">
        <v>2239</v>
      </c>
      <c r="B41" s="58" t="s">
        <v>20</v>
      </c>
      <c r="C41" s="90" t="s">
        <v>744</v>
      </c>
      <c r="D41" s="46">
        <f t="shared" si="3"/>
        <v>0</v>
      </c>
      <c r="E41" s="28">
        <f>ROUND((57*0.0012),2)</f>
        <v>7.0000000000000007E-2</v>
      </c>
    </row>
    <row r="42" spans="1:7" ht="33" customHeight="1" x14ac:dyDescent="0.25">
      <c r="A42" s="4">
        <v>2241</v>
      </c>
      <c r="B42" s="121" t="s">
        <v>64</v>
      </c>
      <c r="C42" s="121" t="s">
        <v>745</v>
      </c>
      <c r="D42" s="46">
        <f t="shared" si="3"/>
        <v>0.11</v>
      </c>
      <c r="E42" s="28">
        <f>ROUND((1875.92*0.0012),2)</f>
        <v>2.25</v>
      </c>
    </row>
    <row r="43" spans="1:7" ht="48" customHeight="1" x14ac:dyDescent="0.25">
      <c r="A43" s="4">
        <v>2243</v>
      </c>
      <c r="B43" s="176" t="s">
        <v>21</v>
      </c>
      <c r="C43" s="90" t="s">
        <v>746</v>
      </c>
      <c r="D43" s="46">
        <f t="shared" si="3"/>
        <v>0.06</v>
      </c>
      <c r="E43" s="28">
        <f>ROUND((956.5*0.0012),2)</f>
        <v>1.1499999999999999</v>
      </c>
    </row>
    <row r="44" spans="1:7" ht="47.25" customHeight="1" x14ac:dyDescent="0.25">
      <c r="A44" s="4">
        <v>2244</v>
      </c>
      <c r="B44" s="176" t="s">
        <v>22</v>
      </c>
      <c r="C44" s="121" t="s">
        <v>747</v>
      </c>
      <c r="D44" s="46">
        <f t="shared" si="3"/>
        <v>0.2</v>
      </c>
      <c r="E44" s="45">
        <f>ROUND((3378.56*0.0012),2)</f>
        <v>4.05</v>
      </c>
    </row>
    <row r="45" spans="1:7" ht="30.75" customHeight="1" x14ac:dyDescent="0.25">
      <c r="A45" s="4">
        <v>2249</v>
      </c>
      <c r="B45" s="176" t="s">
        <v>50</v>
      </c>
      <c r="C45" s="121" t="s">
        <v>748</v>
      </c>
      <c r="D45" s="28">
        <f t="shared" si="3"/>
        <v>0.22</v>
      </c>
      <c r="E45" s="45">
        <f>ROUND((3705.93*0.0012),2)</f>
        <v>4.45</v>
      </c>
    </row>
    <row r="46" spans="1:7" ht="32.25" customHeight="1" x14ac:dyDescent="0.25">
      <c r="A46" s="4">
        <v>2312</v>
      </c>
      <c r="B46" s="5" t="s">
        <v>13</v>
      </c>
      <c r="C46" s="121" t="s">
        <v>749</v>
      </c>
      <c r="D46" s="28">
        <f t="shared" si="3"/>
        <v>0.05</v>
      </c>
      <c r="E46" s="45">
        <f>ROUND((856.97*0.0012),2)</f>
        <v>1.03</v>
      </c>
    </row>
    <row r="47" spans="1:7" ht="46.5" customHeight="1" x14ac:dyDescent="0.25">
      <c r="A47" s="4">
        <v>2350</v>
      </c>
      <c r="B47" s="5" t="s">
        <v>236</v>
      </c>
      <c r="C47" s="176" t="s">
        <v>1398</v>
      </c>
      <c r="D47" s="46">
        <f t="shared" si="3"/>
        <v>0.1</v>
      </c>
      <c r="E47" s="47">
        <f>ROUND((1711.8*0.0012),2)</f>
        <v>2.0499999999999998</v>
      </c>
    </row>
    <row r="48" spans="1:7" ht="31.5" x14ac:dyDescent="0.25">
      <c r="A48" s="4">
        <v>2513</v>
      </c>
      <c r="B48" s="5" t="s">
        <v>63</v>
      </c>
      <c r="C48" s="121" t="s">
        <v>750</v>
      </c>
      <c r="D48" s="28">
        <f>ROUND((E48/20),2)-0.01</f>
        <v>0.48</v>
      </c>
      <c r="E48" s="46">
        <f>ROUND((8084.39*0.0012),2)</f>
        <v>9.6999999999999993</v>
      </c>
      <c r="G48" s="87"/>
    </row>
    <row r="49" spans="1:7" ht="34.5" customHeight="1" x14ac:dyDescent="0.25">
      <c r="A49" s="4">
        <v>2515</v>
      </c>
      <c r="B49" s="5" t="s">
        <v>49</v>
      </c>
      <c r="C49" s="121" t="s">
        <v>751</v>
      </c>
      <c r="D49" s="46">
        <f>ROUND((E49/20),2)</f>
        <v>0.12</v>
      </c>
      <c r="E49" s="28">
        <f>ROUND((1920.89*0.0012),2)</f>
        <v>2.31</v>
      </c>
    </row>
    <row r="50" spans="1:7" ht="15.75" x14ac:dyDescent="0.25">
      <c r="A50" s="10">
        <v>5000</v>
      </c>
      <c r="B50" s="9" t="s">
        <v>17</v>
      </c>
      <c r="C50" s="143"/>
      <c r="D50" s="26">
        <f>SUM(D51:D53)</f>
        <v>0.26</v>
      </c>
      <c r="E50" s="26">
        <f>SUM(E51:E53)</f>
        <v>4.96</v>
      </c>
    </row>
    <row r="51" spans="1:7" ht="33" customHeight="1" x14ac:dyDescent="0.25">
      <c r="A51" s="4">
        <v>5213</v>
      </c>
      <c r="B51" s="5" t="s">
        <v>32</v>
      </c>
      <c r="C51" s="121" t="s">
        <v>752</v>
      </c>
      <c r="D51" s="46">
        <f>ROUND((E51/20),2)</f>
        <v>0.02</v>
      </c>
      <c r="E51" s="46">
        <f>ROUND((251.64*0.0012),2)</f>
        <v>0.3</v>
      </c>
    </row>
    <row r="52" spans="1:7" ht="33" customHeight="1" x14ac:dyDescent="0.25">
      <c r="A52" s="19">
        <v>5218</v>
      </c>
      <c r="B52" s="121" t="s">
        <v>33</v>
      </c>
      <c r="C52" s="121" t="s">
        <v>753</v>
      </c>
      <c r="D52" s="46">
        <f t="shared" ref="D52" si="4">ROUND((E52/20),2)</f>
        <v>7.0000000000000007E-2</v>
      </c>
      <c r="E52" s="46">
        <f>ROUND((1134.21*0.0012),2)</f>
        <v>1.36</v>
      </c>
    </row>
    <row r="53" spans="1:7" ht="47.25" x14ac:dyDescent="0.25">
      <c r="A53" s="19">
        <v>5239</v>
      </c>
      <c r="B53" s="121" t="s">
        <v>18</v>
      </c>
      <c r="C53" s="121" t="s">
        <v>754</v>
      </c>
      <c r="D53" s="46">
        <f>ROUND((E53/20),2)</f>
        <v>0.17</v>
      </c>
      <c r="E53" s="46">
        <f>ROUND((2748.15*0.0012),2)</f>
        <v>3.3</v>
      </c>
      <c r="G53" s="87"/>
    </row>
    <row r="54" spans="1:7" ht="15.75" x14ac:dyDescent="0.25">
      <c r="A54" s="171"/>
      <c r="B54" s="9" t="s">
        <v>23</v>
      </c>
      <c r="C54" s="143"/>
      <c r="D54" s="26">
        <f>SUM(D22+D35+D50)</f>
        <v>7.7399999999999993</v>
      </c>
      <c r="E54" s="41">
        <f>SUM(E22+E35+E50)</f>
        <v>154.73000000000002</v>
      </c>
    </row>
    <row r="55" spans="1:7" ht="31.5" x14ac:dyDescent="0.25">
      <c r="A55" s="172"/>
      <c r="B55" s="11" t="s">
        <v>28</v>
      </c>
      <c r="C55" s="143"/>
      <c r="D55" s="27">
        <f>D20+D54</f>
        <v>10.239999999999998</v>
      </c>
      <c r="E55" s="42">
        <f>E20+E54</f>
        <v>204.79000000000002</v>
      </c>
    </row>
    <row r="56" spans="1:7" ht="15.75" x14ac:dyDescent="0.25">
      <c r="A56" s="172"/>
      <c r="B56" s="13" t="s">
        <v>235</v>
      </c>
      <c r="C56" s="150"/>
      <c r="D56" s="27">
        <f>D55*0.12</f>
        <v>1.2287999999999997</v>
      </c>
      <c r="E56" s="42">
        <f>E55*0.12</f>
        <v>24.574800000000003</v>
      </c>
    </row>
    <row r="57" spans="1:7" ht="31.5" x14ac:dyDescent="0.25">
      <c r="A57" s="6"/>
      <c r="B57" s="22" t="s">
        <v>30</v>
      </c>
      <c r="C57" s="150"/>
      <c r="D57" s="27">
        <f>D55*1.12</f>
        <v>11.4688</v>
      </c>
      <c r="E57" s="42">
        <f>E55*1.12</f>
        <v>229.36480000000003</v>
      </c>
    </row>
    <row r="58" spans="1:7" ht="17.25" customHeight="1" x14ac:dyDescent="0.25">
      <c r="A58" s="351" t="s">
        <v>206</v>
      </c>
      <c r="B58" s="351"/>
      <c r="C58" s="351"/>
      <c r="D58" s="8">
        <v>20</v>
      </c>
      <c r="E58" s="165" t="s">
        <v>75</v>
      </c>
    </row>
    <row r="59" spans="1:7" ht="30.6" customHeight="1" x14ac:dyDescent="0.25">
      <c r="A59" s="362" t="s">
        <v>359</v>
      </c>
      <c r="B59" s="362"/>
      <c r="C59" s="362"/>
      <c r="D59" s="183">
        <f>ROUND((E57/D58),2)</f>
        <v>11.47</v>
      </c>
      <c r="E59" s="205" t="s">
        <v>722</v>
      </c>
    </row>
    <row r="60" spans="1:7" ht="15.75" x14ac:dyDescent="0.25">
      <c r="A60" s="1"/>
      <c r="B60" s="1"/>
      <c r="C60" s="1"/>
    </row>
    <row r="62" spans="1:7" x14ac:dyDescent="0.25">
      <c r="D62" s="40"/>
    </row>
  </sheetData>
  <mergeCells count="6">
    <mergeCell ref="A59:C59"/>
    <mergeCell ref="A2:C2"/>
    <mergeCell ref="A3:B3"/>
    <mergeCell ref="A25:A33"/>
    <mergeCell ref="B25:B33"/>
    <mergeCell ref="A58:C58"/>
  </mergeCells>
  <pageMargins left="0.7" right="0.7" top="0.75" bottom="0.75" header="0.3" footer="0.3"/>
  <pageSetup paperSize="9" orientation="landscape" r:id="rId1"/>
  <rowBreaks count="3" manualBreakCount="3">
    <brk id="20" max="16383" man="1"/>
    <brk id="34" max="16383" man="1"/>
    <brk id="47" max="4"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4E6BF-05EF-4BD1-BD73-B0EAEFF367A7}">
  <dimension ref="A1:I58"/>
  <sheetViews>
    <sheetView zoomScaleNormal="100" workbookViewId="0">
      <selection activeCell="I51" sqref="I51"/>
    </sheetView>
  </sheetViews>
  <sheetFormatPr defaultRowHeight="15" x14ac:dyDescent="0.25"/>
  <cols>
    <col min="1" max="1" width="12.42578125" customWidth="1"/>
    <col min="2" max="2" width="27.42578125" customWidth="1"/>
    <col min="3" max="3" width="63.42578125" customWidth="1"/>
    <col min="4" max="4" width="10.140625" style="14" customWidth="1"/>
    <col min="5" max="5" width="17.7109375" style="14" customWidth="1"/>
    <col min="7" max="7" width="8" customWidth="1"/>
  </cols>
  <sheetData>
    <row r="1" spans="1:5" ht="18.75" x14ac:dyDescent="0.3">
      <c r="A1" s="158" t="s">
        <v>51</v>
      </c>
    </row>
    <row r="2" spans="1:5" ht="18.75" x14ac:dyDescent="0.3">
      <c r="A2" s="358" t="s">
        <v>1584</v>
      </c>
      <c r="B2" s="358"/>
      <c r="C2" s="358"/>
    </row>
    <row r="3" spans="1:5" ht="18.75" x14ac:dyDescent="0.25">
      <c r="A3" s="352" t="s">
        <v>191</v>
      </c>
      <c r="B3" s="352"/>
      <c r="C3" s="352"/>
      <c r="D3" s="352"/>
      <c r="E3" s="352"/>
    </row>
    <row r="4" spans="1:5" ht="15.75" x14ac:dyDescent="0.25">
      <c r="A4" s="359" t="s">
        <v>74</v>
      </c>
      <c r="B4" s="359"/>
    </row>
    <row r="6" spans="1:5" ht="76.5" customHeight="1" x14ac:dyDescent="0.25">
      <c r="A6" s="149" t="s">
        <v>0</v>
      </c>
      <c r="B6" s="149" t="s">
        <v>1</v>
      </c>
      <c r="C6" s="149" t="s">
        <v>2</v>
      </c>
      <c r="D6" s="168" t="s">
        <v>26</v>
      </c>
      <c r="E6" s="168" t="s">
        <v>27</v>
      </c>
    </row>
    <row r="7" spans="1:5" x14ac:dyDescent="0.25">
      <c r="A7" s="292">
        <v>1</v>
      </c>
      <c r="B7" s="292">
        <v>2</v>
      </c>
      <c r="C7" s="292">
        <v>3</v>
      </c>
      <c r="D7" s="327">
        <v>4</v>
      </c>
      <c r="E7" s="327">
        <v>5</v>
      </c>
    </row>
    <row r="8" spans="1:5" ht="15.75" x14ac:dyDescent="0.25">
      <c r="A8" s="4"/>
      <c r="B8" s="7" t="s">
        <v>7</v>
      </c>
      <c r="C8" s="74" t="s">
        <v>8</v>
      </c>
      <c r="D8" s="43"/>
      <c r="E8" s="43"/>
    </row>
    <row r="9" spans="1:5" ht="15.75" x14ac:dyDescent="0.25">
      <c r="A9" s="8">
        <v>1000</v>
      </c>
      <c r="B9" s="7" t="s">
        <v>9</v>
      </c>
      <c r="C9" s="284"/>
      <c r="D9" s="44">
        <f>D10+D16</f>
        <v>0.85000000000000009</v>
      </c>
      <c r="E9" s="44">
        <f>E10+E16</f>
        <v>186.47999999999996</v>
      </c>
    </row>
    <row r="10" spans="1:5" ht="15.75" x14ac:dyDescent="0.25">
      <c r="A10" s="280">
        <v>1100</v>
      </c>
      <c r="B10" s="280" t="s">
        <v>10</v>
      </c>
      <c r="C10" s="284"/>
      <c r="D10" s="44">
        <f>SUM(D12:D15)</f>
        <v>0.66000000000000014</v>
      </c>
      <c r="E10" s="44">
        <f>SUM(E12:E15)</f>
        <v>145.52999999999997</v>
      </c>
    </row>
    <row r="11" spans="1:5" ht="15.75" x14ac:dyDescent="0.25">
      <c r="A11" s="16">
        <v>1110</v>
      </c>
      <c r="B11" s="16" t="s">
        <v>240</v>
      </c>
      <c r="C11" s="300" t="s">
        <v>241</v>
      </c>
      <c r="D11" s="114">
        <f>SUM(D12:D14)</f>
        <v>0.60000000000000009</v>
      </c>
      <c r="E11" s="114">
        <f>SUM(E12:E14)</f>
        <v>132.29999999999998</v>
      </c>
    </row>
    <row r="12" spans="1:5" ht="78.75" x14ac:dyDescent="0.25">
      <c r="A12" s="136"/>
      <c r="B12" s="139"/>
      <c r="C12" s="152" t="s">
        <v>1321</v>
      </c>
      <c r="D12" s="114">
        <f>ROUND((E12/220),2)</f>
        <v>0.02</v>
      </c>
      <c r="E12" s="114">
        <f>ROUND((50.96*12*0.0087),2)</f>
        <v>5.32</v>
      </c>
    </row>
    <row r="13" spans="1:5" ht="78.75" customHeight="1" x14ac:dyDescent="0.25">
      <c r="A13" s="153"/>
      <c r="B13" s="154"/>
      <c r="C13" s="152" t="s">
        <v>1322</v>
      </c>
      <c r="D13" s="114">
        <f>ROUND((E13/220),2)</f>
        <v>0.55000000000000004</v>
      </c>
      <c r="E13" s="114">
        <f>ROUND((1160.28*12*0.0087),2)</f>
        <v>121.13</v>
      </c>
    </row>
    <row r="14" spans="1:5" ht="78.75" x14ac:dyDescent="0.25">
      <c r="A14" s="138"/>
      <c r="B14" s="141"/>
      <c r="C14" s="152" t="s">
        <v>1323</v>
      </c>
      <c r="D14" s="114">
        <f>ROUND((E14/220),2)</f>
        <v>0.03</v>
      </c>
      <c r="E14" s="114">
        <f>ROUND((56.06*12*0.0087),2)</f>
        <v>5.85</v>
      </c>
    </row>
    <row r="15" spans="1:5" ht="63" x14ac:dyDescent="0.25">
      <c r="A15" s="131">
        <v>1140</v>
      </c>
      <c r="B15" s="5" t="s">
        <v>237</v>
      </c>
      <c r="C15" s="152" t="s">
        <v>1324</v>
      </c>
      <c r="D15" s="114">
        <f t="shared" ref="D15:D18" si="0">ROUND((E15/220),2)</f>
        <v>0.06</v>
      </c>
      <c r="E15" s="114">
        <f>ROUND((5.32*0.1+121.13*0.1+5.85*0.1),2)</f>
        <v>13.23</v>
      </c>
    </row>
    <row r="16" spans="1:5" ht="63" customHeight="1" x14ac:dyDescent="0.25">
      <c r="A16" s="7">
        <v>1200</v>
      </c>
      <c r="B16" s="297" t="s">
        <v>11</v>
      </c>
      <c r="C16" s="176" t="s">
        <v>1327</v>
      </c>
      <c r="D16" s="92">
        <f>ROUND((D17+D18),2)</f>
        <v>0.19</v>
      </c>
      <c r="E16" s="92">
        <f>ROUND((E17+E18),2)</f>
        <v>40.950000000000003</v>
      </c>
    </row>
    <row r="17" spans="1:9" ht="47.25" x14ac:dyDescent="0.25">
      <c r="A17" s="4">
        <v>1210</v>
      </c>
      <c r="B17" s="5" t="s">
        <v>239</v>
      </c>
      <c r="C17" s="176" t="s">
        <v>1325</v>
      </c>
      <c r="D17" s="114">
        <f t="shared" si="0"/>
        <v>0.16</v>
      </c>
      <c r="E17" s="45">
        <f>ROUND((145.53*0.2359),2)</f>
        <v>34.33</v>
      </c>
      <c r="I17" s="302"/>
    </row>
    <row r="18" spans="1:9" ht="63" x14ac:dyDescent="0.25">
      <c r="A18" s="4">
        <v>1227</v>
      </c>
      <c r="B18" s="5" t="s">
        <v>238</v>
      </c>
      <c r="C18" s="152" t="s">
        <v>1326</v>
      </c>
      <c r="D18" s="114">
        <f t="shared" si="0"/>
        <v>0.03</v>
      </c>
      <c r="E18" s="114">
        <f>ROUND((5.32*0.05+121.13*0.05+5.85*0.05),2)</f>
        <v>6.62</v>
      </c>
      <c r="F18" s="40"/>
    </row>
    <row r="19" spans="1:9" ht="15.75" x14ac:dyDescent="0.25">
      <c r="A19" s="8">
        <v>2000</v>
      </c>
      <c r="B19" s="7" t="s">
        <v>12</v>
      </c>
      <c r="C19" s="284"/>
      <c r="D19" s="44">
        <f>SUM(D20)</f>
        <v>0.08</v>
      </c>
      <c r="E19" s="44">
        <f>SUM(E20)</f>
        <v>18.75</v>
      </c>
      <c r="F19" s="40"/>
    </row>
    <row r="20" spans="1:9" ht="30" customHeight="1" x14ac:dyDescent="0.25">
      <c r="A20" s="4">
        <v>2249</v>
      </c>
      <c r="B20" s="5" t="s">
        <v>50</v>
      </c>
      <c r="C20" s="78" t="s">
        <v>756</v>
      </c>
      <c r="D20" s="45">
        <f>ROUND((E20/220-0.01),2)</f>
        <v>0.08</v>
      </c>
      <c r="E20" s="45">
        <f>ROUND((2168.13*0.00865),2)</f>
        <v>18.75</v>
      </c>
    </row>
    <row r="21" spans="1:9" ht="15.75" x14ac:dyDescent="0.25">
      <c r="A21" s="4"/>
      <c r="B21" s="9" t="s">
        <v>14</v>
      </c>
      <c r="C21" s="75" t="s">
        <v>16</v>
      </c>
      <c r="D21" s="44">
        <f>D9+D19</f>
        <v>0.93</v>
      </c>
      <c r="E21" s="44">
        <f>E9+E19</f>
        <v>205.22999999999996</v>
      </c>
    </row>
    <row r="22" spans="1:9" ht="15.75" x14ac:dyDescent="0.25">
      <c r="A22" s="4"/>
      <c r="B22" s="9" t="s">
        <v>15</v>
      </c>
      <c r="C22" s="74" t="s">
        <v>8</v>
      </c>
      <c r="D22" s="43"/>
      <c r="E22" s="43"/>
    </row>
    <row r="23" spans="1:9" ht="15.75" x14ac:dyDescent="0.25">
      <c r="A23" s="8">
        <v>1000</v>
      </c>
      <c r="B23" s="7" t="s">
        <v>9</v>
      </c>
      <c r="C23" s="74"/>
      <c r="D23" s="92">
        <f>SUM(D24+D35)</f>
        <v>0.69000000000000006</v>
      </c>
      <c r="E23" s="92">
        <f>SUM(E24+E35)</f>
        <v>153.67000000000002</v>
      </c>
    </row>
    <row r="24" spans="1:9" ht="15.75" x14ac:dyDescent="0.25">
      <c r="A24" s="4">
        <v>1100</v>
      </c>
      <c r="B24" s="4" t="s">
        <v>10</v>
      </c>
      <c r="C24" s="147" t="s">
        <v>267</v>
      </c>
      <c r="D24" s="92">
        <f>SUM(D25:D34)</f>
        <v>0.56000000000000005</v>
      </c>
      <c r="E24" s="92">
        <f>SUM(E25:E34)</f>
        <v>124.34</v>
      </c>
    </row>
    <row r="25" spans="1:9" ht="78.75" x14ac:dyDescent="0.25">
      <c r="A25" s="237"/>
      <c r="B25" s="238"/>
      <c r="C25" s="152" t="s">
        <v>1310</v>
      </c>
      <c r="D25" s="45">
        <f>ROUND((E25/220),2)</f>
        <v>0.01</v>
      </c>
      <c r="E25" s="45">
        <f>ROUND((21.47*12*0.0087),2)</f>
        <v>2.2400000000000002</v>
      </c>
    </row>
    <row r="26" spans="1:9" ht="78.75" x14ac:dyDescent="0.25">
      <c r="A26" s="355"/>
      <c r="B26" s="353"/>
      <c r="C26" s="152" t="s">
        <v>1311</v>
      </c>
      <c r="D26" s="45">
        <f t="shared" ref="D26:D35" si="1">ROUND((E26/220),2)</f>
        <v>0.01</v>
      </c>
      <c r="E26" s="45">
        <f>ROUND((14.17*12*0.0087),2)</f>
        <v>1.48</v>
      </c>
      <c r="F26" s="40"/>
    </row>
    <row r="27" spans="1:9" ht="78" customHeight="1" x14ac:dyDescent="0.25">
      <c r="A27" s="355"/>
      <c r="B27" s="353"/>
      <c r="C27" s="152" t="s">
        <v>1312</v>
      </c>
      <c r="D27" s="45">
        <f t="shared" si="1"/>
        <v>0.01</v>
      </c>
      <c r="E27" s="45">
        <f>ROUND((20.53*12*0.0087),2)</f>
        <v>2.14</v>
      </c>
    </row>
    <row r="28" spans="1:9" ht="78.75" customHeight="1" x14ac:dyDescent="0.25">
      <c r="A28" s="355"/>
      <c r="B28" s="353"/>
      <c r="C28" s="152" t="s">
        <v>1313</v>
      </c>
      <c r="D28" s="45">
        <f t="shared" si="1"/>
        <v>0.01</v>
      </c>
      <c r="E28" s="45">
        <f>ROUND((30.96*12*0.0087),2)</f>
        <v>3.23</v>
      </c>
    </row>
    <row r="29" spans="1:9" ht="78.75" customHeight="1" x14ac:dyDescent="0.25">
      <c r="A29" s="355"/>
      <c r="B29" s="353"/>
      <c r="C29" s="76" t="s">
        <v>1314</v>
      </c>
      <c r="D29" s="45">
        <f t="shared" si="1"/>
        <v>0.01</v>
      </c>
      <c r="E29" s="45">
        <f>ROUND((20.04*12*0.0087),2)</f>
        <v>2.09</v>
      </c>
    </row>
    <row r="30" spans="1:9" ht="78.75" x14ac:dyDescent="0.25">
      <c r="A30" s="355"/>
      <c r="B30" s="353"/>
      <c r="C30" s="76" t="s">
        <v>1315</v>
      </c>
      <c r="D30" s="45">
        <f t="shared" si="1"/>
        <v>0.04</v>
      </c>
      <c r="E30" s="45">
        <f>ROUND((75.87*12*0.0087),2)</f>
        <v>7.92</v>
      </c>
    </row>
    <row r="31" spans="1:9" ht="77.25" customHeight="1" x14ac:dyDescent="0.25">
      <c r="A31" s="355"/>
      <c r="B31" s="353"/>
      <c r="C31" s="152" t="s">
        <v>1316</v>
      </c>
      <c r="D31" s="45">
        <f>ROUND((E31/220-0.01),2)</f>
        <v>0.14000000000000001</v>
      </c>
      <c r="E31" s="45">
        <f>ROUND((306*12*0.0087),2)</f>
        <v>31.95</v>
      </c>
      <c r="F31" s="51"/>
      <c r="G31" s="40"/>
      <c r="H31" s="293"/>
    </row>
    <row r="32" spans="1:9" ht="77.25" customHeight="1" x14ac:dyDescent="0.25">
      <c r="A32" s="355"/>
      <c r="B32" s="353"/>
      <c r="C32" s="76" t="s">
        <v>1317</v>
      </c>
      <c r="D32" s="45">
        <f t="shared" si="1"/>
        <v>0.23</v>
      </c>
      <c r="E32" s="45">
        <f>ROUND((482.27*12*0.0087),2)</f>
        <v>50.35</v>
      </c>
    </row>
    <row r="33" spans="1:5" ht="94.5" x14ac:dyDescent="0.25">
      <c r="A33" s="355"/>
      <c r="B33" s="353"/>
      <c r="C33" s="76" t="s">
        <v>1318</v>
      </c>
      <c r="D33" s="45">
        <f t="shared" si="1"/>
        <v>0.08</v>
      </c>
      <c r="E33" s="45">
        <f>ROUND((175.25*12*0.0087),2)</f>
        <v>18.3</v>
      </c>
    </row>
    <row r="34" spans="1:5" ht="78.75" x14ac:dyDescent="0.25">
      <c r="A34" s="356"/>
      <c r="B34" s="354"/>
      <c r="C34" s="76" t="s">
        <v>1319</v>
      </c>
      <c r="D34" s="45">
        <f t="shared" si="1"/>
        <v>0.02</v>
      </c>
      <c r="E34" s="45">
        <f>ROUND((44.48*12*0.0087),2)</f>
        <v>4.6399999999999997</v>
      </c>
    </row>
    <row r="35" spans="1:5" ht="63.75" customHeight="1" x14ac:dyDescent="0.25">
      <c r="A35" s="7">
        <v>1200</v>
      </c>
      <c r="B35" s="166" t="s">
        <v>11</v>
      </c>
      <c r="C35" s="77" t="s">
        <v>1320</v>
      </c>
      <c r="D35" s="92">
        <f t="shared" si="1"/>
        <v>0.13</v>
      </c>
      <c r="E35" s="92">
        <f>ROUND((124.34*0.2359),2)</f>
        <v>29.33</v>
      </c>
    </row>
    <row r="36" spans="1:5" ht="15.75" x14ac:dyDescent="0.25">
      <c r="A36" s="8">
        <v>2000</v>
      </c>
      <c r="B36" s="7" t="s">
        <v>12</v>
      </c>
      <c r="C36" s="74"/>
      <c r="D36" s="44">
        <f>SUM(D37:D47)</f>
        <v>10.84</v>
      </c>
      <c r="E36" s="44">
        <f>SUM(E37:E47)</f>
        <v>2384.11</v>
      </c>
    </row>
    <row r="37" spans="1:5" ht="30.75" customHeight="1" x14ac:dyDescent="0.25">
      <c r="A37" s="4">
        <v>2221</v>
      </c>
      <c r="B37" s="176" t="s">
        <v>60</v>
      </c>
      <c r="C37" s="77" t="s">
        <v>1309</v>
      </c>
      <c r="D37" s="45">
        <f>ROUND((E37/220),2)</f>
        <v>1.93</v>
      </c>
      <c r="E37" s="45">
        <f>ROUND((48868*0.0087),2)</f>
        <v>425.15</v>
      </c>
    </row>
    <row r="38" spans="1:5" ht="31.5" x14ac:dyDescent="0.25">
      <c r="A38" s="4">
        <v>2222</v>
      </c>
      <c r="B38" s="5" t="s">
        <v>61</v>
      </c>
      <c r="C38" s="5" t="s">
        <v>1308</v>
      </c>
      <c r="D38" s="45">
        <f t="shared" ref="D38:D47" si="2">ROUND((E38/220),2)</f>
        <v>2.06</v>
      </c>
      <c r="E38" s="45">
        <f>ROUND((52111.24*0.0087),2)</f>
        <v>453.37</v>
      </c>
    </row>
    <row r="39" spans="1:5" ht="79.5" customHeight="1" x14ac:dyDescent="0.25">
      <c r="A39" s="4">
        <v>2224</v>
      </c>
      <c r="B39" s="176" t="s">
        <v>62</v>
      </c>
      <c r="C39" s="176" t="s">
        <v>1307</v>
      </c>
      <c r="D39" s="345">
        <f t="shared" si="2"/>
        <v>0.94</v>
      </c>
      <c r="E39" s="345">
        <f>ROUND((23680.95*0.0087),2)</f>
        <v>206.02</v>
      </c>
    </row>
    <row r="40" spans="1:5" ht="31.5" customHeight="1" x14ac:dyDescent="0.25">
      <c r="A40" s="4">
        <v>2232</v>
      </c>
      <c r="B40" s="89" t="s">
        <v>45</v>
      </c>
      <c r="C40" s="90" t="s">
        <v>1306</v>
      </c>
      <c r="D40" s="45">
        <f t="shared" si="2"/>
        <v>0.02</v>
      </c>
      <c r="E40" s="45">
        <f>ROUND((464.98*0.0087),2)</f>
        <v>4.05</v>
      </c>
    </row>
    <row r="41" spans="1:5" ht="78" customHeight="1" x14ac:dyDescent="0.25">
      <c r="A41" s="4">
        <v>2243</v>
      </c>
      <c r="B41" s="90" t="s">
        <v>21</v>
      </c>
      <c r="C41" s="90" t="s">
        <v>1305</v>
      </c>
      <c r="D41" s="169">
        <f t="shared" si="2"/>
        <v>7.0000000000000007E-2</v>
      </c>
      <c r="E41" s="169">
        <f>ROUND((1715.08*0.0087),2)</f>
        <v>14.92</v>
      </c>
    </row>
    <row r="42" spans="1:5" ht="48" customHeight="1" x14ac:dyDescent="0.25">
      <c r="A42" s="4">
        <v>2244</v>
      </c>
      <c r="B42" s="176" t="s">
        <v>22</v>
      </c>
      <c r="C42" s="77" t="s">
        <v>1304</v>
      </c>
      <c r="D42" s="45">
        <f t="shared" si="2"/>
        <v>5.28</v>
      </c>
      <c r="E42" s="45">
        <f>ROUND((133418.65*0.0087),2)</f>
        <v>1160.74</v>
      </c>
    </row>
    <row r="43" spans="1:5" ht="33" customHeight="1" x14ac:dyDescent="0.25">
      <c r="A43" s="4">
        <v>2249</v>
      </c>
      <c r="B43" s="176" t="s">
        <v>50</v>
      </c>
      <c r="C43" s="77" t="s">
        <v>1303</v>
      </c>
      <c r="D43" s="45">
        <f t="shared" si="2"/>
        <v>0.06</v>
      </c>
      <c r="E43" s="45">
        <f>ROUND((1602.25*0.0087),2)</f>
        <v>13.94</v>
      </c>
    </row>
    <row r="44" spans="1:5" ht="31.5" customHeight="1" x14ac:dyDescent="0.25">
      <c r="A44" s="4">
        <v>2264</v>
      </c>
      <c r="B44" s="176" t="s">
        <v>58</v>
      </c>
      <c r="C44" s="78" t="s">
        <v>1302</v>
      </c>
      <c r="D44" s="45">
        <f t="shared" si="2"/>
        <v>0</v>
      </c>
      <c r="E44" s="45">
        <f>ROUND((121*0.0087),2)</f>
        <v>1.05</v>
      </c>
    </row>
    <row r="45" spans="1:5" ht="29.25" customHeight="1" x14ac:dyDescent="0.25">
      <c r="A45" s="4">
        <v>2312</v>
      </c>
      <c r="B45" s="5" t="s">
        <v>13</v>
      </c>
      <c r="C45" s="77" t="s">
        <v>1301</v>
      </c>
      <c r="D45" s="45">
        <f t="shared" si="2"/>
        <v>0.02</v>
      </c>
      <c r="E45" s="45">
        <f>ROUND((607.49*0.0087),2)</f>
        <v>5.29</v>
      </c>
    </row>
    <row r="46" spans="1:5" ht="61.5" customHeight="1" x14ac:dyDescent="0.25">
      <c r="A46" s="4">
        <v>2350</v>
      </c>
      <c r="B46" s="5" t="s">
        <v>236</v>
      </c>
      <c r="C46" s="82" t="s">
        <v>1300</v>
      </c>
      <c r="D46" s="45">
        <f>ROUND((E46/220),2)</f>
        <v>0.04</v>
      </c>
      <c r="E46" s="114">
        <f>ROUND((905.02*0.0087),2)</f>
        <v>7.87</v>
      </c>
    </row>
    <row r="47" spans="1:5" ht="31.5" x14ac:dyDescent="0.25">
      <c r="A47" s="4">
        <v>2513</v>
      </c>
      <c r="B47" s="5" t="s">
        <v>63</v>
      </c>
      <c r="C47" s="77" t="s">
        <v>1296</v>
      </c>
      <c r="D47" s="45">
        <f t="shared" si="2"/>
        <v>0.42</v>
      </c>
      <c r="E47" s="45">
        <f>ROUND((10541.01*0.0087),2)</f>
        <v>91.71</v>
      </c>
    </row>
    <row r="48" spans="1:5" ht="15.75" x14ac:dyDescent="0.25">
      <c r="A48" s="10">
        <v>5000</v>
      </c>
      <c r="B48" s="166" t="s">
        <v>17</v>
      </c>
      <c r="C48" s="284"/>
      <c r="D48" s="41">
        <f>SUM(D49:D51)</f>
        <v>0.46</v>
      </c>
      <c r="E48" s="41">
        <f>SUM(E49:E51)</f>
        <v>100.03</v>
      </c>
    </row>
    <row r="49" spans="1:8" ht="32.25" customHeight="1" x14ac:dyDescent="0.25">
      <c r="A49" s="4">
        <v>5212</v>
      </c>
      <c r="B49" s="5" t="s">
        <v>31</v>
      </c>
      <c r="C49" s="77" t="s">
        <v>1297</v>
      </c>
      <c r="D49" s="45">
        <f>ROUND((E49/220),2)</f>
        <v>0.26</v>
      </c>
      <c r="E49" s="45">
        <f>ROUND((6565.16*0.0087),2)</f>
        <v>57.12</v>
      </c>
    </row>
    <row r="50" spans="1:8" ht="32.1" customHeight="1" x14ac:dyDescent="0.25">
      <c r="A50" s="4">
        <v>5213</v>
      </c>
      <c r="B50" s="5" t="s">
        <v>32</v>
      </c>
      <c r="C50" s="77" t="s">
        <v>1298</v>
      </c>
      <c r="D50" s="45">
        <f t="shared" ref="D50:D51" si="3">ROUND((E50/220),2)</f>
        <v>0.18</v>
      </c>
      <c r="E50" s="45">
        <f>ROUND((4439.23*0.0087),2)</f>
        <v>38.619999999999997</v>
      </c>
    </row>
    <row r="51" spans="1:8" ht="46.5" customHeight="1" x14ac:dyDescent="0.25">
      <c r="A51" s="19">
        <v>5239</v>
      </c>
      <c r="B51" s="77" t="s">
        <v>18</v>
      </c>
      <c r="C51" s="77" t="s">
        <v>1299</v>
      </c>
      <c r="D51" s="45">
        <f t="shared" si="3"/>
        <v>0.02</v>
      </c>
      <c r="E51" s="45">
        <f>ROUND((492.88*0.0087),2)</f>
        <v>4.29</v>
      </c>
    </row>
    <row r="52" spans="1:8" ht="15.75" x14ac:dyDescent="0.25">
      <c r="A52" s="171"/>
      <c r="B52" s="9" t="s">
        <v>23</v>
      </c>
      <c r="C52" s="74"/>
      <c r="D52" s="44">
        <f>SUM(D23+D36+D48)</f>
        <v>11.99</v>
      </c>
      <c r="E52" s="41">
        <f>SUM(E23+E36+E48)</f>
        <v>2637.8100000000004</v>
      </c>
    </row>
    <row r="53" spans="1:8" ht="31.5" x14ac:dyDescent="0.25">
      <c r="A53" s="6"/>
      <c r="B53" s="11" t="s">
        <v>24</v>
      </c>
      <c r="C53" s="74"/>
      <c r="D53" s="93">
        <f>D21+D52</f>
        <v>12.92</v>
      </c>
      <c r="E53" s="42">
        <f>E21+E52</f>
        <v>2843.0400000000004</v>
      </c>
    </row>
    <row r="54" spans="1:8" ht="18" customHeight="1" x14ac:dyDescent="0.25">
      <c r="A54" s="351" t="s">
        <v>207</v>
      </c>
      <c r="B54" s="351"/>
      <c r="C54" s="351"/>
      <c r="D54" s="260">
        <f>2*110</f>
        <v>220</v>
      </c>
      <c r="E54" s="192" t="s">
        <v>75</v>
      </c>
    </row>
    <row r="55" spans="1:8" ht="30.6" customHeight="1" x14ac:dyDescent="0.25">
      <c r="A55" s="351" t="s">
        <v>757</v>
      </c>
      <c r="B55" s="351"/>
      <c r="C55" s="351"/>
      <c r="D55" s="191">
        <f>ROUND((E53/D54),2)</f>
        <v>12.92</v>
      </c>
      <c r="E55" s="205" t="s">
        <v>758</v>
      </c>
    </row>
    <row r="56" spans="1:8" ht="15.75" x14ac:dyDescent="0.25">
      <c r="A56" s="194"/>
      <c r="B56" s="194"/>
      <c r="C56" s="194"/>
      <c r="D56" s="206"/>
      <c r="E56" s="207"/>
      <c r="H56" s="255"/>
    </row>
    <row r="57" spans="1:8" ht="15" customHeight="1" x14ac:dyDescent="0.25">
      <c r="A57" s="351" t="s">
        <v>208</v>
      </c>
      <c r="B57" s="351"/>
      <c r="C57" s="351"/>
      <c r="D57" s="260">
        <f>2*10</f>
        <v>20</v>
      </c>
      <c r="E57" s="192" t="s">
        <v>77</v>
      </c>
    </row>
    <row r="58" spans="1:8" ht="30" customHeight="1" x14ac:dyDescent="0.25">
      <c r="A58" s="365" t="s">
        <v>759</v>
      </c>
      <c r="B58" s="365"/>
      <c r="C58" s="365"/>
      <c r="D58" s="170">
        <f>ROUND((E53/D57),2)</f>
        <v>142.15</v>
      </c>
      <c r="E58" s="205" t="s">
        <v>760</v>
      </c>
    </row>
  </sheetData>
  <mergeCells count="9">
    <mergeCell ref="A57:C57"/>
    <mergeCell ref="A58:C58"/>
    <mergeCell ref="A55:C55"/>
    <mergeCell ref="A2:C2"/>
    <mergeCell ref="A3:E3"/>
    <mergeCell ref="A4:B4"/>
    <mergeCell ref="A26:A34"/>
    <mergeCell ref="B26:B34"/>
    <mergeCell ref="A54:C54"/>
  </mergeCells>
  <pageMargins left="0.7" right="0.7" top="0.75" bottom="0.75" header="0.3" footer="0.3"/>
  <pageSetup paperSize="9" orientation="landscape" r:id="rId1"/>
  <rowBreaks count="3" manualBreakCount="3">
    <brk id="25" max="16383" man="1"/>
    <brk id="39" max="4" man="1"/>
    <brk id="50" max="16383" man="1"/>
  </rowBreaks>
  <ignoredErrors>
    <ignoredError sqref="D16 D19 D31" formula="1"/>
  </ignoredError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F3FC1-6AEA-4D5C-8528-982B85A38718}">
  <dimension ref="A1:F58"/>
  <sheetViews>
    <sheetView topLeftCell="A43" zoomScaleNormal="100" workbookViewId="0">
      <selection activeCell="C62" sqref="C62"/>
    </sheetView>
  </sheetViews>
  <sheetFormatPr defaultRowHeight="15" x14ac:dyDescent="0.25"/>
  <cols>
    <col min="1" max="1" width="12.28515625" customWidth="1"/>
    <col min="2" max="2" width="27.5703125" customWidth="1"/>
    <col min="3" max="3" width="62.5703125" customWidth="1"/>
    <col min="4" max="4" width="10.140625" style="14" customWidth="1"/>
    <col min="5" max="5" width="18.5703125" style="14" customWidth="1"/>
  </cols>
  <sheetData>
    <row r="1" spans="1:5" s="175" customFormat="1" ht="18.75" x14ac:dyDescent="0.3">
      <c r="A1" s="158" t="s">
        <v>51</v>
      </c>
      <c r="D1" s="251"/>
      <c r="E1" s="251"/>
    </row>
    <row r="2" spans="1:5" ht="18.75" x14ac:dyDescent="0.3">
      <c r="A2" s="358" t="s">
        <v>1584</v>
      </c>
      <c r="B2" s="358"/>
      <c r="C2" s="358"/>
    </row>
    <row r="3" spans="1:5" ht="18.75" x14ac:dyDescent="0.25">
      <c r="A3" s="352" t="s">
        <v>192</v>
      </c>
      <c r="B3" s="352"/>
      <c r="C3" s="352"/>
      <c r="D3" s="352"/>
      <c r="E3" s="352"/>
    </row>
    <row r="4" spans="1:5" ht="15.75" x14ac:dyDescent="0.25">
      <c r="A4" s="359" t="s">
        <v>74</v>
      </c>
      <c r="B4" s="359"/>
    </row>
    <row r="6" spans="1:5" ht="78.75" x14ac:dyDescent="0.25">
      <c r="A6" s="149" t="s">
        <v>0</v>
      </c>
      <c r="B6" s="149" t="s">
        <v>1</v>
      </c>
      <c r="C6" s="149" t="s">
        <v>2</v>
      </c>
      <c r="D6" s="168" t="s">
        <v>26</v>
      </c>
      <c r="E6" s="91" t="s">
        <v>27</v>
      </c>
    </row>
    <row r="7" spans="1:5" x14ac:dyDescent="0.25">
      <c r="A7" s="292">
        <v>1</v>
      </c>
      <c r="B7" s="292">
        <v>2</v>
      </c>
      <c r="C7" s="292">
        <v>3</v>
      </c>
      <c r="D7" s="305">
        <v>4</v>
      </c>
      <c r="E7" s="305">
        <v>5</v>
      </c>
    </row>
    <row r="8" spans="1:5" ht="15.75" x14ac:dyDescent="0.25">
      <c r="A8" s="4"/>
      <c r="B8" s="7" t="s">
        <v>7</v>
      </c>
      <c r="C8" s="79" t="s">
        <v>8</v>
      </c>
      <c r="D8" s="43"/>
      <c r="E8" s="43"/>
    </row>
    <row r="9" spans="1:5" ht="15.75" x14ac:dyDescent="0.25">
      <c r="A9" s="8">
        <v>1000</v>
      </c>
      <c r="B9" s="7" t="s">
        <v>9</v>
      </c>
      <c r="C9" s="284"/>
      <c r="D9" s="44">
        <f>D10+D16</f>
        <v>1.29</v>
      </c>
      <c r="E9" s="44">
        <f>E10+E16</f>
        <v>332.24</v>
      </c>
    </row>
    <row r="10" spans="1:5" ht="15.75" x14ac:dyDescent="0.25">
      <c r="A10" s="280">
        <v>1100</v>
      </c>
      <c r="B10" s="280" t="s">
        <v>10</v>
      </c>
      <c r="C10" s="284"/>
      <c r="D10" s="44">
        <f>SUM(D12:D15)</f>
        <v>1</v>
      </c>
      <c r="E10" s="44">
        <f>SUM(E12:E15)</f>
        <v>259.29000000000002</v>
      </c>
    </row>
    <row r="11" spans="1:5" ht="15.75" x14ac:dyDescent="0.25">
      <c r="A11" s="16">
        <v>1110</v>
      </c>
      <c r="B11" s="16" t="s">
        <v>240</v>
      </c>
      <c r="C11" s="300" t="s">
        <v>241</v>
      </c>
      <c r="D11" s="114">
        <f>SUM(D12:D14)</f>
        <v>0.91</v>
      </c>
      <c r="E11" s="114">
        <f>SUM(E12:E14)</f>
        <v>235.72</v>
      </c>
    </row>
    <row r="12" spans="1:5" ht="78.75" x14ac:dyDescent="0.25">
      <c r="A12" s="136"/>
      <c r="B12" s="139"/>
      <c r="C12" s="152" t="s">
        <v>886</v>
      </c>
      <c r="D12" s="114">
        <f>ROUND((E12/260),2)</f>
        <v>0.04</v>
      </c>
      <c r="E12" s="114">
        <f>ROUND((50.96*12*0.0155),2)</f>
        <v>9.48</v>
      </c>
    </row>
    <row r="13" spans="1:5" ht="78.75" customHeight="1" x14ac:dyDescent="0.25">
      <c r="A13" s="153"/>
      <c r="B13" s="154"/>
      <c r="C13" s="152" t="s">
        <v>776</v>
      </c>
      <c r="D13" s="114">
        <f t="shared" ref="D13:D20" si="0">ROUND((E13/260),2)</f>
        <v>0.83</v>
      </c>
      <c r="E13" s="114">
        <f>ROUND((1160.28*12*0.0155),2)</f>
        <v>215.81</v>
      </c>
    </row>
    <row r="14" spans="1:5" ht="78.75" x14ac:dyDescent="0.25">
      <c r="A14" s="138"/>
      <c r="B14" s="141"/>
      <c r="C14" s="152" t="s">
        <v>777</v>
      </c>
      <c r="D14" s="114">
        <f t="shared" si="0"/>
        <v>0.04</v>
      </c>
      <c r="E14" s="114">
        <f>ROUND((56.06*12*0.0155),2)</f>
        <v>10.43</v>
      </c>
    </row>
    <row r="15" spans="1:5" ht="63" x14ac:dyDescent="0.25">
      <c r="A15" s="131">
        <v>1140</v>
      </c>
      <c r="B15" s="5" t="s">
        <v>237</v>
      </c>
      <c r="C15" s="152" t="s">
        <v>778</v>
      </c>
      <c r="D15" s="114">
        <f t="shared" si="0"/>
        <v>0.09</v>
      </c>
      <c r="E15" s="114">
        <f>ROUND((9.48*0.1+215.81*0.1+10.43*0.1),2)</f>
        <v>23.57</v>
      </c>
    </row>
    <row r="16" spans="1:5" ht="63" customHeight="1" x14ac:dyDescent="0.25">
      <c r="A16" s="7">
        <v>1200</v>
      </c>
      <c r="B16" s="298" t="s">
        <v>11</v>
      </c>
      <c r="C16" s="176" t="s">
        <v>811</v>
      </c>
      <c r="D16" s="92">
        <f>ROUND((D17+D18),2)</f>
        <v>0.28999999999999998</v>
      </c>
      <c r="E16" s="92">
        <f>ROUND((E17+E18),2)</f>
        <v>72.95</v>
      </c>
    </row>
    <row r="17" spans="1:5" ht="47.25" x14ac:dyDescent="0.25">
      <c r="A17" s="4">
        <v>1210</v>
      </c>
      <c r="B17" s="5" t="s">
        <v>239</v>
      </c>
      <c r="C17" s="176" t="s">
        <v>779</v>
      </c>
      <c r="D17" s="114">
        <f t="shared" si="0"/>
        <v>0.24</v>
      </c>
      <c r="E17" s="45">
        <f>ROUND((259.29*0.2359),2)</f>
        <v>61.17</v>
      </c>
    </row>
    <row r="18" spans="1:5" ht="63" x14ac:dyDescent="0.25">
      <c r="A18" s="4">
        <v>1227</v>
      </c>
      <c r="B18" s="5" t="s">
        <v>238</v>
      </c>
      <c r="C18" s="152" t="s">
        <v>780</v>
      </c>
      <c r="D18" s="114">
        <f t="shared" si="0"/>
        <v>0.05</v>
      </c>
      <c r="E18" s="114">
        <f>ROUND((9.48*0.05+215.81*0.05+10.43*0.05-0.01),2)</f>
        <v>11.78</v>
      </c>
    </row>
    <row r="19" spans="1:5" ht="15.75" x14ac:dyDescent="0.25">
      <c r="A19" s="8">
        <v>2000</v>
      </c>
      <c r="B19" s="7" t="s">
        <v>12</v>
      </c>
      <c r="C19" s="176"/>
      <c r="D19" s="92">
        <f>SUM(D20)</f>
        <v>0.13</v>
      </c>
      <c r="E19" s="92">
        <f>SUM(E20)</f>
        <v>33.61</v>
      </c>
    </row>
    <row r="20" spans="1:5" ht="47.25" x14ac:dyDescent="0.25">
      <c r="A20" s="4">
        <v>2249</v>
      </c>
      <c r="B20" s="5" t="s">
        <v>50</v>
      </c>
      <c r="C20" s="176" t="s">
        <v>812</v>
      </c>
      <c r="D20" s="114">
        <f t="shared" si="0"/>
        <v>0.13</v>
      </c>
      <c r="E20" s="45">
        <f>ROUND((2168.13*0.0155),2)</f>
        <v>33.61</v>
      </c>
    </row>
    <row r="21" spans="1:5" ht="15.75" x14ac:dyDescent="0.25">
      <c r="A21" s="4"/>
      <c r="B21" s="9" t="s">
        <v>14</v>
      </c>
      <c r="C21" s="80" t="s">
        <v>16</v>
      </c>
      <c r="D21" s="44">
        <f>D9+D19</f>
        <v>1.42</v>
      </c>
      <c r="E21" s="44">
        <f>E9+E19</f>
        <v>365.85</v>
      </c>
    </row>
    <row r="22" spans="1:5" ht="15.75" x14ac:dyDescent="0.25">
      <c r="A22" s="4"/>
      <c r="B22" s="9" t="s">
        <v>15</v>
      </c>
      <c r="C22" s="79" t="s">
        <v>8</v>
      </c>
      <c r="D22" s="43"/>
      <c r="E22" s="43"/>
    </row>
    <row r="23" spans="1:5" ht="15.75" x14ac:dyDescent="0.25">
      <c r="A23" s="8">
        <v>1000</v>
      </c>
      <c r="B23" s="7" t="s">
        <v>9</v>
      </c>
      <c r="C23" s="79"/>
      <c r="D23" s="92">
        <f>SUM(D24+D35)</f>
        <v>1.05</v>
      </c>
      <c r="E23" s="92">
        <f>SUM(E24+E35)</f>
        <v>273.8</v>
      </c>
    </row>
    <row r="24" spans="1:5" ht="15.75" x14ac:dyDescent="0.25">
      <c r="A24" s="4">
        <v>1100</v>
      </c>
      <c r="B24" s="4" t="s">
        <v>10</v>
      </c>
      <c r="C24" s="147" t="s">
        <v>267</v>
      </c>
      <c r="D24" s="92">
        <f>SUM(D25:D34)</f>
        <v>0.85</v>
      </c>
      <c r="E24" s="92">
        <f>SUM(E25:E34)</f>
        <v>221.54000000000002</v>
      </c>
    </row>
    <row r="25" spans="1:5" ht="78.75" customHeight="1" x14ac:dyDescent="0.25">
      <c r="A25" s="237"/>
      <c r="B25" s="238"/>
      <c r="C25" s="152" t="s">
        <v>781</v>
      </c>
      <c r="D25" s="45">
        <f>ROUND((E25/260),2)</f>
        <v>0.02</v>
      </c>
      <c r="E25" s="45">
        <f>ROUND((21.47*12*0.0155),2)</f>
        <v>3.99</v>
      </c>
    </row>
    <row r="26" spans="1:5" ht="78.75" x14ac:dyDescent="0.25">
      <c r="A26" s="355"/>
      <c r="B26" s="353"/>
      <c r="C26" s="152" t="s">
        <v>782</v>
      </c>
      <c r="D26" s="45">
        <f t="shared" ref="D26:D34" si="1">ROUND((E26/260),2)</f>
        <v>0.01</v>
      </c>
      <c r="E26" s="45">
        <f>ROUND((14.17*12*0.0155),2)</f>
        <v>2.64</v>
      </c>
    </row>
    <row r="27" spans="1:5" ht="78.75" x14ac:dyDescent="0.25">
      <c r="A27" s="355"/>
      <c r="B27" s="353"/>
      <c r="C27" s="152" t="s">
        <v>783</v>
      </c>
      <c r="D27" s="45">
        <f t="shared" si="1"/>
        <v>0.01</v>
      </c>
      <c r="E27" s="45">
        <f>ROUND((20.53*12*0.0155),2)</f>
        <v>3.82</v>
      </c>
    </row>
    <row r="28" spans="1:5" ht="78" customHeight="1" x14ac:dyDescent="0.25">
      <c r="A28" s="355"/>
      <c r="B28" s="353"/>
      <c r="C28" s="152" t="s">
        <v>1328</v>
      </c>
      <c r="D28" s="45">
        <f t="shared" si="1"/>
        <v>0.02</v>
      </c>
      <c r="E28" s="45">
        <f>ROUND((30.96*12*0.0155),2)</f>
        <v>5.76</v>
      </c>
    </row>
    <row r="29" spans="1:5" ht="79.5" customHeight="1" x14ac:dyDescent="0.25">
      <c r="A29" s="355"/>
      <c r="B29" s="353"/>
      <c r="C29" s="81" t="s">
        <v>785</v>
      </c>
      <c r="D29" s="45">
        <f t="shared" si="1"/>
        <v>0.01</v>
      </c>
      <c r="E29" s="45">
        <f>ROUND((20.04*12*0.0155),2)</f>
        <v>3.73</v>
      </c>
    </row>
    <row r="30" spans="1:5" ht="78.75" x14ac:dyDescent="0.25">
      <c r="A30" s="355"/>
      <c r="B30" s="353"/>
      <c r="C30" s="81" t="s">
        <v>784</v>
      </c>
      <c r="D30" s="45">
        <f t="shared" si="1"/>
        <v>0.05</v>
      </c>
      <c r="E30" s="45">
        <f>ROUND((75.87*12*0.0155),2)</f>
        <v>14.11</v>
      </c>
    </row>
    <row r="31" spans="1:5" ht="78.75" x14ac:dyDescent="0.25">
      <c r="A31" s="355"/>
      <c r="B31" s="353"/>
      <c r="C31" s="152" t="s">
        <v>786</v>
      </c>
      <c r="D31" s="45">
        <f t="shared" si="1"/>
        <v>0.22</v>
      </c>
      <c r="E31" s="45">
        <f>ROUND((306*12*0.0155),2)</f>
        <v>56.92</v>
      </c>
    </row>
    <row r="32" spans="1:5" ht="78.75" x14ac:dyDescent="0.25">
      <c r="A32" s="355"/>
      <c r="B32" s="353"/>
      <c r="C32" s="81" t="s">
        <v>787</v>
      </c>
      <c r="D32" s="45">
        <f t="shared" si="1"/>
        <v>0.35</v>
      </c>
      <c r="E32" s="45">
        <f>ROUND((482.27*12*0.0155),2)</f>
        <v>89.7</v>
      </c>
    </row>
    <row r="33" spans="1:5" ht="94.5" x14ac:dyDescent="0.25">
      <c r="A33" s="355"/>
      <c r="B33" s="353"/>
      <c r="C33" s="81" t="s">
        <v>788</v>
      </c>
      <c r="D33" s="45">
        <f t="shared" si="1"/>
        <v>0.13</v>
      </c>
      <c r="E33" s="45">
        <f>ROUND((175.25*12*0.0155),2)</f>
        <v>32.6</v>
      </c>
    </row>
    <row r="34" spans="1:5" ht="78.75" x14ac:dyDescent="0.25">
      <c r="A34" s="356"/>
      <c r="B34" s="354"/>
      <c r="C34" s="81" t="s">
        <v>789</v>
      </c>
      <c r="D34" s="45">
        <f t="shared" si="1"/>
        <v>0.03</v>
      </c>
      <c r="E34" s="45">
        <f>ROUND((44.48*12*0.0155),2)</f>
        <v>8.27</v>
      </c>
    </row>
    <row r="35" spans="1:5" ht="63.75" customHeight="1" x14ac:dyDescent="0.25">
      <c r="A35" s="7">
        <v>1200</v>
      </c>
      <c r="B35" s="166" t="s">
        <v>11</v>
      </c>
      <c r="C35" s="82" t="s">
        <v>790</v>
      </c>
      <c r="D35" s="92">
        <f>ROUND((E35/260),2)</f>
        <v>0.2</v>
      </c>
      <c r="E35" s="92">
        <f>ROUND((221.54*0.2359),2)</f>
        <v>52.26</v>
      </c>
    </row>
    <row r="36" spans="1:5" ht="15.75" x14ac:dyDescent="0.25">
      <c r="A36" s="8">
        <v>2000</v>
      </c>
      <c r="B36" s="7" t="s">
        <v>12</v>
      </c>
      <c r="C36" s="79"/>
      <c r="D36" s="44">
        <f>SUM(D37:D47)</f>
        <v>16.329999999999998</v>
      </c>
      <c r="E36" s="44">
        <f>SUM(E37:E47)</f>
        <v>4247.55</v>
      </c>
    </row>
    <row r="37" spans="1:5" ht="31.5" customHeight="1" x14ac:dyDescent="0.25">
      <c r="A37" s="4">
        <v>2221</v>
      </c>
      <c r="B37" s="82" t="s">
        <v>60</v>
      </c>
      <c r="C37" s="82" t="s">
        <v>761</v>
      </c>
      <c r="D37" s="45">
        <f>ROUND((E37/260),2)</f>
        <v>2.91</v>
      </c>
      <c r="E37" s="45">
        <f>ROUND((48868*0.0155),2)</f>
        <v>757.45</v>
      </c>
    </row>
    <row r="38" spans="1:5" ht="31.5" x14ac:dyDescent="0.25">
      <c r="A38" s="4">
        <v>2222</v>
      </c>
      <c r="B38" s="5" t="s">
        <v>61</v>
      </c>
      <c r="C38" s="5" t="s">
        <v>762</v>
      </c>
      <c r="D38" s="45">
        <f t="shared" ref="D38:D47" si="2">ROUND((E38/260),2)</f>
        <v>3.11</v>
      </c>
      <c r="E38" s="45">
        <f>ROUND((52111.24*0.0155),2)</f>
        <v>807.72</v>
      </c>
    </row>
    <row r="39" spans="1:5" ht="80.25" customHeight="1" x14ac:dyDescent="0.25">
      <c r="A39" s="131">
        <v>2224</v>
      </c>
      <c r="B39" s="5" t="s">
        <v>62</v>
      </c>
      <c r="C39" s="5" t="s">
        <v>763</v>
      </c>
      <c r="D39" s="345">
        <f t="shared" si="2"/>
        <v>1.41</v>
      </c>
      <c r="E39" s="345">
        <f>ROUND((23680.94*0.0155),2)</f>
        <v>367.05</v>
      </c>
    </row>
    <row r="40" spans="1:5" ht="31.5" x14ac:dyDescent="0.25">
      <c r="A40" s="131">
        <v>2232</v>
      </c>
      <c r="B40" s="125" t="s">
        <v>45</v>
      </c>
      <c r="C40" s="126" t="s">
        <v>764</v>
      </c>
      <c r="D40" s="345">
        <f t="shared" si="2"/>
        <v>0.03</v>
      </c>
      <c r="E40" s="345">
        <f>ROUND((464.98*0.0155),2)</f>
        <v>7.21</v>
      </c>
    </row>
    <row r="41" spans="1:5" ht="77.25" customHeight="1" x14ac:dyDescent="0.25">
      <c r="A41" s="4">
        <v>2243</v>
      </c>
      <c r="B41" s="126" t="s">
        <v>21</v>
      </c>
      <c r="C41" s="126" t="s">
        <v>765</v>
      </c>
      <c r="D41" s="45">
        <f t="shared" si="2"/>
        <v>0.1</v>
      </c>
      <c r="E41" s="169">
        <f>ROUND((1715.08*0.0155),2)</f>
        <v>26.58</v>
      </c>
    </row>
    <row r="42" spans="1:5" ht="47.25" x14ac:dyDescent="0.25">
      <c r="A42" s="4">
        <v>2244</v>
      </c>
      <c r="B42" s="82" t="s">
        <v>22</v>
      </c>
      <c r="C42" s="82" t="s">
        <v>766</v>
      </c>
      <c r="D42" s="45">
        <f t="shared" si="2"/>
        <v>7.95</v>
      </c>
      <c r="E42" s="45">
        <f>ROUND((133418.65*0.0155),2)</f>
        <v>2067.9899999999998</v>
      </c>
    </row>
    <row r="43" spans="1:5" ht="32.25" customHeight="1" x14ac:dyDescent="0.25">
      <c r="A43" s="4">
        <v>2249</v>
      </c>
      <c r="B43" s="82" t="s">
        <v>50</v>
      </c>
      <c r="C43" s="82" t="s">
        <v>767</v>
      </c>
      <c r="D43" s="45">
        <f>ROUND((E43/260),2)-0.01</f>
        <v>9.0000000000000011E-2</v>
      </c>
      <c r="E43" s="45">
        <f>ROUND((1602.25*0.0155),2)</f>
        <v>24.83</v>
      </c>
    </row>
    <row r="44" spans="1:5" ht="31.5" customHeight="1" x14ac:dyDescent="0.25">
      <c r="A44" s="4">
        <v>2264</v>
      </c>
      <c r="B44" s="82" t="s">
        <v>58</v>
      </c>
      <c r="C44" s="82" t="s">
        <v>768</v>
      </c>
      <c r="D44" s="45">
        <f t="shared" si="2"/>
        <v>0.01</v>
      </c>
      <c r="E44" s="45">
        <f>ROUND((121*0.0155),2)</f>
        <v>1.88</v>
      </c>
    </row>
    <row r="45" spans="1:5" ht="30" customHeight="1" x14ac:dyDescent="0.25">
      <c r="A45" s="4">
        <v>2312</v>
      </c>
      <c r="B45" s="4" t="s">
        <v>13</v>
      </c>
      <c r="C45" s="82" t="s">
        <v>769</v>
      </c>
      <c r="D45" s="45">
        <f>ROUND((E45/260),2)</f>
        <v>0.04</v>
      </c>
      <c r="E45" s="45">
        <f>ROUND((607.49*0.0155),2)</f>
        <v>9.42</v>
      </c>
    </row>
    <row r="46" spans="1:5" ht="63.75" customHeight="1" x14ac:dyDescent="0.25">
      <c r="A46" s="4">
        <v>2350</v>
      </c>
      <c r="B46" s="5" t="s">
        <v>236</v>
      </c>
      <c r="C46" s="82" t="s">
        <v>770</v>
      </c>
      <c r="D46" s="45">
        <f t="shared" si="2"/>
        <v>0.05</v>
      </c>
      <c r="E46" s="114">
        <f>ROUND((905.02*0.0155),2)</f>
        <v>14.03</v>
      </c>
    </row>
    <row r="47" spans="1:5" ht="30.75" customHeight="1" x14ac:dyDescent="0.25">
      <c r="A47" s="4">
        <v>2513</v>
      </c>
      <c r="B47" s="5" t="s">
        <v>63</v>
      </c>
      <c r="C47" s="82" t="s">
        <v>771</v>
      </c>
      <c r="D47" s="45">
        <f t="shared" si="2"/>
        <v>0.63</v>
      </c>
      <c r="E47" s="45">
        <f>ROUND((10541.01*0.0155),2)</f>
        <v>163.38999999999999</v>
      </c>
    </row>
    <row r="48" spans="1:5" ht="15.75" x14ac:dyDescent="0.25">
      <c r="A48" s="10">
        <v>5000</v>
      </c>
      <c r="B48" s="9" t="s">
        <v>17</v>
      </c>
      <c r="C48" s="79"/>
      <c r="D48" s="44">
        <f>SUM(D49:D51)</f>
        <v>0.68</v>
      </c>
      <c r="E48" s="44">
        <f>SUM(E49:E51)</f>
        <v>178.20999999999998</v>
      </c>
    </row>
    <row r="49" spans="1:6" ht="30.75" customHeight="1" x14ac:dyDescent="0.25">
      <c r="A49" s="4">
        <v>5212</v>
      </c>
      <c r="B49" s="5" t="s">
        <v>31</v>
      </c>
      <c r="C49" s="82" t="s">
        <v>772</v>
      </c>
      <c r="D49" s="45">
        <f>ROUND((E49/260),2)</f>
        <v>0.39</v>
      </c>
      <c r="E49" s="45">
        <f>ROUND((6565.16*0.0155),2)</f>
        <v>101.76</v>
      </c>
    </row>
    <row r="50" spans="1:6" ht="29.25" customHeight="1" x14ac:dyDescent="0.25">
      <c r="A50" s="4">
        <v>5213</v>
      </c>
      <c r="B50" s="5" t="s">
        <v>32</v>
      </c>
      <c r="C50" s="82" t="s">
        <v>773</v>
      </c>
      <c r="D50" s="45">
        <f t="shared" ref="D50:D51" si="3">ROUND((E50/260),2)</f>
        <v>0.26</v>
      </c>
      <c r="E50" s="45">
        <f>ROUND((4439.23*0.0155),2)</f>
        <v>68.81</v>
      </c>
    </row>
    <row r="51" spans="1:6" ht="45.75" customHeight="1" x14ac:dyDescent="0.25">
      <c r="A51" s="19">
        <v>5239</v>
      </c>
      <c r="B51" s="82" t="s">
        <v>18</v>
      </c>
      <c r="C51" s="82" t="s">
        <v>774</v>
      </c>
      <c r="D51" s="45">
        <f t="shared" si="3"/>
        <v>0.03</v>
      </c>
      <c r="E51" s="45">
        <f>ROUND((492.88*0.0155),2)</f>
        <v>7.64</v>
      </c>
    </row>
    <row r="52" spans="1:6" ht="15.75" x14ac:dyDescent="0.25">
      <c r="A52" s="171"/>
      <c r="B52" s="9" t="s">
        <v>23</v>
      </c>
      <c r="C52" s="79"/>
      <c r="D52" s="44">
        <f>SUM(D23+D36+D48)</f>
        <v>18.059999999999999</v>
      </c>
      <c r="E52" s="41">
        <f>SUM(E23+E36+E48)</f>
        <v>4699.5600000000004</v>
      </c>
    </row>
    <row r="53" spans="1:6" ht="30" customHeight="1" x14ac:dyDescent="0.25">
      <c r="A53" s="6"/>
      <c r="B53" s="11" t="s">
        <v>24</v>
      </c>
      <c r="C53" s="79"/>
      <c r="D53" s="93">
        <f>D21+D52</f>
        <v>19.479999999999997</v>
      </c>
      <c r="E53" s="42">
        <f>E21+E52</f>
        <v>5065.4100000000008</v>
      </c>
    </row>
    <row r="54" spans="1:6" ht="18" customHeight="1" x14ac:dyDescent="0.25">
      <c r="A54" s="351" t="s">
        <v>209</v>
      </c>
      <c r="B54" s="351"/>
      <c r="C54" s="351"/>
      <c r="D54" s="196">
        <f>2*1*130</f>
        <v>260</v>
      </c>
      <c r="E54" s="211" t="s">
        <v>75</v>
      </c>
    </row>
    <row r="55" spans="1:6" ht="30.6" customHeight="1" x14ac:dyDescent="0.25">
      <c r="A55" s="351" t="s">
        <v>757</v>
      </c>
      <c r="B55" s="351"/>
      <c r="C55" s="351"/>
      <c r="D55" s="192">
        <f>ROUND((E53/D54),2)</f>
        <v>19.48</v>
      </c>
      <c r="E55" s="205" t="s">
        <v>775</v>
      </c>
      <c r="F55" s="40"/>
    </row>
    <row r="56" spans="1:6" ht="15.75" x14ac:dyDescent="0.25">
      <c r="A56" s="194"/>
      <c r="B56" s="194"/>
      <c r="C56" s="194"/>
      <c r="D56" s="207"/>
      <c r="E56" s="207"/>
    </row>
    <row r="57" spans="1:6" ht="15.75" x14ac:dyDescent="0.25">
      <c r="A57" s="360" t="s">
        <v>210</v>
      </c>
      <c r="B57" s="360"/>
      <c r="C57" s="360"/>
      <c r="D57" s="196">
        <f>2*10</f>
        <v>20</v>
      </c>
      <c r="E57" s="192" t="s">
        <v>76</v>
      </c>
    </row>
    <row r="58" spans="1:6" ht="30" customHeight="1" x14ac:dyDescent="0.25">
      <c r="A58" s="365" t="s">
        <v>759</v>
      </c>
      <c r="B58" s="365"/>
      <c r="C58" s="365"/>
      <c r="D58" s="192">
        <f>ROUND((E53/D57),2)</f>
        <v>253.27</v>
      </c>
      <c r="E58" s="205" t="s">
        <v>824</v>
      </c>
    </row>
  </sheetData>
  <mergeCells count="9">
    <mergeCell ref="A57:C57"/>
    <mergeCell ref="A58:C58"/>
    <mergeCell ref="A26:A34"/>
    <mergeCell ref="B26:B34"/>
    <mergeCell ref="A2:C2"/>
    <mergeCell ref="A3:E3"/>
    <mergeCell ref="A4:B4"/>
    <mergeCell ref="A54:C54"/>
    <mergeCell ref="A55:C55"/>
  </mergeCells>
  <pageMargins left="0.7" right="0.7" top="0.75" bottom="0.75" header="0.3" footer="0.3"/>
  <pageSetup paperSize="9" orientation="landscape" r:id="rId1"/>
  <rowBreaks count="1" manualBreakCount="1">
    <brk id="25" max="16383" man="1"/>
  </rowBreaks>
  <ignoredErrors>
    <ignoredError sqref="D36 D43 D16:E16 D19:E19" formula="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E7FF6-70CF-43B2-9103-5280353BE0F8}">
  <dimension ref="A1:E58"/>
  <sheetViews>
    <sheetView topLeftCell="A43" zoomScaleNormal="100" workbookViewId="0">
      <selection activeCell="A2" sqref="A2:C2"/>
    </sheetView>
  </sheetViews>
  <sheetFormatPr defaultRowHeight="15" x14ac:dyDescent="0.25"/>
  <cols>
    <col min="1" max="1" width="12.42578125" customWidth="1"/>
    <col min="2" max="2" width="27.42578125" customWidth="1"/>
    <col min="3" max="3" width="63.7109375" customWidth="1"/>
    <col min="4" max="4" width="10.140625" customWidth="1"/>
    <col min="5" max="5" width="17.28515625" customWidth="1"/>
  </cols>
  <sheetData>
    <row r="1" spans="1:5" s="175" customFormat="1" ht="18.75" x14ac:dyDescent="0.3">
      <c r="A1" s="158" t="s">
        <v>51</v>
      </c>
    </row>
    <row r="2" spans="1:5" ht="18.75" x14ac:dyDescent="0.3">
      <c r="A2" s="358" t="s">
        <v>1584</v>
      </c>
      <c r="B2" s="358"/>
      <c r="C2" s="358"/>
    </row>
    <row r="3" spans="1:5" ht="18.75" x14ac:dyDescent="0.25">
      <c r="A3" s="352" t="s">
        <v>193</v>
      </c>
      <c r="B3" s="352"/>
      <c r="C3" s="352"/>
      <c r="D3" s="352"/>
      <c r="E3" s="352"/>
    </row>
    <row r="4" spans="1:5" ht="15.75" x14ac:dyDescent="0.25">
      <c r="A4" s="359" t="s">
        <v>74</v>
      </c>
      <c r="B4" s="359"/>
    </row>
    <row r="6" spans="1:5" ht="77.45" customHeight="1" x14ac:dyDescent="0.25">
      <c r="A6" s="149" t="s">
        <v>0</v>
      </c>
      <c r="B6" s="149" t="s">
        <v>1</v>
      </c>
      <c r="C6" s="149" t="s">
        <v>2</v>
      </c>
      <c r="D6" s="162" t="s">
        <v>26</v>
      </c>
      <c r="E6" s="162" t="s">
        <v>27</v>
      </c>
    </row>
    <row r="7" spans="1:5" x14ac:dyDescent="0.25">
      <c r="A7" s="292">
        <v>1</v>
      </c>
      <c r="B7" s="292">
        <v>2</v>
      </c>
      <c r="C7" s="292">
        <v>3</v>
      </c>
      <c r="D7" s="292">
        <v>4</v>
      </c>
      <c r="E7" s="292">
        <v>5</v>
      </c>
    </row>
    <row r="8" spans="1:5" ht="15.75" x14ac:dyDescent="0.25">
      <c r="A8" s="4"/>
      <c r="B8" s="7" t="s">
        <v>7</v>
      </c>
      <c r="C8" s="79" t="s">
        <v>8</v>
      </c>
      <c r="D8" s="25"/>
      <c r="E8" s="23"/>
    </row>
    <row r="9" spans="1:5" ht="15.75" x14ac:dyDescent="0.25">
      <c r="A9" s="8">
        <v>1000</v>
      </c>
      <c r="B9" s="7" t="s">
        <v>9</v>
      </c>
      <c r="C9" s="284"/>
      <c r="D9" s="26">
        <f>D10+D16</f>
        <v>0.58000000000000007</v>
      </c>
      <c r="E9" s="26">
        <f>E10+E16</f>
        <v>229.34999999999997</v>
      </c>
    </row>
    <row r="10" spans="1:5" ht="15.75" x14ac:dyDescent="0.25">
      <c r="A10" s="280">
        <v>1100</v>
      </c>
      <c r="B10" s="280" t="s">
        <v>10</v>
      </c>
      <c r="C10" s="284"/>
      <c r="D10" s="26">
        <f>SUM(D12:D15)</f>
        <v>0.45</v>
      </c>
      <c r="E10" s="26">
        <f>SUM(E12:E15)</f>
        <v>178.98999999999998</v>
      </c>
    </row>
    <row r="11" spans="1:5" ht="15.75" x14ac:dyDescent="0.25">
      <c r="A11" s="16">
        <v>1110</v>
      </c>
      <c r="B11" s="16" t="s">
        <v>240</v>
      </c>
      <c r="C11" s="300" t="s">
        <v>241</v>
      </c>
      <c r="D11" s="62">
        <f>SUM(D12:D14)</f>
        <v>0.41000000000000003</v>
      </c>
      <c r="E11" s="62">
        <f>SUM(E12:E14)</f>
        <v>162.71999999999997</v>
      </c>
    </row>
    <row r="12" spans="1:5" ht="78.75" x14ac:dyDescent="0.25">
      <c r="A12" s="136"/>
      <c r="B12" s="139"/>
      <c r="C12" s="152" t="s">
        <v>885</v>
      </c>
      <c r="D12" s="62">
        <f>ROUND((E12/400),2)</f>
        <v>0.02</v>
      </c>
      <c r="E12" s="114">
        <f>ROUND((50.96*12*0.0107),2)</f>
        <v>6.54</v>
      </c>
    </row>
    <row r="13" spans="1:5" ht="78.75" customHeight="1" x14ac:dyDescent="0.25">
      <c r="A13" s="153"/>
      <c r="B13" s="154"/>
      <c r="C13" s="152" t="s">
        <v>806</v>
      </c>
      <c r="D13" s="62">
        <f t="shared" ref="D13:D20" si="0">ROUND((E13/400),2)</f>
        <v>0.37</v>
      </c>
      <c r="E13" s="114">
        <f>ROUND((1160.28*12*0.0107),2)</f>
        <v>148.97999999999999</v>
      </c>
    </row>
    <row r="14" spans="1:5" ht="78.75" x14ac:dyDescent="0.25">
      <c r="A14" s="138"/>
      <c r="B14" s="141"/>
      <c r="C14" s="152" t="s">
        <v>807</v>
      </c>
      <c r="D14" s="62">
        <f t="shared" si="0"/>
        <v>0.02</v>
      </c>
      <c r="E14" s="114">
        <f>ROUND((56.06*12*0.0107),2)</f>
        <v>7.2</v>
      </c>
    </row>
    <row r="15" spans="1:5" ht="63" x14ac:dyDescent="0.25">
      <c r="A15" s="131">
        <v>1140</v>
      </c>
      <c r="B15" s="5" t="s">
        <v>237</v>
      </c>
      <c r="C15" s="152" t="s">
        <v>845</v>
      </c>
      <c r="D15" s="114">
        <f>ROUND((E15/400),2)</f>
        <v>0.04</v>
      </c>
      <c r="E15" s="114">
        <f>ROUND((6.54*0.1+148.98*0.1+7.2*0.1),2)</f>
        <v>16.27</v>
      </c>
    </row>
    <row r="16" spans="1:5" ht="63" x14ac:dyDescent="0.25">
      <c r="A16" s="7">
        <v>1200</v>
      </c>
      <c r="B16" s="298" t="s">
        <v>11</v>
      </c>
      <c r="C16" s="176" t="s">
        <v>810</v>
      </c>
      <c r="D16" s="88">
        <f>ROUND((D17+D18),2)</f>
        <v>0.13</v>
      </c>
      <c r="E16" s="88">
        <f>ROUND((E17+E18),2)</f>
        <v>50.36</v>
      </c>
    </row>
    <row r="17" spans="1:5" ht="47.25" x14ac:dyDescent="0.25">
      <c r="A17" s="4">
        <v>1210</v>
      </c>
      <c r="B17" s="5" t="s">
        <v>239</v>
      </c>
      <c r="C17" s="176" t="s">
        <v>809</v>
      </c>
      <c r="D17" s="62">
        <f t="shared" si="0"/>
        <v>0.11</v>
      </c>
      <c r="E17" s="45">
        <f>ROUND((178.99*0.2359),2)</f>
        <v>42.22</v>
      </c>
    </row>
    <row r="18" spans="1:5" ht="63" x14ac:dyDescent="0.25">
      <c r="A18" s="4">
        <v>1227</v>
      </c>
      <c r="B18" s="5" t="s">
        <v>238</v>
      </c>
      <c r="C18" s="152" t="s">
        <v>808</v>
      </c>
      <c r="D18" s="62">
        <f t="shared" si="0"/>
        <v>0.02</v>
      </c>
      <c r="E18" s="114">
        <f>ROUND((6.54*0.05+148.98*0.05+7.2*0.05),2)</f>
        <v>8.14</v>
      </c>
    </row>
    <row r="19" spans="1:5" ht="15.75" x14ac:dyDescent="0.25">
      <c r="A19" s="8">
        <v>2000</v>
      </c>
      <c r="B19" s="7" t="s">
        <v>12</v>
      </c>
      <c r="C19" s="176"/>
      <c r="D19" s="92">
        <f>SUM(D20)</f>
        <v>0.06</v>
      </c>
      <c r="E19" s="92">
        <f>SUM(E20)</f>
        <v>23.2</v>
      </c>
    </row>
    <row r="20" spans="1:5" ht="47.25" x14ac:dyDescent="0.25">
      <c r="A20" s="4">
        <v>2249</v>
      </c>
      <c r="B20" s="5" t="s">
        <v>50</v>
      </c>
      <c r="C20" s="82" t="s">
        <v>805</v>
      </c>
      <c r="D20" s="62">
        <f t="shared" si="0"/>
        <v>0.06</v>
      </c>
      <c r="E20" s="45">
        <f>ROUND((2168.13*0.0107),2)</f>
        <v>23.2</v>
      </c>
    </row>
    <row r="21" spans="1:5" ht="15.75" x14ac:dyDescent="0.25">
      <c r="A21" s="4"/>
      <c r="B21" s="9" t="s">
        <v>14</v>
      </c>
      <c r="C21" s="80" t="s">
        <v>16</v>
      </c>
      <c r="D21" s="26">
        <f>D9+D20</f>
        <v>0.64000000000000012</v>
      </c>
      <c r="E21" s="44">
        <f>E9+E20</f>
        <v>252.54999999999995</v>
      </c>
    </row>
    <row r="22" spans="1:5" ht="15.75" x14ac:dyDescent="0.25">
      <c r="A22" s="4"/>
      <c r="B22" s="9" t="s">
        <v>15</v>
      </c>
      <c r="C22" s="79" t="s">
        <v>8</v>
      </c>
      <c r="D22" s="23"/>
      <c r="E22" s="43"/>
    </row>
    <row r="23" spans="1:5" ht="15.75" x14ac:dyDescent="0.25">
      <c r="A23" s="8">
        <v>1000</v>
      </c>
      <c r="B23" s="7" t="s">
        <v>9</v>
      </c>
      <c r="C23" s="79"/>
      <c r="D23" s="88">
        <f>SUM(D24+D35)</f>
        <v>0.47</v>
      </c>
      <c r="E23" s="88">
        <f>SUM(E24+E35)</f>
        <v>189.01</v>
      </c>
    </row>
    <row r="24" spans="1:5" ht="15.75" x14ac:dyDescent="0.25">
      <c r="A24" s="4">
        <v>1100</v>
      </c>
      <c r="B24" s="4" t="s">
        <v>10</v>
      </c>
      <c r="C24" s="147" t="s">
        <v>267</v>
      </c>
      <c r="D24" s="88">
        <f>SUM(D25:D34)</f>
        <v>0.38</v>
      </c>
      <c r="E24" s="88">
        <f>SUM(E25:E34)</f>
        <v>152.93</v>
      </c>
    </row>
    <row r="25" spans="1:5" ht="78.75" x14ac:dyDescent="0.25">
      <c r="A25" s="237"/>
      <c r="B25" s="238"/>
      <c r="C25" s="81" t="s">
        <v>813</v>
      </c>
      <c r="D25" s="28">
        <f>ROUND((E25/400),2)</f>
        <v>0.01</v>
      </c>
      <c r="E25" s="46">
        <f>ROUND((21.47*12*0.0107),2)</f>
        <v>2.76</v>
      </c>
    </row>
    <row r="26" spans="1:5" ht="78.75" x14ac:dyDescent="0.25">
      <c r="A26" s="355"/>
      <c r="B26" s="353"/>
      <c r="C26" s="152" t="s">
        <v>814</v>
      </c>
      <c r="D26" s="46">
        <f t="shared" ref="D26:D35" si="1">ROUND((E26/400),2)</f>
        <v>0</v>
      </c>
      <c r="E26" s="46">
        <f>ROUND((14.17*12*0.0107),2)</f>
        <v>1.82</v>
      </c>
    </row>
    <row r="27" spans="1:5" ht="78.75" x14ac:dyDescent="0.25">
      <c r="A27" s="355"/>
      <c r="B27" s="353"/>
      <c r="C27" s="152" t="s">
        <v>1329</v>
      </c>
      <c r="D27" s="28">
        <f t="shared" si="1"/>
        <v>0.01</v>
      </c>
      <c r="E27" s="28">
        <f>ROUND((20.53*12*0.0107),2)</f>
        <v>2.64</v>
      </c>
    </row>
    <row r="28" spans="1:5" ht="78.75" x14ac:dyDescent="0.25">
      <c r="A28" s="355"/>
      <c r="B28" s="353"/>
      <c r="C28" s="152" t="s">
        <v>815</v>
      </c>
      <c r="D28" s="28">
        <f t="shared" si="1"/>
        <v>0.01</v>
      </c>
      <c r="E28" s="46">
        <f>ROUND((30.96*12*0.0107),2)</f>
        <v>3.98</v>
      </c>
    </row>
    <row r="29" spans="1:5" ht="78.75" x14ac:dyDescent="0.25">
      <c r="A29" s="355"/>
      <c r="B29" s="353"/>
      <c r="C29" s="81" t="s">
        <v>1330</v>
      </c>
      <c r="D29" s="28">
        <f t="shared" si="1"/>
        <v>0.01</v>
      </c>
      <c r="E29" s="28">
        <f>ROUND((20.04*12*0.0107),2)</f>
        <v>2.57</v>
      </c>
    </row>
    <row r="30" spans="1:5" ht="78.75" x14ac:dyDescent="0.25">
      <c r="A30" s="355"/>
      <c r="B30" s="353"/>
      <c r="C30" s="81" t="s">
        <v>1331</v>
      </c>
      <c r="D30" s="28">
        <f t="shared" si="1"/>
        <v>0.02</v>
      </c>
      <c r="E30" s="28">
        <f>ROUND((75.87*12*0.0107),2)</f>
        <v>9.74</v>
      </c>
    </row>
    <row r="31" spans="1:5" ht="78.75" x14ac:dyDescent="0.25">
      <c r="A31" s="355"/>
      <c r="B31" s="353"/>
      <c r="C31" s="152" t="s">
        <v>1332</v>
      </c>
      <c r="D31" s="28">
        <f t="shared" si="1"/>
        <v>0.1</v>
      </c>
      <c r="E31" s="28">
        <f>ROUND((306*12*0.0107),2)</f>
        <v>39.29</v>
      </c>
    </row>
    <row r="32" spans="1:5" ht="78.75" x14ac:dyDescent="0.25">
      <c r="A32" s="355"/>
      <c r="B32" s="353"/>
      <c r="C32" s="81" t="s">
        <v>816</v>
      </c>
      <c r="D32" s="28">
        <f t="shared" si="1"/>
        <v>0.15</v>
      </c>
      <c r="E32" s="46">
        <f>ROUND((482.27*12*0.0107),2)</f>
        <v>61.92</v>
      </c>
    </row>
    <row r="33" spans="1:5" ht="94.5" x14ac:dyDescent="0.25">
      <c r="A33" s="355"/>
      <c r="B33" s="353"/>
      <c r="C33" s="81" t="s">
        <v>817</v>
      </c>
      <c r="D33" s="28">
        <f t="shared" si="1"/>
        <v>0.06</v>
      </c>
      <c r="E33" s="46">
        <f>ROUND((175.25*12*0.0107),2)</f>
        <v>22.5</v>
      </c>
    </row>
    <row r="34" spans="1:5" ht="78.75" x14ac:dyDescent="0.25">
      <c r="A34" s="356"/>
      <c r="B34" s="354"/>
      <c r="C34" s="81" t="s">
        <v>818</v>
      </c>
      <c r="D34" s="28">
        <f t="shared" si="1"/>
        <v>0.01</v>
      </c>
      <c r="E34" s="46">
        <f>ROUND((44.48*12*0.0107),2)</f>
        <v>5.71</v>
      </c>
    </row>
    <row r="35" spans="1:5" ht="63" x14ac:dyDescent="0.25">
      <c r="A35" s="7">
        <v>1200</v>
      </c>
      <c r="B35" s="166" t="s">
        <v>11</v>
      </c>
      <c r="C35" s="82" t="s">
        <v>819</v>
      </c>
      <c r="D35" s="291">
        <f t="shared" si="1"/>
        <v>0.09</v>
      </c>
      <c r="E35" s="92">
        <f>ROUND((152.93*0.2359),2)</f>
        <v>36.08</v>
      </c>
    </row>
    <row r="36" spans="1:5" ht="15.75" x14ac:dyDescent="0.25">
      <c r="A36" s="8">
        <v>2000</v>
      </c>
      <c r="B36" s="7" t="s">
        <v>12</v>
      </c>
      <c r="C36" s="79"/>
      <c r="D36" s="24">
        <f>SUM(D37:D47)</f>
        <v>7.3199999999999985</v>
      </c>
      <c r="E36" s="44">
        <f>SUM(E37:E47)</f>
        <v>2932.1799999999994</v>
      </c>
    </row>
    <row r="37" spans="1:5" ht="31.5" customHeight="1" x14ac:dyDescent="0.25">
      <c r="A37" s="4">
        <v>2221</v>
      </c>
      <c r="B37" s="82" t="s">
        <v>60</v>
      </c>
      <c r="C37" s="82" t="s">
        <v>791</v>
      </c>
      <c r="D37" s="46">
        <f>ROUND((E37/400),2)</f>
        <v>1.31</v>
      </c>
      <c r="E37" s="45">
        <f>ROUND((48868*0.0107),2)</f>
        <v>522.89</v>
      </c>
    </row>
    <row r="38" spans="1:5" ht="31.5" x14ac:dyDescent="0.25">
      <c r="A38" s="4">
        <v>2222</v>
      </c>
      <c r="B38" s="5" t="s">
        <v>61</v>
      </c>
      <c r="C38" s="5" t="s">
        <v>792</v>
      </c>
      <c r="D38" s="46">
        <f t="shared" ref="D38:D47" si="2">ROUND((E38/400),2)</f>
        <v>1.39</v>
      </c>
      <c r="E38" s="45">
        <f>ROUND((52111.24*0.0107),2)</f>
        <v>557.59</v>
      </c>
    </row>
    <row r="39" spans="1:5" ht="78.75" x14ac:dyDescent="0.25">
      <c r="A39" s="4">
        <v>2224</v>
      </c>
      <c r="B39" s="82" t="s">
        <v>62</v>
      </c>
      <c r="C39" s="82" t="s">
        <v>793</v>
      </c>
      <c r="D39" s="46">
        <f t="shared" si="2"/>
        <v>0.63</v>
      </c>
      <c r="E39" s="28">
        <f>ROUND((23680.95*0.0107),2)</f>
        <v>253.39</v>
      </c>
    </row>
    <row r="40" spans="1:5" ht="31.5" x14ac:dyDescent="0.25">
      <c r="A40" s="4">
        <v>2232</v>
      </c>
      <c r="B40" s="89" t="s">
        <v>45</v>
      </c>
      <c r="C40" s="90" t="s">
        <v>794</v>
      </c>
      <c r="D40" s="46">
        <f t="shared" si="2"/>
        <v>0.01</v>
      </c>
      <c r="E40" s="28">
        <f>ROUND((464.98*0.0107),2)</f>
        <v>4.9800000000000004</v>
      </c>
    </row>
    <row r="41" spans="1:5" ht="79.5" customHeight="1" x14ac:dyDescent="0.25">
      <c r="A41" s="4">
        <v>2243</v>
      </c>
      <c r="B41" s="90" t="s">
        <v>21</v>
      </c>
      <c r="C41" s="90" t="s">
        <v>795</v>
      </c>
      <c r="D41" s="46">
        <f>ROUND((E41/400),2)</f>
        <v>0.05</v>
      </c>
      <c r="E41" s="173">
        <f>ROUND((1715.08*0.0107),2)</f>
        <v>18.350000000000001</v>
      </c>
    </row>
    <row r="42" spans="1:5" ht="46.5" customHeight="1" x14ac:dyDescent="0.25">
      <c r="A42" s="4">
        <v>2244</v>
      </c>
      <c r="B42" s="82" t="s">
        <v>22</v>
      </c>
      <c r="C42" s="82" t="s">
        <v>796</v>
      </c>
      <c r="D42" s="46">
        <f t="shared" si="2"/>
        <v>3.57</v>
      </c>
      <c r="E42" s="45">
        <f>ROUND((133418.65*0.0107),2)</f>
        <v>1427.58</v>
      </c>
    </row>
    <row r="43" spans="1:5" ht="32.25" customHeight="1" x14ac:dyDescent="0.25">
      <c r="A43" s="4">
        <v>2249</v>
      </c>
      <c r="B43" s="82" t="s">
        <v>50</v>
      </c>
      <c r="C43" s="82" t="s">
        <v>797</v>
      </c>
      <c r="D43" s="46">
        <f t="shared" si="2"/>
        <v>0.04</v>
      </c>
      <c r="E43" s="45">
        <f>ROUND((1602.25*0.0107),2)</f>
        <v>17.14</v>
      </c>
    </row>
    <row r="44" spans="1:5" ht="32.25" customHeight="1" x14ac:dyDescent="0.25">
      <c r="A44" s="4">
        <v>2264</v>
      </c>
      <c r="B44" s="82" t="s">
        <v>58</v>
      </c>
      <c r="C44" s="82" t="s">
        <v>798</v>
      </c>
      <c r="D44" s="46">
        <f t="shared" si="2"/>
        <v>0</v>
      </c>
      <c r="E44" s="45">
        <f>ROUND((121*0.0107),2)</f>
        <v>1.29</v>
      </c>
    </row>
    <row r="45" spans="1:5" ht="30.75" customHeight="1" x14ac:dyDescent="0.25">
      <c r="A45" s="4">
        <v>2312</v>
      </c>
      <c r="B45" s="4" t="s">
        <v>13</v>
      </c>
      <c r="C45" s="82" t="s">
        <v>799</v>
      </c>
      <c r="D45" s="46">
        <f t="shared" si="2"/>
        <v>0.02</v>
      </c>
      <c r="E45" s="45">
        <f>ROUND((607.49*0.0107),2)</f>
        <v>6.5</v>
      </c>
    </row>
    <row r="46" spans="1:5" ht="62.25" customHeight="1" x14ac:dyDescent="0.25">
      <c r="A46" s="4">
        <v>2350</v>
      </c>
      <c r="B46" s="5" t="s">
        <v>236</v>
      </c>
      <c r="C46" s="82" t="s">
        <v>800</v>
      </c>
      <c r="D46" s="46">
        <f t="shared" si="2"/>
        <v>0.02</v>
      </c>
      <c r="E46" s="62">
        <f>ROUND((905.02*0.0107),2)</f>
        <v>9.68</v>
      </c>
    </row>
    <row r="47" spans="1:5" ht="33" customHeight="1" x14ac:dyDescent="0.25">
      <c r="A47" s="4">
        <v>2513</v>
      </c>
      <c r="B47" s="5" t="s">
        <v>63</v>
      </c>
      <c r="C47" s="82" t="s">
        <v>801</v>
      </c>
      <c r="D47" s="46">
        <f t="shared" si="2"/>
        <v>0.28000000000000003</v>
      </c>
      <c r="E47" s="46">
        <f>ROUND((10541.01*0.0107),2)</f>
        <v>112.79</v>
      </c>
    </row>
    <row r="48" spans="1:5" ht="15.75" x14ac:dyDescent="0.25">
      <c r="A48" s="10">
        <v>5000</v>
      </c>
      <c r="B48" s="9" t="s">
        <v>17</v>
      </c>
      <c r="C48" s="79"/>
      <c r="D48" s="26">
        <f>SUM(D49:D51)</f>
        <v>0.31</v>
      </c>
      <c r="E48" s="26">
        <f>SUM(E49:E51)</f>
        <v>123.02</v>
      </c>
    </row>
    <row r="49" spans="1:5" ht="31.5" customHeight="1" x14ac:dyDescent="0.25">
      <c r="A49" s="4">
        <v>5212</v>
      </c>
      <c r="B49" s="5" t="s">
        <v>31</v>
      </c>
      <c r="C49" s="82" t="s">
        <v>802</v>
      </c>
      <c r="D49" s="46">
        <f>ROUND((E49/400),2)</f>
        <v>0.18</v>
      </c>
      <c r="E49" s="46">
        <f>ROUND((6565.16*0.0107),2)</f>
        <v>70.25</v>
      </c>
    </row>
    <row r="50" spans="1:5" ht="30.75" customHeight="1" x14ac:dyDescent="0.25">
      <c r="A50" s="4">
        <v>5213</v>
      </c>
      <c r="B50" s="5" t="s">
        <v>32</v>
      </c>
      <c r="C50" s="82" t="s">
        <v>803</v>
      </c>
      <c r="D50" s="46">
        <f t="shared" ref="D50:D51" si="3">ROUND((E50/400),2)</f>
        <v>0.12</v>
      </c>
      <c r="E50" s="46">
        <f>ROUND((4439.23*0.0107),2)</f>
        <v>47.5</v>
      </c>
    </row>
    <row r="51" spans="1:5" ht="47.25" x14ac:dyDescent="0.25">
      <c r="A51" s="19">
        <v>5239</v>
      </c>
      <c r="B51" s="82" t="s">
        <v>18</v>
      </c>
      <c r="C51" s="82" t="s">
        <v>804</v>
      </c>
      <c r="D51" s="46">
        <f t="shared" si="3"/>
        <v>0.01</v>
      </c>
      <c r="E51" s="46">
        <f>ROUND((492.88*0.0107),2)</f>
        <v>5.27</v>
      </c>
    </row>
    <row r="52" spans="1:5" ht="15.75" x14ac:dyDescent="0.25">
      <c r="A52" s="171"/>
      <c r="B52" s="9" t="s">
        <v>23</v>
      </c>
      <c r="C52" s="79"/>
      <c r="D52" s="26">
        <f>SUM(D23+D36+D48)</f>
        <v>8.0999999999999979</v>
      </c>
      <c r="E52" s="41">
        <f>SUM(E23+E36+E48)</f>
        <v>3244.2099999999996</v>
      </c>
    </row>
    <row r="53" spans="1:5" ht="18" customHeight="1" x14ac:dyDescent="0.25">
      <c r="A53" s="6"/>
      <c r="B53" s="252" t="s">
        <v>24</v>
      </c>
      <c r="C53" s="79"/>
      <c r="D53" s="27">
        <f>D21+D52</f>
        <v>8.7399999999999984</v>
      </c>
      <c r="E53" s="42">
        <f>E21+E52</f>
        <v>3496.7599999999993</v>
      </c>
    </row>
    <row r="54" spans="1:5" ht="15.75" x14ac:dyDescent="0.25">
      <c r="A54" s="351" t="s">
        <v>211</v>
      </c>
      <c r="B54" s="351"/>
      <c r="C54" s="351"/>
      <c r="D54" s="202">
        <f>2*2*100</f>
        <v>400</v>
      </c>
      <c r="E54" s="165" t="s">
        <v>75</v>
      </c>
    </row>
    <row r="55" spans="1:5" ht="30.6" customHeight="1" x14ac:dyDescent="0.25">
      <c r="A55" s="351" t="s">
        <v>823</v>
      </c>
      <c r="B55" s="351"/>
      <c r="C55" s="351"/>
      <c r="D55" s="204">
        <f>ROUND((E53/D54),2)</f>
        <v>8.74</v>
      </c>
      <c r="E55" s="208" t="s">
        <v>822</v>
      </c>
    </row>
    <row r="56" spans="1:5" ht="15.75" x14ac:dyDescent="0.25">
      <c r="A56" s="193"/>
      <c r="B56" s="194"/>
      <c r="C56" s="194"/>
      <c r="D56" s="209"/>
      <c r="E56" s="210"/>
    </row>
    <row r="57" spans="1:5" ht="18" customHeight="1" x14ac:dyDescent="0.25">
      <c r="A57" s="351" t="s">
        <v>212</v>
      </c>
      <c r="B57" s="351"/>
      <c r="C57" s="351"/>
      <c r="D57" s="202">
        <f>2*2*10</f>
        <v>40</v>
      </c>
      <c r="E57" s="202" t="s">
        <v>77</v>
      </c>
    </row>
    <row r="58" spans="1:5" ht="30" customHeight="1" x14ac:dyDescent="0.25">
      <c r="A58" s="365" t="s">
        <v>820</v>
      </c>
      <c r="B58" s="365"/>
      <c r="C58" s="365"/>
      <c r="D58" s="204">
        <f>ROUND((E53/D57),2)</f>
        <v>87.42</v>
      </c>
      <c r="E58" s="208" t="s">
        <v>821</v>
      </c>
    </row>
  </sheetData>
  <mergeCells count="9">
    <mergeCell ref="A55:C55"/>
    <mergeCell ref="A57:C57"/>
    <mergeCell ref="A58:C58"/>
    <mergeCell ref="A2:C2"/>
    <mergeCell ref="A3:E3"/>
    <mergeCell ref="A4:B4"/>
    <mergeCell ref="A26:A34"/>
    <mergeCell ref="B26:B34"/>
    <mergeCell ref="A54:C54"/>
  </mergeCells>
  <pageMargins left="0.7" right="0.7" top="0.75" bottom="0.75" header="0.3" footer="0.3"/>
  <pageSetup paperSize="9" orientation="landscape" r:id="rId1"/>
  <rowBreaks count="1" manualBreakCount="1">
    <brk id="47"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91196-9EA8-48C9-991F-0F6B8269A4C9}">
  <dimension ref="A1:E58"/>
  <sheetViews>
    <sheetView topLeftCell="A43" zoomScaleNormal="100" workbookViewId="0">
      <selection activeCell="E55" sqref="E55"/>
    </sheetView>
  </sheetViews>
  <sheetFormatPr defaultRowHeight="15" x14ac:dyDescent="0.25"/>
  <cols>
    <col min="1" max="1" width="11.5703125" customWidth="1"/>
    <col min="2" max="2" width="27.7109375" customWidth="1"/>
    <col min="3" max="3" width="64" customWidth="1"/>
    <col min="4" max="4" width="10.140625" style="14" customWidth="1"/>
    <col min="5" max="5" width="17.7109375" style="14" customWidth="1"/>
  </cols>
  <sheetData>
    <row r="1" spans="1:5" ht="18.75" x14ac:dyDescent="0.3">
      <c r="A1" s="158" t="s">
        <v>51</v>
      </c>
    </row>
    <row r="2" spans="1:5" ht="18.75" x14ac:dyDescent="0.3">
      <c r="A2" s="358" t="s">
        <v>1584</v>
      </c>
      <c r="B2" s="358"/>
      <c r="C2" s="358"/>
    </row>
    <row r="3" spans="1:5" ht="18.75" x14ac:dyDescent="0.25">
      <c r="A3" s="352" t="s">
        <v>1543</v>
      </c>
      <c r="B3" s="352"/>
      <c r="C3" s="352"/>
      <c r="D3" s="352"/>
      <c r="E3" s="352"/>
    </row>
    <row r="4" spans="1:5" ht="15.75" x14ac:dyDescent="0.25">
      <c r="A4" s="359" t="s">
        <v>74</v>
      </c>
      <c r="B4" s="359"/>
    </row>
    <row r="6" spans="1:5" ht="78.75" x14ac:dyDescent="0.25">
      <c r="A6" s="149" t="s">
        <v>0</v>
      </c>
      <c r="B6" s="149" t="s">
        <v>1</v>
      </c>
      <c r="C6" s="149" t="s">
        <v>2</v>
      </c>
      <c r="D6" s="168" t="s">
        <v>26</v>
      </c>
      <c r="E6" s="91" t="s">
        <v>27</v>
      </c>
    </row>
    <row r="7" spans="1:5" ht="15.75" x14ac:dyDescent="0.25">
      <c r="A7" s="79">
        <v>1</v>
      </c>
      <c r="B7" s="79">
        <v>2</v>
      </c>
      <c r="C7" s="79">
        <v>3</v>
      </c>
      <c r="D7" s="253">
        <v>4</v>
      </c>
      <c r="E7" s="253">
        <v>5</v>
      </c>
    </row>
    <row r="8" spans="1:5" ht="15.75" x14ac:dyDescent="0.25">
      <c r="A8" s="4"/>
      <c r="B8" s="7" t="s">
        <v>7</v>
      </c>
      <c r="C8" s="79" t="s">
        <v>8</v>
      </c>
      <c r="D8" s="43"/>
      <c r="E8" s="43"/>
    </row>
    <row r="9" spans="1:5" ht="15.75" x14ac:dyDescent="0.25">
      <c r="A9" s="8">
        <v>1000</v>
      </c>
      <c r="B9" s="7" t="s">
        <v>9</v>
      </c>
      <c r="C9" s="284"/>
      <c r="D9" s="44">
        <f>D10+D16</f>
        <v>0.43999999999999995</v>
      </c>
      <c r="E9" s="44">
        <f>E10+E16</f>
        <v>8936.24</v>
      </c>
    </row>
    <row r="10" spans="1:5" ht="15.75" x14ac:dyDescent="0.25">
      <c r="A10" s="280">
        <v>1100</v>
      </c>
      <c r="B10" s="280" t="s">
        <v>10</v>
      </c>
      <c r="C10" s="284"/>
      <c r="D10" s="44">
        <f>SUM(D12:D15)</f>
        <v>0.33999999999999997</v>
      </c>
      <c r="E10" s="44">
        <f>SUM(E12:E15)</f>
        <v>6974.0599999999995</v>
      </c>
    </row>
    <row r="11" spans="1:5" ht="15.75" x14ac:dyDescent="0.25">
      <c r="A11" s="16">
        <v>1110</v>
      </c>
      <c r="B11" s="16" t="s">
        <v>240</v>
      </c>
      <c r="C11" s="300" t="s">
        <v>241</v>
      </c>
      <c r="D11" s="114">
        <f>SUM(D12:D14)</f>
        <v>0.31</v>
      </c>
      <c r="E11" s="114">
        <f>SUM(E12:E14)</f>
        <v>6340.0499999999993</v>
      </c>
    </row>
    <row r="12" spans="1:5" ht="78" customHeight="1" x14ac:dyDescent="0.25">
      <c r="A12" s="136"/>
      <c r="B12" s="139"/>
      <c r="C12" s="152" t="s">
        <v>887</v>
      </c>
      <c r="D12" s="114">
        <f>ROUND((E12/19800),2)</f>
        <v>0.01</v>
      </c>
      <c r="E12" s="114">
        <f>ROUND((50.96*12*0.4169),2)</f>
        <v>254.94</v>
      </c>
    </row>
    <row r="13" spans="1:5" ht="77.25" customHeight="1" x14ac:dyDescent="0.25">
      <c r="A13" s="153"/>
      <c r="B13" s="154"/>
      <c r="C13" s="152" t="s">
        <v>840</v>
      </c>
      <c r="D13" s="114">
        <f>ROUND((E13/19800),2)</f>
        <v>0.28999999999999998</v>
      </c>
      <c r="E13" s="114">
        <f>ROUND((1160.28*12*0.4169),2)</f>
        <v>5804.65</v>
      </c>
    </row>
    <row r="14" spans="1:5" ht="78.95" customHeight="1" x14ac:dyDescent="0.25">
      <c r="A14" s="138"/>
      <c r="B14" s="141"/>
      <c r="C14" s="152" t="s">
        <v>841</v>
      </c>
      <c r="D14" s="114">
        <f>ROUND((E14/19800),2)</f>
        <v>0.01</v>
      </c>
      <c r="E14" s="114">
        <f>ROUND((56.06*12*0.4169),2)</f>
        <v>280.45999999999998</v>
      </c>
    </row>
    <row r="15" spans="1:5" ht="63" x14ac:dyDescent="0.25">
      <c r="A15" s="131">
        <v>1140</v>
      </c>
      <c r="B15" s="5" t="s">
        <v>237</v>
      </c>
      <c r="C15" s="152" t="s">
        <v>842</v>
      </c>
      <c r="D15" s="114">
        <f>ROUND((E15/19800),2)</f>
        <v>0.03</v>
      </c>
      <c r="E15" s="114">
        <f>ROUND((254.94*0.1+5804.65*0.1+280.46*0.1),2)</f>
        <v>634.01</v>
      </c>
    </row>
    <row r="16" spans="1:5" ht="63.75" customHeight="1" x14ac:dyDescent="0.25">
      <c r="A16" s="7">
        <v>1200</v>
      </c>
      <c r="B16" s="298" t="s">
        <v>11</v>
      </c>
      <c r="C16" s="176" t="s">
        <v>1333</v>
      </c>
      <c r="D16" s="92">
        <f>ROUND((D17+D18),2)</f>
        <v>0.1</v>
      </c>
      <c r="E16" s="92">
        <f>ROUND((E17+E18),2)</f>
        <v>1962.18</v>
      </c>
    </row>
    <row r="17" spans="1:5" ht="47.25" x14ac:dyDescent="0.25">
      <c r="A17" s="4">
        <v>1210</v>
      </c>
      <c r="B17" s="5" t="s">
        <v>239</v>
      </c>
      <c r="C17" s="176" t="s">
        <v>844</v>
      </c>
      <c r="D17" s="114">
        <f t="shared" ref="D17:D18" si="0">ROUND((E17/19800),2)</f>
        <v>0.08</v>
      </c>
      <c r="E17" s="114">
        <f>ROUND((6974.06*0.2359),2)</f>
        <v>1645.18</v>
      </c>
    </row>
    <row r="18" spans="1:5" ht="63" x14ac:dyDescent="0.25">
      <c r="A18" s="4">
        <v>1227</v>
      </c>
      <c r="B18" s="5" t="s">
        <v>238</v>
      </c>
      <c r="C18" s="152" t="s">
        <v>843</v>
      </c>
      <c r="D18" s="114">
        <f t="shared" si="0"/>
        <v>0.02</v>
      </c>
      <c r="E18" s="114">
        <f>ROUND((254.94*0.05+5804.65*0.05+280.46*0.05),2)</f>
        <v>317</v>
      </c>
    </row>
    <row r="19" spans="1:5" ht="15.75" x14ac:dyDescent="0.25">
      <c r="A19" s="8">
        <v>2000</v>
      </c>
      <c r="B19" s="7" t="s">
        <v>12</v>
      </c>
      <c r="C19" s="176"/>
      <c r="D19" s="92">
        <f>SUM(D20)</f>
        <v>0.05</v>
      </c>
      <c r="E19" s="92">
        <f>SUM(E20)</f>
        <v>903.89</v>
      </c>
    </row>
    <row r="20" spans="1:5" ht="47.25" x14ac:dyDescent="0.25">
      <c r="A20" s="4">
        <v>2249</v>
      </c>
      <c r="B20" s="5" t="s">
        <v>50</v>
      </c>
      <c r="C20" s="82" t="s">
        <v>839</v>
      </c>
      <c r="D20" s="114">
        <f>ROUND((E20/19800),2)</f>
        <v>0.05</v>
      </c>
      <c r="E20" s="45">
        <f>ROUND((2168.13*0.4169),2)</f>
        <v>903.89</v>
      </c>
    </row>
    <row r="21" spans="1:5" ht="15.75" x14ac:dyDescent="0.25">
      <c r="A21" s="4"/>
      <c r="B21" s="9" t="s">
        <v>14</v>
      </c>
      <c r="C21" s="80" t="s">
        <v>16</v>
      </c>
      <c r="D21" s="44">
        <f>D9+D19</f>
        <v>0.48999999999999994</v>
      </c>
      <c r="E21" s="44">
        <f>E9+E19</f>
        <v>9840.1299999999992</v>
      </c>
    </row>
    <row r="22" spans="1:5" ht="15.75" x14ac:dyDescent="0.25">
      <c r="A22" s="4"/>
      <c r="B22" s="9" t="s">
        <v>15</v>
      </c>
      <c r="C22" s="79" t="s">
        <v>8</v>
      </c>
      <c r="D22" s="43"/>
      <c r="E22" s="43"/>
    </row>
    <row r="23" spans="1:5" ht="15.75" x14ac:dyDescent="0.25">
      <c r="A23" s="8">
        <v>1000</v>
      </c>
      <c r="B23" s="7" t="s">
        <v>9</v>
      </c>
      <c r="C23" s="79"/>
      <c r="D23" s="92">
        <f>SUM(D24+D35)</f>
        <v>0.38</v>
      </c>
      <c r="E23" s="92">
        <f>SUM(E24+E35)</f>
        <v>7364.16</v>
      </c>
    </row>
    <row r="24" spans="1:5" ht="15.75" x14ac:dyDescent="0.25">
      <c r="A24" s="4">
        <v>1100</v>
      </c>
      <c r="B24" s="4" t="s">
        <v>10</v>
      </c>
      <c r="C24" s="147" t="s">
        <v>267</v>
      </c>
      <c r="D24" s="92">
        <f>SUM(D25:D34)</f>
        <v>0.31</v>
      </c>
      <c r="E24" s="92">
        <f>SUM(E25:E34)</f>
        <v>5958.54</v>
      </c>
    </row>
    <row r="25" spans="1:5" ht="77.25" customHeight="1" x14ac:dyDescent="0.25">
      <c r="A25" s="237"/>
      <c r="B25" s="238"/>
      <c r="C25" s="132" t="s">
        <v>846</v>
      </c>
      <c r="D25" s="45">
        <f>ROUND((E25/19800),2)</f>
        <v>0.01</v>
      </c>
      <c r="E25" s="45">
        <f>ROUND((21.47*12*0.4169),2)</f>
        <v>107.41</v>
      </c>
    </row>
    <row r="26" spans="1:5" ht="78.95" customHeight="1" x14ac:dyDescent="0.25">
      <c r="A26" s="355"/>
      <c r="B26" s="353"/>
      <c r="C26" s="132" t="s">
        <v>847</v>
      </c>
      <c r="D26" s="45">
        <f t="shared" ref="D26:D34" si="1">ROUND((E26/19800),2)</f>
        <v>0</v>
      </c>
      <c r="E26" s="45">
        <f>ROUND((14.17*12*0.4169),2)</f>
        <v>70.89</v>
      </c>
    </row>
    <row r="27" spans="1:5" ht="78.75" x14ac:dyDescent="0.25">
      <c r="A27" s="355"/>
      <c r="B27" s="353"/>
      <c r="C27" s="132" t="s">
        <v>848</v>
      </c>
      <c r="D27" s="45">
        <f t="shared" si="1"/>
        <v>0.01</v>
      </c>
      <c r="E27" s="45">
        <f>ROUND((20.53*12*0.4169),2)</f>
        <v>102.71</v>
      </c>
    </row>
    <row r="28" spans="1:5" ht="78.75" customHeight="1" x14ac:dyDescent="0.25">
      <c r="A28" s="355"/>
      <c r="B28" s="353"/>
      <c r="C28" s="132" t="s">
        <v>849</v>
      </c>
      <c r="D28" s="45">
        <f t="shared" si="1"/>
        <v>0.01</v>
      </c>
      <c r="E28" s="45">
        <f>ROUND((30.96*12*0.4169),2)</f>
        <v>154.88999999999999</v>
      </c>
    </row>
    <row r="29" spans="1:5" ht="78" customHeight="1" x14ac:dyDescent="0.25">
      <c r="A29" s="355"/>
      <c r="B29" s="353"/>
      <c r="C29" s="81" t="s">
        <v>850</v>
      </c>
      <c r="D29" s="45">
        <f t="shared" si="1"/>
        <v>0.01</v>
      </c>
      <c r="E29" s="45">
        <f>ROUND((20.04*12*0.4169),2)</f>
        <v>100.26</v>
      </c>
    </row>
    <row r="30" spans="1:5" ht="78.75" x14ac:dyDescent="0.25">
      <c r="A30" s="355"/>
      <c r="B30" s="353"/>
      <c r="C30" s="81" t="s">
        <v>851</v>
      </c>
      <c r="D30" s="45">
        <f t="shared" si="1"/>
        <v>0.02</v>
      </c>
      <c r="E30" s="45">
        <f>ROUND((75.87*12*0.4169),2)</f>
        <v>379.56</v>
      </c>
    </row>
    <row r="31" spans="1:5" ht="78.75" x14ac:dyDescent="0.25">
      <c r="A31" s="355"/>
      <c r="B31" s="353"/>
      <c r="C31" s="152" t="s">
        <v>852</v>
      </c>
      <c r="D31" s="45">
        <f t="shared" si="1"/>
        <v>0.08</v>
      </c>
      <c r="E31" s="45">
        <f>ROUND((306*12*0.4169),2)</f>
        <v>1530.86</v>
      </c>
    </row>
    <row r="32" spans="1:5" ht="78.75" x14ac:dyDescent="0.25">
      <c r="A32" s="355"/>
      <c r="B32" s="353"/>
      <c r="C32" s="81" t="s">
        <v>853</v>
      </c>
      <c r="D32" s="45">
        <f t="shared" si="1"/>
        <v>0.12</v>
      </c>
      <c r="E32" s="45">
        <f>ROUND((482.27*12*0.4169),2)</f>
        <v>2412.6999999999998</v>
      </c>
    </row>
    <row r="33" spans="1:5" ht="94.5" x14ac:dyDescent="0.25">
      <c r="A33" s="355"/>
      <c r="B33" s="353"/>
      <c r="C33" s="81" t="s">
        <v>854</v>
      </c>
      <c r="D33" s="45">
        <f t="shared" si="1"/>
        <v>0.04</v>
      </c>
      <c r="E33" s="45">
        <f>ROUND((175.25*12*0.4169),2)</f>
        <v>876.74</v>
      </c>
    </row>
    <row r="34" spans="1:5" ht="78.75" x14ac:dyDescent="0.25">
      <c r="A34" s="356"/>
      <c r="B34" s="354"/>
      <c r="C34" s="81" t="s">
        <v>855</v>
      </c>
      <c r="D34" s="45">
        <f t="shared" si="1"/>
        <v>0.01</v>
      </c>
      <c r="E34" s="45">
        <f>ROUND((44.48*12*0.4169),2)</f>
        <v>222.52</v>
      </c>
    </row>
    <row r="35" spans="1:5" ht="61.5" customHeight="1" x14ac:dyDescent="0.25">
      <c r="A35" s="7">
        <v>1200</v>
      </c>
      <c r="B35" s="166" t="s">
        <v>11</v>
      </c>
      <c r="C35" s="82" t="s">
        <v>1334</v>
      </c>
      <c r="D35" s="92">
        <f>ROUND((E35/19800),2)</f>
        <v>7.0000000000000007E-2</v>
      </c>
      <c r="E35" s="92">
        <f>ROUND((5958.54*0.2359),2)</f>
        <v>1405.62</v>
      </c>
    </row>
    <row r="36" spans="1:5" ht="15.75" x14ac:dyDescent="0.25">
      <c r="A36" s="8">
        <v>2000</v>
      </c>
      <c r="B36" s="7" t="s">
        <v>12</v>
      </c>
      <c r="C36" s="79"/>
      <c r="D36" s="44">
        <f>SUM(D37:D47)</f>
        <v>5.77</v>
      </c>
      <c r="E36" s="44">
        <f>SUM(E37:E47)</f>
        <v>114245.47999999998</v>
      </c>
    </row>
    <row r="37" spans="1:5" ht="32.25" customHeight="1" x14ac:dyDescent="0.25">
      <c r="A37" s="4">
        <v>2221</v>
      </c>
      <c r="B37" s="82" t="s">
        <v>60</v>
      </c>
      <c r="C37" s="82" t="s">
        <v>830</v>
      </c>
      <c r="D37" s="45">
        <f>ROUND((E37/19800),2)</f>
        <v>1.03</v>
      </c>
      <c r="E37" s="45">
        <f>ROUND((48868*0.4169),2)</f>
        <v>20373.07</v>
      </c>
    </row>
    <row r="38" spans="1:5" ht="31.5" x14ac:dyDescent="0.25">
      <c r="A38" s="4">
        <v>2222</v>
      </c>
      <c r="B38" s="5" t="s">
        <v>61</v>
      </c>
      <c r="C38" s="5" t="s">
        <v>831</v>
      </c>
      <c r="D38" s="45">
        <f>ROUND((E38/19800),2)</f>
        <v>1.1000000000000001</v>
      </c>
      <c r="E38" s="45">
        <f>ROUND((52111.24*0.4169),2)</f>
        <v>21725.18</v>
      </c>
    </row>
    <row r="39" spans="1:5" ht="78.75" customHeight="1" x14ac:dyDescent="0.25">
      <c r="A39" s="4">
        <v>2224</v>
      </c>
      <c r="B39" s="82" t="s">
        <v>62</v>
      </c>
      <c r="C39" s="82" t="s">
        <v>1335</v>
      </c>
      <c r="D39" s="45">
        <f t="shared" ref="D39:D47" si="2">ROUND((E39/19800),2)</f>
        <v>0.5</v>
      </c>
      <c r="E39" s="45">
        <f>ROUND((23680.95*0.4169),2)</f>
        <v>9872.59</v>
      </c>
    </row>
    <row r="40" spans="1:5" ht="31.5" x14ac:dyDescent="0.25">
      <c r="A40" s="4">
        <v>2232</v>
      </c>
      <c r="B40" s="89" t="s">
        <v>45</v>
      </c>
      <c r="C40" s="90" t="s">
        <v>832</v>
      </c>
      <c r="D40" s="45">
        <f t="shared" si="2"/>
        <v>0.01</v>
      </c>
      <c r="E40" s="45">
        <f>ROUND((464.98*0.4169),2)</f>
        <v>193.85</v>
      </c>
    </row>
    <row r="41" spans="1:5" ht="78.75" customHeight="1" x14ac:dyDescent="0.25">
      <c r="A41" s="4">
        <v>2243</v>
      </c>
      <c r="B41" s="90" t="s">
        <v>21</v>
      </c>
      <c r="C41" s="90" t="s">
        <v>833</v>
      </c>
      <c r="D41" s="45">
        <f t="shared" si="2"/>
        <v>0.04</v>
      </c>
      <c r="E41" s="169">
        <f>ROUND((1715.08*0.4169),2)</f>
        <v>715.02</v>
      </c>
    </row>
    <row r="42" spans="1:5" ht="48.75" customHeight="1" x14ac:dyDescent="0.25">
      <c r="A42" s="4">
        <v>2244</v>
      </c>
      <c r="B42" s="82" t="s">
        <v>22</v>
      </c>
      <c r="C42" s="82" t="s">
        <v>834</v>
      </c>
      <c r="D42" s="45">
        <f t="shared" si="2"/>
        <v>2.81</v>
      </c>
      <c r="E42" s="45">
        <f>ROUND((133418.65*0.4169),2)</f>
        <v>55622.239999999998</v>
      </c>
    </row>
    <row r="43" spans="1:5" ht="30.75" customHeight="1" x14ac:dyDescent="0.25">
      <c r="A43" s="4">
        <v>2249</v>
      </c>
      <c r="B43" s="82" t="s">
        <v>50</v>
      </c>
      <c r="C43" s="82" t="s">
        <v>835</v>
      </c>
      <c r="D43" s="45">
        <f t="shared" si="2"/>
        <v>0.03</v>
      </c>
      <c r="E43" s="45">
        <f>ROUND((1602.25*0.4169),2)</f>
        <v>667.98</v>
      </c>
    </row>
    <row r="44" spans="1:5" ht="32.25" customHeight="1" x14ac:dyDescent="0.25">
      <c r="A44" s="4">
        <v>2264</v>
      </c>
      <c r="B44" s="82" t="s">
        <v>58</v>
      </c>
      <c r="C44" s="82" t="s">
        <v>836</v>
      </c>
      <c r="D44" s="45">
        <f t="shared" si="2"/>
        <v>0</v>
      </c>
      <c r="E44" s="45">
        <f>ROUND((121*0.4169),2)</f>
        <v>50.44</v>
      </c>
    </row>
    <row r="45" spans="1:5" ht="32.25" customHeight="1" x14ac:dyDescent="0.25">
      <c r="A45" s="4">
        <v>2312</v>
      </c>
      <c r="B45" s="4" t="s">
        <v>13</v>
      </c>
      <c r="C45" s="82" t="s">
        <v>837</v>
      </c>
      <c r="D45" s="45">
        <f t="shared" si="2"/>
        <v>0.01</v>
      </c>
      <c r="E45" s="45">
        <f>ROUND((607.49*0.4169),2)</f>
        <v>253.26</v>
      </c>
    </row>
    <row r="46" spans="1:5" ht="61.5" customHeight="1" x14ac:dyDescent="0.25">
      <c r="A46" s="4">
        <v>2350</v>
      </c>
      <c r="B46" s="5" t="s">
        <v>236</v>
      </c>
      <c r="C46" s="82" t="s">
        <v>838</v>
      </c>
      <c r="D46" s="45">
        <f t="shared" si="2"/>
        <v>0.02</v>
      </c>
      <c r="E46" s="114">
        <f>ROUND((905.02*0.4169),2)</f>
        <v>377.3</v>
      </c>
    </row>
    <row r="47" spans="1:5" ht="30.75" customHeight="1" x14ac:dyDescent="0.25">
      <c r="A47" s="4">
        <v>2513</v>
      </c>
      <c r="B47" s="5" t="s">
        <v>63</v>
      </c>
      <c r="C47" s="82" t="s">
        <v>1336</v>
      </c>
      <c r="D47" s="45">
        <f t="shared" si="2"/>
        <v>0.22</v>
      </c>
      <c r="E47" s="45">
        <f>ROUND((10541.01*0.4169),2)</f>
        <v>4394.55</v>
      </c>
    </row>
    <row r="48" spans="1:5" ht="15.75" x14ac:dyDescent="0.25">
      <c r="A48" s="10">
        <v>5000</v>
      </c>
      <c r="B48" s="9" t="s">
        <v>17</v>
      </c>
      <c r="C48" s="79"/>
      <c r="D48" s="44">
        <f>SUM(D49:D51)</f>
        <v>0.24000000000000002</v>
      </c>
      <c r="E48" s="44">
        <f>SUM(E49:E51)</f>
        <v>4793.2099999999991</v>
      </c>
    </row>
    <row r="49" spans="1:5" ht="30" customHeight="1" x14ac:dyDescent="0.25">
      <c r="A49" s="4">
        <v>5212</v>
      </c>
      <c r="B49" s="5" t="s">
        <v>31</v>
      </c>
      <c r="C49" s="82" t="s">
        <v>828</v>
      </c>
      <c r="D49" s="45">
        <f>ROUND((E49/19800),2)</f>
        <v>0.14000000000000001</v>
      </c>
      <c r="E49" s="45">
        <f>ROUND((6565.16*0.4169),2)</f>
        <v>2737.02</v>
      </c>
    </row>
    <row r="50" spans="1:5" ht="33" customHeight="1" x14ac:dyDescent="0.25">
      <c r="A50" s="4">
        <v>5213</v>
      </c>
      <c r="B50" s="5" t="s">
        <v>32</v>
      </c>
      <c r="C50" s="82" t="s">
        <v>829</v>
      </c>
      <c r="D50" s="45">
        <f>ROUND((E50/19800),2)</f>
        <v>0.09</v>
      </c>
      <c r="E50" s="45">
        <f>ROUND((4439.23*0.4169),2)</f>
        <v>1850.71</v>
      </c>
    </row>
    <row r="51" spans="1:5" ht="47.25" x14ac:dyDescent="0.25">
      <c r="A51" s="19">
        <v>5239</v>
      </c>
      <c r="B51" s="82" t="s">
        <v>18</v>
      </c>
      <c r="C51" s="82" t="s">
        <v>827</v>
      </c>
      <c r="D51" s="45">
        <f>ROUND((E51/19800),2)</f>
        <v>0.01</v>
      </c>
      <c r="E51" s="45">
        <f>ROUND((492.88*0.4169),2)</f>
        <v>205.48</v>
      </c>
    </row>
    <row r="52" spans="1:5" ht="15.75" x14ac:dyDescent="0.25">
      <c r="A52" s="171"/>
      <c r="B52" s="9" t="s">
        <v>23</v>
      </c>
      <c r="C52" s="79"/>
      <c r="D52" s="44">
        <f>SUM(D23+D36+D48)</f>
        <v>6.39</v>
      </c>
      <c r="E52" s="41">
        <f>SUM(E23+E36+E48)</f>
        <v>126402.84999999998</v>
      </c>
    </row>
    <row r="53" spans="1:5" ht="31.5" x14ac:dyDescent="0.25">
      <c r="A53" s="6"/>
      <c r="B53" s="11" t="s">
        <v>24</v>
      </c>
      <c r="C53" s="79"/>
      <c r="D53" s="93">
        <f>D21+D52</f>
        <v>6.88</v>
      </c>
      <c r="E53" s="42">
        <f>E21+E52</f>
        <v>136242.97999999998</v>
      </c>
    </row>
    <row r="54" spans="1:5" ht="15.75" x14ac:dyDescent="0.25">
      <c r="A54" s="351" t="s">
        <v>213</v>
      </c>
      <c r="B54" s="351"/>
      <c r="C54" s="351"/>
      <c r="D54" s="196">
        <f>66*3*100</f>
        <v>19800</v>
      </c>
      <c r="E54" s="211" t="s">
        <v>75</v>
      </c>
    </row>
    <row r="55" spans="1:5" ht="44.1" customHeight="1" x14ac:dyDescent="0.25">
      <c r="A55" s="351" t="s">
        <v>823</v>
      </c>
      <c r="B55" s="351"/>
      <c r="C55" s="351"/>
      <c r="D55" s="192">
        <f>ROUND((E53/D54),2)</f>
        <v>6.88</v>
      </c>
      <c r="E55" s="205" t="s">
        <v>826</v>
      </c>
    </row>
    <row r="56" spans="1:5" ht="15.75" x14ac:dyDescent="0.25">
      <c r="A56" s="193"/>
      <c r="B56" s="194"/>
      <c r="C56" s="194"/>
      <c r="D56" s="206"/>
      <c r="E56" s="212"/>
    </row>
    <row r="57" spans="1:5" ht="15.75" x14ac:dyDescent="0.25">
      <c r="A57" s="351" t="s">
        <v>214</v>
      </c>
      <c r="B57" s="351"/>
      <c r="C57" s="351"/>
      <c r="D57" s="196">
        <f>66*3*10</f>
        <v>1980</v>
      </c>
      <c r="E57" s="8" t="s">
        <v>77</v>
      </c>
    </row>
    <row r="58" spans="1:5" ht="30" customHeight="1" x14ac:dyDescent="0.25">
      <c r="A58" s="365" t="s">
        <v>820</v>
      </c>
      <c r="B58" s="365"/>
      <c r="C58" s="365"/>
      <c r="D58" s="192">
        <f>ROUND((E53/D57),2)</f>
        <v>68.81</v>
      </c>
      <c r="E58" s="213" t="s">
        <v>825</v>
      </c>
    </row>
  </sheetData>
  <mergeCells count="9">
    <mergeCell ref="A55:C55"/>
    <mergeCell ref="A57:C57"/>
    <mergeCell ref="A58:C58"/>
    <mergeCell ref="A2:C2"/>
    <mergeCell ref="A3:E3"/>
    <mergeCell ref="A4:B4"/>
    <mergeCell ref="A26:A34"/>
    <mergeCell ref="B26:B34"/>
    <mergeCell ref="A54:C54"/>
  </mergeCells>
  <pageMargins left="0.7" right="0.7" top="0.75" bottom="0.75" header="0.3" footer="0.3"/>
  <pageSetup paperSize="9" orientation="landscape" r:id="rId1"/>
  <rowBreaks count="1" manualBreakCount="1">
    <brk id="50" max="16383" man="1"/>
  </rowBreaks>
  <ignoredErrors>
    <ignoredError sqref="D16" formula="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356C4-40C2-4BBD-8A57-FD2CE846D924}">
  <dimension ref="A1:I58"/>
  <sheetViews>
    <sheetView topLeftCell="A43" zoomScaleNormal="100" workbookViewId="0">
      <selection activeCell="A2" sqref="A2:C2"/>
    </sheetView>
  </sheetViews>
  <sheetFormatPr defaultRowHeight="15" x14ac:dyDescent="0.25"/>
  <cols>
    <col min="1" max="1" width="11.5703125" customWidth="1"/>
    <col min="2" max="2" width="27.28515625" customWidth="1"/>
    <col min="3" max="3" width="64.42578125" customWidth="1"/>
    <col min="4" max="4" width="10.140625" style="14" customWidth="1"/>
    <col min="5" max="5" width="17.5703125" style="14" customWidth="1"/>
  </cols>
  <sheetData>
    <row r="1" spans="1:5" ht="18.75" x14ac:dyDescent="0.3">
      <c r="A1" s="158" t="s">
        <v>51</v>
      </c>
    </row>
    <row r="2" spans="1:5" ht="18.75" x14ac:dyDescent="0.3">
      <c r="A2" s="358" t="s">
        <v>1584</v>
      </c>
      <c r="B2" s="358"/>
      <c r="C2" s="358"/>
    </row>
    <row r="3" spans="1:5" ht="18.75" x14ac:dyDescent="0.25">
      <c r="A3" s="352" t="s">
        <v>194</v>
      </c>
      <c r="B3" s="352"/>
      <c r="C3" s="352"/>
      <c r="D3" s="352"/>
      <c r="E3" s="352"/>
    </row>
    <row r="4" spans="1:5" ht="15.75" x14ac:dyDescent="0.25">
      <c r="A4" s="359" t="s">
        <v>74</v>
      </c>
      <c r="B4" s="359"/>
    </row>
    <row r="6" spans="1:5" ht="78.75" x14ac:dyDescent="0.25">
      <c r="A6" s="149" t="s">
        <v>0</v>
      </c>
      <c r="B6" s="149" t="s">
        <v>1</v>
      </c>
      <c r="C6" s="149" t="s">
        <v>2</v>
      </c>
      <c r="D6" s="168" t="s">
        <v>26</v>
      </c>
      <c r="E6" s="91" t="s">
        <v>27</v>
      </c>
    </row>
    <row r="7" spans="1:5" ht="15.75" x14ac:dyDescent="0.25">
      <c r="A7" s="79">
        <v>1</v>
      </c>
      <c r="B7" s="79">
        <v>2</v>
      </c>
      <c r="C7" s="79">
        <v>3</v>
      </c>
      <c r="D7" s="45">
        <v>4</v>
      </c>
      <c r="E7" s="45">
        <v>5</v>
      </c>
    </row>
    <row r="8" spans="1:5" ht="15.75" x14ac:dyDescent="0.25">
      <c r="A8" s="4"/>
      <c r="B8" s="7" t="s">
        <v>7</v>
      </c>
      <c r="C8" s="79" t="s">
        <v>8</v>
      </c>
      <c r="D8" s="43"/>
      <c r="E8" s="43"/>
    </row>
    <row r="9" spans="1:5" ht="15.75" x14ac:dyDescent="0.25">
      <c r="A9" s="8">
        <v>1000</v>
      </c>
      <c r="B9" s="7" t="s">
        <v>9</v>
      </c>
      <c r="C9" s="284"/>
      <c r="D9" s="44">
        <f>D10+D16</f>
        <v>0.42000000000000004</v>
      </c>
      <c r="E9" s="44">
        <f>E10+E16</f>
        <v>1087.3900000000001</v>
      </c>
    </row>
    <row r="10" spans="1:5" ht="15.75" x14ac:dyDescent="0.25">
      <c r="A10" s="280">
        <v>1100</v>
      </c>
      <c r="B10" s="280" t="s">
        <v>10</v>
      </c>
      <c r="C10" s="284"/>
      <c r="D10" s="44">
        <f>SUM(D12:D15)</f>
        <v>0.32000000000000006</v>
      </c>
      <c r="E10" s="44">
        <f>SUM(E12:E15)</f>
        <v>848.62</v>
      </c>
    </row>
    <row r="11" spans="1:5" ht="15.75" x14ac:dyDescent="0.25">
      <c r="A11" s="16">
        <v>1110</v>
      </c>
      <c r="B11" s="16" t="s">
        <v>240</v>
      </c>
      <c r="C11" s="300" t="s">
        <v>241</v>
      </c>
      <c r="D11" s="114">
        <f>SUM(D12:D14)</f>
        <v>0.29000000000000004</v>
      </c>
      <c r="E11" s="114">
        <f>SUM(E12:E14)</f>
        <v>771.48</v>
      </c>
    </row>
    <row r="12" spans="1:5" ht="78.75" x14ac:dyDescent="0.25">
      <c r="A12" s="136"/>
      <c r="B12" s="139"/>
      <c r="C12" s="132" t="s">
        <v>888</v>
      </c>
      <c r="D12" s="114">
        <f>ROUND((E12/2600),2)</f>
        <v>0.01</v>
      </c>
      <c r="E12" s="114">
        <f>ROUND((50.96*12*0.05073),2)</f>
        <v>31.02</v>
      </c>
    </row>
    <row r="13" spans="1:5" ht="78" customHeight="1" x14ac:dyDescent="0.25">
      <c r="A13" s="153"/>
      <c r="B13" s="154"/>
      <c r="C13" s="132" t="s">
        <v>871</v>
      </c>
      <c r="D13" s="114">
        <f>ROUND((E13/2600),2)</f>
        <v>0.27</v>
      </c>
      <c r="E13" s="114">
        <f>ROUND((1160.28*12*0.05073),2)</f>
        <v>706.33</v>
      </c>
    </row>
    <row r="14" spans="1:5" ht="78.75" x14ac:dyDescent="0.25">
      <c r="A14" s="138"/>
      <c r="B14" s="141"/>
      <c r="C14" s="132" t="s">
        <v>872</v>
      </c>
      <c r="D14" s="114">
        <f>ROUND((E14/2600),2)</f>
        <v>0.01</v>
      </c>
      <c r="E14" s="114">
        <f>ROUND((56.06*12*0.05073),2)</f>
        <v>34.130000000000003</v>
      </c>
    </row>
    <row r="15" spans="1:5" ht="63" x14ac:dyDescent="0.25">
      <c r="A15" s="131">
        <v>1140</v>
      </c>
      <c r="B15" s="5" t="s">
        <v>237</v>
      </c>
      <c r="C15" s="152" t="s">
        <v>1337</v>
      </c>
      <c r="D15" s="114">
        <f>ROUND((E15/2600),2)</f>
        <v>0.03</v>
      </c>
      <c r="E15" s="114">
        <f>ROUND((31.02*0.1+706.33*0.1+34.13*0.1-0.01),2)</f>
        <v>77.14</v>
      </c>
    </row>
    <row r="16" spans="1:5" ht="63" customHeight="1" x14ac:dyDescent="0.25">
      <c r="A16" s="7">
        <v>1200</v>
      </c>
      <c r="B16" s="301" t="s">
        <v>11</v>
      </c>
      <c r="C16" s="176" t="s">
        <v>1340</v>
      </c>
      <c r="D16" s="92">
        <f>ROUND((D17+D18),2)</f>
        <v>0.1</v>
      </c>
      <c r="E16" s="92">
        <f>ROUND((E17+E18),2)</f>
        <v>238.77</v>
      </c>
    </row>
    <row r="17" spans="1:9" ht="47.25" x14ac:dyDescent="0.25">
      <c r="A17" s="4">
        <v>1210</v>
      </c>
      <c r="B17" s="5" t="s">
        <v>239</v>
      </c>
      <c r="C17" s="176" t="s">
        <v>1338</v>
      </c>
      <c r="D17" s="114">
        <f t="shared" ref="D17" si="0">ROUND((E17/2600),2)</f>
        <v>0.08</v>
      </c>
      <c r="E17" s="45">
        <f>ROUND((848.62*0.2359),2)</f>
        <v>200.19</v>
      </c>
    </row>
    <row r="18" spans="1:9" ht="63" x14ac:dyDescent="0.25">
      <c r="A18" s="4">
        <v>1227</v>
      </c>
      <c r="B18" s="5" t="s">
        <v>238</v>
      </c>
      <c r="C18" s="152" t="s">
        <v>1564</v>
      </c>
      <c r="D18" s="114">
        <f>ROUND((E18/2600+0.01),2)</f>
        <v>0.02</v>
      </c>
      <c r="E18" s="114">
        <f>ROUND((31.02*0.05+706.33*0.05+34.13*0.05+0.01),2)</f>
        <v>38.58</v>
      </c>
      <c r="I18" s="51"/>
    </row>
    <row r="19" spans="1:9" ht="15.75" x14ac:dyDescent="0.25">
      <c r="A19" s="8">
        <v>2000</v>
      </c>
      <c r="B19" s="7" t="s">
        <v>12</v>
      </c>
      <c r="C19" s="176"/>
      <c r="D19" s="92">
        <f>SUM(D20)</f>
        <v>0.04</v>
      </c>
      <c r="E19" s="92">
        <f>SUM(E20)</f>
        <v>109.99</v>
      </c>
      <c r="I19" s="51"/>
    </row>
    <row r="20" spans="1:9" ht="47.25" x14ac:dyDescent="0.25">
      <c r="A20" s="4">
        <v>2249</v>
      </c>
      <c r="B20" s="5" t="s">
        <v>50</v>
      </c>
      <c r="C20" s="82" t="s">
        <v>1339</v>
      </c>
      <c r="D20" s="114">
        <f>ROUND((E20/2600),2)</f>
        <v>0.04</v>
      </c>
      <c r="E20" s="114">
        <f>ROUND((2168.13*0.05073),2)</f>
        <v>109.99</v>
      </c>
      <c r="I20" s="51"/>
    </row>
    <row r="21" spans="1:9" ht="15.75" x14ac:dyDescent="0.25">
      <c r="A21" s="4"/>
      <c r="B21" s="9" t="s">
        <v>14</v>
      </c>
      <c r="C21" s="80" t="s">
        <v>16</v>
      </c>
      <c r="D21" s="44">
        <f>D9+D19</f>
        <v>0.46</v>
      </c>
      <c r="E21" s="44">
        <f>E9+E19</f>
        <v>1197.3800000000001</v>
      </c>
      <c r="I21" s="51"/>
    </row>
    <row r="22" spans="1:9" ht="15.75" x14ac:dyDescent="0.25">
      <c r="A22" s="4"/>
      <c r="B22" s="9" t="s">
        <v>15</v>
      </c>
      <c r="C22" s="79" t="s">
        <v>8</v>
      </c>
      <c r="D22" s="43"/>
      <c r="E22" s="43"/>
      <c r="I22" s="51"/>
    </row>
    <row r="23" spans="1:9" ht="15.75" x14ac:dyDescent="0.25">
      <c r="A23" s="8">
        <v>1000</v>
      </c>
      <c r="B23" s="7" t="s">
        <v>9</v>
      </c>
      <c r="C23" s="79"/>
      <c r="D23" s="92">
        <f>SUM(D24+D35)</f>
        <v>0.35000000000000003</v>
      </c>
      <c r="E23" s="92">
        <f>SUM(E24+E35)</f>
        <v>896.13000000000011</v>
      </c>
      <c r="I23" s="51"/>
    </row>
    <row r="24" spans="1:9" ht="15.75" x14ac:dyDescent="0.25">
      <c r="A24" s="4">
        <v>1100</v>
      </c>
      <c r="B24" s="4" t="s">
        <v>10</v>
      </c>
      <c r="C24" s="147" t="s">
        <v>267</v>
      </c>
      <c r="D24" s="92">
        <f>SUM(D25:D34)</f>
        <v>0.28000000000000003</v>
      </c>
      <c r="E24" s="92">
        <f>SUM(E25:E34)</f>
        <v>725.08</v>
      </c>
      <c r="I24" s="51"/>
    </row>
    <row r="25" spans="1:9" ht="78" customHeight="1" x14ac:dyDescent="0.25">
      <c r="A25" s="237"/>
      <c r="B25" s="238"/>
      <c r="C25" s="132" t="s">
        <v>873</v>
      </c>
      <c r="D25" s="45">
        <f>ROUND((E25/2600),2)</f>
        <v>0.01</v>
      </c>
      <c r="E25" s="45">
        <f>ROUND((21.47*12*0.05073),2)</f>
        <v>13.07</v>
      </c>
      <c r="I25" s="51"/>
    </row>
    <row r="26" spans="1:9" ht="78.75" x14ac:dyDescent="0.25">
      <c r="A26" s="355"/>
      <c r="B26" s="353"/>
      <c r="C26" s="132" t="s">
        <v>874</v>
      </c>
      <c r="D26" s="45">
        <f t="shared" ref="D26:D34" si="1">ROUND((E26/2600),2)</f>
        <v>0</v>
      </c>
      <c r="E26" s="45">
        <f>ROUND((14.17*12*0.05073),2)</f>
        <v>8.6300000000000008</v>
      </c>
      <c r="I26" s="51"/>
    </row>
    <row r="27" spans="1:9" ht="78.75" x14ac:dyDescent="0.25">
      <c r="A27" s="355"/>
      <c r="B27" s="353"/>
      <c r="C27" s="132" t="s">
        <v>875</v>
      </c>
      <c r="D27" s="45">
        <f t="shared" si="1"/>
        <v>0</v>
      </c>
      <c r="E27" s="45">
        <f>ROUND((20.53*12*0.05073),2)</f>
        <v>12.5</v>
      </c>
      <c r="I27" s="51"/>
    </row>
    <row r="28" spans="1:9" ht="78.75" x14ac:dyDescent="0.25">
      <c r="A28" s="355"/>
      <c r="B28" s="353"/>
      <c r="C28" s="132" t="s">
        <v>876</v>
      </c>
      <c r="D28" s="45">
        <f t="shared" si="1"/>
        <v>0.01</v>
      </c>
      <c r="E28" s="45">
        <f>ROUND((30.96*12*0.05073),2)</f>
        <v>18.850000000000001</v>
      </c>
      <c r="I28" s="51"/>
    </row>
    <row r="29" spans="1:9" ht="77.25" customHeight="1" x14ac:dyDescent="0.25">
      <c r="A29" s="355"/>
      <c r="B29" s="353"/>
      <c r="C29" s="132" t="s">
        <v>877</v>
      </c>
      <c r="D29" s="45">
        <f>ROUND((E29/2600)+0.01,2)</f>
        <v>0.01</v>
      </c>
      <c r="E29" s="45">
        <f>ROUND((20.04*12*0.05073),2)</f>
        <v>12.2</v>
      </c>
      <c r="I29" s="51"/>
    </row>
    <row r="30" spans="1:9" ht="78.75" x14ac:dyDescent="0.25">
      <c r="A30" s="355"/>
      <c r="B30" s="353"/>
      <c r="C30" s="132" t="s">
        <v>878</v>
      </c>
      <c r="D30" s="45">
        <f t="shared" si="1"/>
        <v>0.02</v>
      </c>
      <c r="E30" s="45">
        <f>ROUND((75.87*12*0.05073),2)</f>
        <v>46.19</v>
      </c>
      <c r="I30" s="51"/>
    </row>
    <row r="31" spans="1:9" ht="78.75" x14ac:dyDescent="0.25">
      <c r="A31" s="355"/>
      <c r="B31" s="353"/>
      <c r="C31" s="132" t="s">
        <v>879</v>
      </c>
      <c r="D31" s="45">
        <f t="shared" si="1"/>
        <v>7.0000000000000007E-2</v>
      </c>
      <c r="E31" s="45">
        <f>ROUND((306*12*0.05073),2)</f>
        <v>186.28</v>
      </c>
      <c r="I31" s="51"/>
    </row>
    <row r="32" spans="1:9" ht="78.75" x14ac:dyDescent="0.25">
      <c r="A32" s="355"/>
      <c r="B32" s="353"/>
      <c r="C32" s="132" t="s">
        <v>880</v>
      </c>
      <c r="D32" s="45">
        <f t="shared" si="1"/>
        <v>0.11</v>
      </c>
      <c r="E32" s="45">
        <f>ROUND((482.27*12*0.05073),2)</f>
        <v>293.58999999999997</v>
      </c>
      <c r="I32" s="51"/>
    </row>
    <row r="33" spans="1:9" ht="94.5" x14ac:dyDescent="0.25">
      <c r="A33" s="355"/>
      <c r="B33" s="353"/>
      <c r="C33" s="132" t="s">
        <v>881</v>
      </c>
      <c r="D33" s="45">
        <f t="shared" si="1"/>
        <v>0.04</v>
      </c>
      <c r="E33" s="45">
        <f>ROUND((175.25*12*0.05073),2)</f>
        <v>106.69</v>
      </c>
      <c r="I33" s="51"/>
    </row>
    <row r="34" spans="1:9" ht="78.75" x14ac:dyDescent="0.25">
      <c r="A34" s="356"/>
      <c r="B34" s="354"/>
      <c r="C34" s="81" t="s">
        <v>882</v>
      </c>
      <c r="D34" s="45">
        <f t="shared" si="1"/>
        <v>0.01</v>
      </c>
      <c r="E34" s="45">
        <f>ROUND((44.48*12*0.05073),2)</f>
        <v>27.08</v>
      </c>
      <c r="I34" s="51"/>
    </row>
    <row r="35" spans="1:9" ht="64.5" customHeight="1" x14ac:dyDescent="0.25">
      <c r="A35" s="7">
        <v>1200</v>
      </c>
      <c r="B35" s="166" t="s">
        <v>11</v>
      </c>
      <c r="C35" s="82" t="s">
        <v>883</v>
      </c>
      <c r="D35" s="92">
        <f>ROUND((E35/2600),2)</f>
        <v>7.0000000000000007E-2</v>
      </c>
      <c r="E35" s="92">
        <f>ROUND((725.08*0.2359),2)</f>
        <v>171.05</v>
      </c>
      <c r="I35" s="51"/>
    </row>
    <row r="36" spans="1:9" ht="15.75" x14ac:dyDescent="0.25">
      <c r="A36" s="8">
        <v>2000</v>
      </c>
      <c r="B36" s="7" t="s">
        <v>12</v>
      </c>
      <c r="C36" s="79"/>
      <c r="D36" s="44">
        <f>SUM(D37:D47)</f>
        <v>5.34</v>
      </c>
      <c r="E36" s="44">
        <f>SUM(E37:E47)</f>
        <v>13901.83</v>
      </c>
      <c r="I36" s="51"/>
    </row>
    <row r="37" spans="1:9" ht="33" customHeight="1" x14ac:dyDescent="0.25">
      <c r="A37" s="4">
        <v>2221</v>
      </c>
      <c r="B37" s="82" t="s">
        <v>60</v>
      </c>
      <c r="C37" s="82" t="s">
        <v>870</v>
      </c>
      <c r="D37" s="45">
        <f>ROUND((E37/2600),2)</f>
        <v>0.95</v>
      </c>
      <c r="E37" s="45">
        <f>ROUND((48868*0.05073),2)</f>
        <v>2479.0700000000002</v>
      </c>
      <c r="I37" s="51"/>
    </row>
    <row r="38" spans="1:9" ht="31.5" x14ac:dyDescent="0.25">
      <c r="A38" s="4">
        <v>2222</v>
      </c>
      <c r="B38" s="5" t="s">
        <v>61</v>
      </c>
      <c r="C38" s="5" t="s">
        <v>869</v>
      </c>
      <c r="D38" s="45">
        <f t="shared" ref="D38:D46" si="2">ROUND((E38/2600),2)</f>
        <v>1.02</v>
      </c>
      <c r="E38" s="45">
        <f>ROUND((52111.24*0.05073),2)</f>
        <v>2643.6</v>
      </c>
      <c r="I38" s="51"/>
    </row>
    <row r="39" spans="1:9" ht="78" customHeight="1" x14ac:dyDescent="0.25">
      <c r="A39" s="4">
        <v>2224</v>
      </c>
      <c r="B39" s="82" t="s">
        <v>62</v>
      </c>
      <c r="C39" s="82" t="s">
        <v>868</v>
      </c>
      <c r="D39" s="45">
        <f t="shared" si="2"/>
        <v>0.46</v>
      </c>
      <c r="E39" s="45">
        <f>ROUND((23680.95*0.05073),2)</f>
        <v>1201.33</v>
      </c>
      <c r="I39" s="51"/>
    </row>
    <row r="40" spans="1:9" ht="31.5" x14ac:dyDescent="0.25">
      <c r="A40" s="4">
        <v>2232</v>
      </c>
      <c r="B40" s="89" t="s">
        <v>45</v>
      </c>
      <c r="C40" s="90" t="s">
        <v>867</v>
      </c>
      <c r="D40" s="45">
        <f t="shared" si="2"/>
        <v>0.01</v>
      </c>
      <c r="E40" s="45">
        <f>ROUND((464.98*0.05073),2)</f>
        <v>23.59</v>
      </c>
      <c r="I40" s="51"/>
    </row>
    <row r="41" spans="1:9" ht="78.75" customHeight="1" x14ac:dyDescent="0.25">
      <c r="A41" s="4">
        <v>2243</v>
      </c>
      <c r="B41" s="90" t="s">
        <v>21</v>
      </c>
      <c r="C41" s="90" t="s">
        <v>866</v>
      </c>
      <c r="D41" s="45">
        <f t="shared" si="2"/>
        <v>0.03</v>
      </c>
      <c r="E41" s="169">
        <f>ROUND((1715.08*0.05073),2)</f>
        <v>87.01</v>
      </c>
      <c r="I41" s="51"/>
    </row>
    <row r="42" spans="1:9" ht="48" customHeight="1" x14ac:dyDescent="0.25">
      <c r="A42" s="4">
        <v>2244</v>
      </c>
      <c r="B42" s="82" t="s">
        <v>22</v>
      </c>
      <c r="C42" s="82" t="s">
        <v>865</v>
      </c>
      <c r="D42" s="45">
        <f t="shared" si="2"/>
        <v>2.6</v>
      </c>
      <c r="E42" s="45">
        <f>ROUND((133418.65*0.05073),2)</f>
        <v>6768.33</v>
      </c>
      <c r="I42" s="51"/>
    </row>
    <row r="43" spans="1:9" ht="30" customHeight="1" x14ac:dyDescent="0.25">
      <c r="A43" s="4">
        <v>2249</v>
      </c>
      <c r="B43" s="82" t="s">
        <v>50</v>
      </c>
      <c r="C43" s="82" t="s">
        <v>864</v>
      </c>
      <c r="D43" s="45">
        <f t="shared" si="2"/>
        <v>0.03</v>
      </c>
      <c r="E43" s="45">
        <f>ROUND((1602.25*0.05073),2)</f>
        <v>81.28</v>
      </c>
      <c r="I43" s="51"/>
    </row>
    <row r="44" spans="1:9" ht="31.5" customHeight="1" x14ac:dyDescent="0.25">
      <c r="A44" s="4">
        <v>2264</v>
      </c>
      <c r="B44" s="82" t="s">
        <v>58</v>
      </c>
      <c r="C44" s="82" t="s">
        <v>863</v>
      </c>
      <c r="D44" s="45">
        <f t="shared" si="2"/>
        <v>0</v>
      </c>
      <c r="E44" s="45">
        <f>ROUND((121*0.05073),2)</f>
        <v>6.14</v>
      </c>
      <c r="I44" s="51"/>
    </row>
    <row r="45" spans="1:9" ht="32.25" customHeight="1" x14ac:dyDescent="0.25">
      <c r="A45" s="4">
        <v>2312</v>
      </c>
      <c r="B45" s="4" t="s">
        <v>13</v>
      </c>
      <c r="C45" s="120" t="s">
        <v>862</v>
      </c>
      <c r="D45" s="45">
        <f t="shared" si="2"/>
        <v>0.01</v>
      </c>
      <c r="E45" s="45">
        <f>ROUND((607.49*0.05073),2)</f>
        <v>30.82</v>
      </c>
      <c r="I45" s="51"/>
    </row>
    <row r="46" spans="1:9" ht="61.5" customHeight="1" x14ac:dyDescent="0.25">
      <c r="A46" s="4">
        <v>2350</v>
      </c>
      <c r="B46" s="5" t="s">
        <v>236</v>
      </c>
      <c r="C46" s="82" t="s">
        <v>861</v>
      </c>
      <c r="D46" s="45">
        <f t="shared" si="2"/>
        <v>0.02</v>
      </c>
      <c r="E46" s="114">
        <f>ROUND((905.02*0.05073),2)</f>
        <v>45.91</v>
      </c>
      <c r="I46" s="51"/>
    </row>
    <row r="47" spans="1:9" ht="31.5" customHeight="1" x14ac:dyDescent="0.25">
      <c r="A47" s="4">
        <v>2513</v>
      </c>
      <c r="B47" s="5" t="s">
        <v>63</v>
      </c>
      <c r="C47" s="82" t="s">
        <v>860</v>
      </c>
      <c r="D47" s="45">
        <f>ROUND((E47/2600),2)</f>
        <v>0.21</v>
      </c>
      <c r="E47" s="45">
        <f>ROUND((10541.01*0.05073),2)</f>
        <v>534.75</v>
      </c>
      <c r="I47" s="51"/>
    </row>
    <row r="48" spans="1:9" ht="16.5" customHeight="1" x14ac:dyDescent="0.25">
      <c r="A48" s="10">
        <v>5000</v>
      </c>
      <c r="B48" s="166" t="s">
        <v>17</v>
      </c>
      <c r="C48" s="284"/>
      <c r="D48" s="41">
        <f>SUM(D49:D51)</f>
        <v>0.23</v>
      </c>
      <c r="E48" s="41">
        <f>SUM(E49:E51)</f>
        <v>583.25</v>
      </c>
      <c r="I48" s="51"/>
    </row>
    <row r="49" spans="1:9" ht="32.25" customHeight="1" x14ac:dyDescent="0.25">
      <c r="A49" s="4">
        <v>5212</v>
      </c>
      <c r="B49" s="5" t="s">
        <v>31</v>
      </c>
      <c r="C49" s="82" t="s">
        <v>859</v>
      </c>
      <c r="D49" s="45">
        <f>ROUND((E49/2600),2)</f>
        <v>0.13</v>
      </c>
      <c r="E49" s="45">
        <f>ROUND((6565.16*0.05073),2)</f>
        <v>333.05</v>
      </c>
      <c r="I49" s="51"/>
    </row>
    <row r="50" spans="1:9" ht="30.6" customHeight="1" x14ac:dyDescent="0.25">
      <c r="A50" s="4">
        <v>5213</v>
      </c>
      <c r="B50" s="5" t="s">
        <v>32</v>
      </c>
      <c r="C50" s="82" t="s">
        <v>858</v>
      </c>
      <c r="D50" s="45">
        <f t="shared" ref="D50:D51" si="3">ROUND((E50/2600),2)</f>
        <v>0.09</v>
      </c>
      <c r="E50" s="45">
        <f>ROUND((4439.23*0.05073),2)</f>
        <v>225.2</v>
      </c>
      <c r="I50" s="51"/>
    </row>
    <row r="51" spans="1:9" ht="47.25" x14ac:dyDescent="0.25">
      <c r="A51" s="19">
        <v>5239</v>
      </c>
      <c r="B51" s="82" t="s">
        <v>18</v>
      </c>
      <c r="C51" s="82" t="s">
        <v>884</v>
      </c>
      <c r="D51" s="45">
        <f t="shared" si="3"/>
        <v>0.01</v>
      </c>
      <c r="E51" s="45">
        <f>ROUND((492.88*0.05073),2)</f>
        <v>25</v>
      </c>
      <c r="I51" s="51"/>
    </row>
    <row r="52" spans="1:9" ht="17.25" customHeight="1" x14ac:dyDescent="0.25">
      <c r="A52" s="171"/>
      <c r="B52" s="9" t="s">
        <v>23</v>
      </c>
      <c r="C52" s="79"/>
      <c r="D52" s="44">
        <f>SUM(D23+D36+D48)</f>
        <v>5.92</v>
      </c>
      <c r="E52" s="41">
        <f>SUM(E23+E36+E48)</f>
        <v>15381.21</v>
      </c>
      <c r="I52" s="51"/>
    </row>
    <row r="53" spans="1:9" ht="31.5" x14ac:dyDescent="0.25">
      <c r="A53" s="6"/>
      <c r="B53" s="11" t="s">
        <v>24</v>
      </c>
      <c r="C53" s="79"/>
      <c r="D53" s="93">
        <f>D21+D52</f>
        <v>6.38</v>
      </c>
      <c r="E53" s="42">
        <f>E21+E52</f>
        <v>16578.59</v>
      </c>
      <c r="I53" s="51"/>
    </row>
    <row r="54" spans="1:9" ht="15.75" x14ac:dyDescent="0.25">
      <c r="A54" s="351" t="s">
        <v>231</v>
      </c>
      <c r="B54" s="351"/>
      <c r="C54" s="351"/>
      <c r="D54" s="196">
        <f>4*5*130</f>
        <v>2600</v>
      </c>
      <c r="E54" s="211" t="s">
        <v>75</v>
      </c>
    </row>
    <row r="55" spans="1:9" ht="30.6" customHeight="1" x14ac:dyDescent="0.25">
      <c r="A55" s="351" t="s">
        <v>823</v>
      </c>
      <c r="B55" s="351"/>
      <c r="C55" s="351"/>
      <c r="D55" s="192">
        <f>ROUND((E53/D54),2)</f>
        <v>6.38</v>
      </c>
      <c r="E55" s="205" t="s">
        <v>857</v>
      </c>
    </row>
    <row r="56" spans="1:9" ht="15.75" x14ac:dyDescent="0.25">
      <c r="A56" s="193"/>
      <c r="B56" s="194"/>
      <c r="C56" s="194"/>
      <c r="D56" s="195"/>
      <c r="E56" s="170"/>
    </row>
    <row r="57" spans="1:9" ht="15.75" x14ac:dyDescent="0.25">
      <c r="A57" s="351" t="s">
        <v>232</v>
      </c>
      <c r="B57" s="351"/>
      <c r="C57" s="351"/>
      <c r="D57" s="196">
        <f>4*5*10</f>
        <v>200</v>
      </c>
      <c r="E57" s="192" t="s">
        <v>77</v>
      </c>
    </row>
    <row r="58" spans="1:9" ht="30" customHeight="1" x14ac:dyDescent="0.25">
      <c r="A58" s="365" t="s">
        <v>820</v>
      </c>
      <c r="B58" s="365"/>
      <c r="C58" s="365"/>
      <c r="D58" s="192">
        <f>ROUND((E53/D57),2)</f>
        <v>82.89</v>
      </c>
      <c r="E58" s="205" t="s">
        <v>856</v>
      </c>
    </row>
  </sheetData>
  <mergeCells count="9">
    <mergeCell ref="A55:C55"/>
    <mergeCell ref="A57:C57"/>
    <mergeCell ref="A58:C58"/>
    <mergeCell ref="A2:C2"/>
    <mergeCell ref="A3:E3"/>
    <mergeCell ref="A4:B4"/>
    <mergeCell ref="A26:A34"/>
    <mergeCell ref="B26:B34"/>
    <mergeCell ref="A54:C54"/>
  </mergeCells>
  <pageMargins left="0.7" right="0.7" top="0.75" bottom="0.75" header="0.3" footer="0.3"/>
  <pageSetup paperSize="9" orientation="landscape" r:id="rId1"/>
  <rowBreaks count="1" manualBreakCount="1">
    <brk id="50" max="16383" man="1"/>
  </rowBreaks>
  <ignoredErrors>
    <ignoredError sqref="D16:E16 D19 D29" formula="1"/>
  </ignoredError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C965D-05D4-4492-9AD3-28A6553DDAF6}">
  <dimension ref="A1:E58"/>
  <sheetViews>
    <sheetView topLeftCell="A43" zoomScaleNormal="100" workbookViewId="0">
      <selection activeCell="H13" sqref="H13"/>
    </sheetView>
  </sheetViews>
  <sheetFormatPr defaultRowHeight="15" x14ac:dyDescent="0.25"/>
  <cols>
    <col min="1" max="1" width="12.42578125" customWidth="1"/>
    <col min="2" max="2" width="26.7109375" customWidth="1"/>
    <col min="3" max="3" width="65.42578125" customWidth="1"/>
    <col min="4" max="4" width="10.140625" style="14" customWidth="1"/>
    <col min="5" max="5" width="17.28515625" style="14" customWidth="1"/>
  </cols>
  <sheetData>
    <row r="1" spans="1:5" ht="18.75" x14ac:dyDescent="0.3">
      <c r="A1" s="158" t="s">
        <v>51</v>
      </c>
    </row>
    <row r="2" spans="1:5" ht="18.75" x14ac:dyDescent="0.3">
      <c r="A2" s="358" t="s">
        <v>1584</v>
      </c>
      <c r="B2" s="358"/>
      <c r="C2" s="358"/>
    </row>
    <row r="3" spans="1:5" ht="18.75" x14ac:dyDescent="0.25">
      <c r="A3" s="352" t="s">
        <v>1542</v>
      </c>
      <c r="B3" s="352"/>
      <c r="C3" s="352"/>
      <c r="D3" s="352"/>
      <c r="E3" s="352"/>
    </row>
    <row r="4" spans="1:5" ht="15.75" x14ac:dyDescent="0.25">
      <c r="A4" s="359" t="s">
        <v>74</v>
      </c>
      <c r="B4" s="359"/>
    </row>
    <row r="6" spans="1:5" ht="78" customHeight="1" x14ac:dyDescent="0.25">
      <c r="A6" s="149" t="s">
        <v>0</v>
      </c>
      <c r="B6" s="149" t="s">
        <v>1</v>
      </c>
      <c r="C6" s="149" t="s">
        <v>2</v>
      </c>
      <c r="D6" s="168" t="s">
        <v>26</v>
      </c>
      <c r="E6" s="168" t="s">
        <v>27</v>
      </c>
    </row>
    <row r="7" spans="1:5" ht="15.75" x14ac:dyDescent="0.25">
      <c r="A7" s="83">
        <v>1</v>
      </c>
      <c r="B7" s="83">
        <v>2</v>
      </c>
      <c r="C7" s="83">
        <v>3</v>
      </c>
      <c r="D7" s="253">
        <v>4</v>
      </c>
      <c r="E7" s="253">
        <v>5</v>
      </c>
    </row>
    <row r="8" spans="1:5" ht="15.75" x14ac:dyDescent="0.25">
      <c r="A8" s="4"/>
      <c r="B8" s="7" t="s">
        <v>7</v>
      </c>
      <c r="C8" s="83" t="s">
        <v>8</v>
      </c>
      <c r="D8" s="43"/>
      <c r="E8" s="43"/>
    </row>
    <row r="9" spans="1:5" ht="15.75" x14ac:dyDescent="0.25">
      <c r="A9" s="8">
        <v>1000</v>
      </c>
      <c r="B9" s="7" t="s">
        <v>9</v>
      </c>
      <c r="C9" s="284"/>
      <c r="D9" s="44">
        <f>D10+D16</f>
        <v>1.32</v>
      </c>
      <c r="E9" s="44">
        <f>E10+E16</f>
        <v>5238.7</v>
      </c>
    </row>
    <row r="10" spans="1:5" ht="15.75" x14ac:dyDescent="0.25">
      <c r="A10" s="280">
        <v>1100</v>
      </c>
      <c r="B10" s="280" t="s">
        <v>10</v>
      </c>
      <c r="C10" s="284"/>
      <c r="D10" s="44">
        <f>SUM(D12:D15)</f>
        <v>1.03</v>
      </c>
      <c r="E10" s="44">
        <f>SUM(E12:E15)</f>
        <v>4088.41</v>
      </c>
    </row>
    <row r="11" spans="1:5" ht="15.75" x14ac:dyDescent="0.25">
      <c r="A11" s="16">
        <v>1110</v>
      </c>
      <c r="B11" s="16" t="s">
        <v>240</v>
      </c>
      <c r="C11" s="300" t="s">
        <v>241</v>
      </c>
      <c r="D11" s="114">
        <f>SUM(D12:D14)</f>
        <v>0.94000000000000006</v>
      </c>
      <c r="E11" s="114">
        <f>SUM(E12:E14)</f>
        <v>3716.74</v>
      </c>
    </row>
    <row r="12" spans="1:5" ht="78.75" x14ac:dyDescent="0.25">
      <c r="A12" s="136"/>
      <c r="B12" s="139"/>
      <c r="C12" s="152" t="s">
        <v>903</v>
      </c>
      <c r="D12" s="114">
        <f>ROUND((E12/3960),2)</f>
        <v>0.04</v>
      </c>
      <c r="E12" s="114">
        <f>ROUND((50.96*12*0.2444),2)</f>
        <v>149.46</v>
      </c>
    </row>
    <row r="13" spans="1:5" ht="78" customHeight="1" x14ac:dyDescent="0.25">
      <c r="A13" s="153"/>
      <c r="B13" s="154"/>
      <c r="C13" s="152" t="s">
        <v>904</v>
      </c>
      <c r="D13" s="114">
        <f>ROUND((E13/3960),2)</f>
        <v>0.86</v>
      </c>
      <c r="E13" s="114">
        <f>ROUND((1160.28*12*0.2444),2)</f>
        <v>3402.87</v>
      </c>
    </row>
    <row r="14" spans="1:5" ht="78.75" x14ac:dyDescent="0.25">
      <c r="A14" s="138"/>
      <c r="B14" s="141"/>
      <c r="C14" s="152" t="s">
        <v>905</v>
      </c>
      <c r="D14" s="114">
        <f>ROUND((E14/3960),2)</f>
        <v>0.04</v>
      </c>
      <c r="E14" s="114">
        <f>ROUND((56.06*12*0.2444),2)</f>
        <v>164.41</v>
      </c>
    </row>
    <row r="15" spans="1:5" ht="63" x14ac:dyDescent="0.25">
      <c r="A15" s="131">
        <v>1140</v>
      </c>
      <c r="B15" s="5" t="s">
        <v>237</v>
      </c>
      <c r="C15" s="152" t="s">
        <v>906</v>
      </c>
      <c r="D15" s="114">
        <f>ROUND((E15/3960),2)</f>
        <v>0.09</v>
      </c>
      <c r="E15" s="114">
        <f>ROUND((149.46*0.1+3402.87*0.1+164.41*0.1),2)</f>
        <v>371.67</v>
      </c>
    </row>
    <row r="16" spans="1:5" ht="63" customHeight="1" x14ac:dyDescent="0.25">
      <c r="A16" s="7">
        <v>1200</v>
      </c>
      <c r="B16" s="301" t="s">
        <v>11</v>
      </c>
      <c r="C16" s="176" t="s">
        <v>908</v>
      </c>
      <c r="D16" s="92">
        <f>ROUND((D17+D18),2)</f>
        <v>0.28999999999999998</v>
      </c>
      <c r="E16" s="92">
        <f>ROUND((E17+E18),2)</f>
        <v>1150.29</v>
      </c>
    </row>
    <row r="17" spans="1:5" ht="47.25" x14ac:dyDescent="0.25">
      <c r="A17" s="4">
        <v>1210</v>
      </c>
      <c r="B17" s="5" t="s">
        <v>239</v>
      </c>
      <c r="C17" s="176" t="s">
        <v>907</v>
      </c>
      <c r="D17" s="114">
        <f t="shared" ref="D17:D18" si="0">ROUND((E17/3960),2)</f>
        <v>0.24</v>
      </c>
      <c r="E17" s="114">
        <f>ROUND((4088.41*0.2359),2)</f>
        <v>964.46</v>
      </c>
    </row>
    <row r="18" spans="1:5" ht="61.5" customHeight="1" x14ac:dyDescent="0.25">
      <c r="A18" s="4">
        <v>1227</v>
      </c>
      <c r="B18" s="5" t="s">
        <v>238</v>
      </c>
      <c r="C18" s="152" t="s">
        <v>1566</v>
      </c>
      <c r="D18" s="114">
        <f t="shared" si="0"/>
        <v>0.05</v>
      </c>
      <c r="E18" s="114">
        <f>ROUND((149.46*0.05+3402.87*0.05+164.41*0.05-0.01),2)</f>
        <v>185.83</v>
      </c>
    </row>
    <row r="19" spans="1:5" ht="15.75" x14ac:dyDescent="0.25">
      <c r="A19" s="8">
        <v>2000</v>
      </c>
      <c r="B19" s="7" t="s">
        <v>12</v>
      </c>
      <c r="C19" s="176"/>
      <c r="D19" s="92">
        <f>SUM(D20)</f>
        <v>0.13</v>
      </c>
      <c r="E19" s="92">
        <f>SUM(E20)</f>
        <v>529.89</v>
      </c>
    </row>
    <row r="20" spans="1:5" ht="47.25" x14ac:dyDescent="0.25">
      <c r="A20" s="4">
        <v>2249</v>
      </c>
      <c r="B20" s="5" t="s">
        <v>50</v>
      </c>
      <c r="C20" s="86" t="s">
        <v>889</v>
      </c>
      <c r="D20" s="114">
        <f>ROUND((E20/3960),2)</f>
        <v>0.13</v>
      </c>
      <c r="E20" s="45">
        <f>ROUND((2168.13*0.2444),2)</f>
        <v>529.89</v>
      </c>
    </row>
    <row r="21" spans="1:5" ht="15.75" x14ac:dyDescent="0.25">
      <c r="A21" s="4"/>
      <c r="B21" s="9" t="s">
        <v>14</v>
      </c>
      <c r="C21" s="84" t="s">
        <v>16</v>
      </c>
      <c r="D21" s="44">
        <f>SUM(D9+D20)</f>
        <v>1.4500000000000002</v>
      </c>
      <c r="E21" s="44">
        <f>SUM(E9+E19)</f>
        <v>5768.59</v>
      </c>
    </row>
    <row r="22" spans="1:5" ht="15.75" x14ac:dyDescent="0.25">
      <c r="A22" s="4"/>
      <c r="B22" s="9" t="s">
        <v>15</v>
      </c>
      <c r="C22" s="83" t="s">
        <v>8</v>
      </c>
      <c r="D22" s="43"/>
      <c r="E22" s="43"/>
    </row>
    <row r="23" spans="1:5" ht="15.75" x14ac:dyDescent="0.25">
      <c r="A23" s="8">
        <v>1000</v>
      </c>
      <c r="B23" s="7" t="s">
        <v>9</v>
      </c>
      <c r="C23" s="83"/>
      <c r="D23" s="92">
        <f>SUM(D24+D35)</f>
        <v>1.1000000000000001</v>
      </c>
      <c r="E23" s="92">
        <f>SUM(E24+E35)</f>
        <v>4317.1000000000004</v>
      </c>
    </row>
    <row r="24" spans="1:5" ht="15.75" x14ac:dyDescent="0.25">
      <c r="A24" s="4">
        <v>1100</v>
      </c>
      <c r="B24" s="4" t="s">
        <v>10</v>
      </c>
      <c r="C24" s="147" t="s">
        <v>267</v>
      </c>
      <c r="D24" s="92">
        <f>SUM(D25:D34)</f>
        <v>0.89</v>
      </c>
      <c r="E24" s="92">
        <f>SUM(E25:E34)</f>
        <v>3493.08</v>
      </c>
    </row>
    <row r="25" spans="1:5" ht="78.75" x14ac:dyDescent="0.25">
      <c r="A25" s="237"/>
      <c r="B25" s="238"/>
      <c r="C25" s="152" t="s">
        <v>909</v>
      </c>
      <c r="D25" s="45">
        <f t="shared" ref="D25:D35" si="1">ROUND((E25/3960),2)</f>
        <v>0.02</v>
      </c>
      <c r="E25" s="45">
        <f>ROUND((21.47*12*0.2444),2)</f>
        <v>62.97</v>
      </c>
    </row>
    <row r="26" spans="1:5" ht="78.75" x14ac:dyDescent="0.25">
      <c r="A26" s="355"/>
      <c r="B26" s="353"/>
      <c r="C26" s="152" t="s">
        <v>910</v>
      </c>
      <c r="D26" s="45">
        <f t="shared" si="1"/>
        <v>0.01</v>
      </c>
      <c r="E26" s="45">
        <f>ROUND((14.17*12*0.2444),2)</f>
        <v>41.56</v>
      </c>
    </row>
    <row r="27" spans="1:5" ht="78.75" x14ac:dyDescent="0.25">
      <c r="A27" s="355"/>
      <c r="B27" s="353"/>
      <c r="C27" s="152" t="s">
        <v>911</v>
      </c>
      <c r="D27" s="45">
        <f t="shared" si="1"/>
        <v>0.02</v>
      </c>
      <c r="E27" s="45">
        <f>ROUND((20.53*12*0.2444),2)</f>
        <v>60.21</v>
      </c>
    </row>
    <row r="28" spans="1:5" ht="78.75" x14ac:dyDescent="0.25">
      <c r="A28" s="355"/>
      <c r="B28" s="353"/>
      <c r="C28" s="152" t="s">
        <v>912</v>
      </c>
      <c r="D28" s="45">
        <f t="shared" si="1"/>
        <v>0.02</v>
      </c>
      <c r="E28" s="45">
        <f>ROUND((30.96*12*0.2444),2)</f>
        <v>90.8</v>
      </c>
    </row>
    <row r="29" spans="1:5" ht="78.75" x14ac:dyDescent="0.25">
      <c r="A29" s="355"/>
      <c r="B29" s="353"/>
      <c r="C29" s="85" t="s">
        <v>917</v>
      </c>
      <c r="D29" s="45">
        <f t="shared" si="1"/>
        <v>0.01</v>
      </c>
      <c r="E29" s="45">
        <f>ROUND((20.04*12*0.2444),2)</f>
        <v>58.77</v>
      </c>
    </row>
    <row r="30" spans="1:5" ht="77.45" customHeight="1" x14ac:dyDescent="0.25">
      <c r="A30" s="355"/>
      <c r="B30" s="353"/>
      <c r="C30" s="85" t="s">
        <v>916</v>
      </c>
      <c r="D30" s="45">
        <f t="shared" si="1"/>
        <v>0.06</v>
      </c>
      <c r="E30" s="45">
        <f>ROUND((75.87*12*0.2444),2)</f>
        <v>222.51</v>
      </c>
    </row>
    <row r="31" spans="1:5" ht="77.25" customHeight="1" x14ac:dyDescent="0.25">
      <c r="A31" s="355"/>
      <c r="B31" s="353"/>
      <c r="C31" s="152" t="s">
        <v>1341</v>
      </c>
      <c r="D31" s="45">
        <f t="shared" si="1"/>
        <v>0.23</v>
      </c>
      <c r="E31" s="45">
        <f>ROUND((306*12*0.2444),2)</f>
        <v>897.44</v>
      </c>
    </row>
    <row r="32" spans="1:5" ht="77.45" customHeight="1" x14ac:dyDescent="0.25">
      <c r="A32" s="355"/>
      <c r="B32" s="353"/>
      <c r="C32" s="85" t="s">
        <v>914</v>
      </c>
      <c r="D32" s="45">
        <f t="shared" si="1"/>
        <v>0.36</v>
      </c>
      <c r="E32" s="45">
        <f>ROUND((482.27*12*0.2444),2)</f>
        <v>1414.4</v>
      </c>
    </row>
    <row r="33" spans="1:5" ht="94.5" x14ac:dyDescent="0.25">
      <c r="A33" s="355"/>
      <c r="B33" s="353"/>
      <c r="C33" s="85" t="s">
        <v>913</v>
      </c>
      <c r="D33" s="45">
        <f t="shared" si="1"/>
        <v>0.13</v>
      </c>
      <c r="E33" s="45">
        <f>ROUND((175.25*12*0.2444),2)</f>
        <v>513.97</v>
      </c>
    </row>
    <row r="34" spans="1:5" ht="78" customHeight="1" x14ac:dyDescent="0.25">
      <c r="A34" s="356"/>
      <c r="B34" s="354"/>
      <c r="C34" s="85" t="s">
        <v>915</v>
      </c>
      <c r="D34" s="45">
        <f t="shared" si="1"/>
        <v>0.03</v>
      </c>
      <c r="E34" s="45">
        <f>ROUND((44.48*12*0.2444),2)</f>
        <v>130.44999999999999</v>
      </c>
    </row>
    <row r="35" spans="1:5" ht="63.75" customHeight="1" x14ac:dyDescent="0.25">
      <c r="A35" s="7">
        <v>1200</v>
      </c>
      <c r="B35" s="166" t="s">
        <v>11</v>
      </c>
      <c r="C35" s="86" t="s">
        <v>918</v>
      </c>
      <c r="D35" s="92">
        <f t="shared" si="1"/>
        <v>0.21</v>
      </c>
      <c r="E35" s="92">
        <f>ROUND((3493.08*0.2359),2)</f>
        <v>824.02</v>
      </c>
    </row>
    <row r="36" spans="1:5" ht="15.75" x14ac:dyDescent="0.25">
      <c r="A36" s="8">
        <v>2000</v>
      </c>
      <c r="B36" s="7" t="s">
        <v>12</v>
      </c>
      <c r="C36" s="83"/>
      <c r="D36" s="44">
        <f>SUM(D37:D47)</f>
        <v>16.920000000000002</v>
      </c>
      <c r="E36" s="44">
        <f>SUM(E37:E47)</f>
        <v>66974.319999999992</v>
      </c>
    </row>
    <row r="37" spans="1:5" ht="31.5" x14ac:dyDescent="0.25">
      <c r="A37" s="4">
        <v>2221</v>
      </c>
      <c r="B37" s="86" t="s">
        <v>60</v>
      </c>
      <c r="C37" s="86" t="s">
        <v>1342</v>
      </c>
      <c r="D37" s="45">
        <f>ROUND((E37/3960),2)-0.01</f>
        <v>3.0100000000000002</v>
      </c>
      <c r="E37" s="45">
        <f>ROUND((48868*0.2444),2)</f>
        <v>11943.34</v>
      </c>
    </row>
    <row r="38" spans="1:5" ht="32.1" customHeight="1" x14ac:dyDescent="0.25">
      <c r="A38" s="4">
        <v>2222</v>
      </c>
      <c r="B38" s="5" t="s">
        <v>61</v>
      </c>
      <c r="C38" s="5" t="s">
        <v>902</v>
      </c>
      <c r="D38" s="45">
        <f t="shared" ref="D38:D47" si="2">ROUND((E38/3960),2)</f>
        <v>3.22</v>
      </c>
      <c r="E38" s="45">
        <f>ROUND((52111.24*0.2444),2)</f>
        <v>12735.99</v>
      </c>
    </row>
    <row r="39" spans="1:5" ht="78" customHeight="1" x14ac:dyDescent="0.25">
      <c r="A39" s="4">
        <v>2224</v>
      </c>
      <c r="B39" s="86" t="s">
        <v>62</v>
      </c>
      <c r="C39" s="86" t="s">
        <v>901</v>
      </c>
      <c r="D39" s="45">
        <f t="shared" si="2"/>
        <v>1.46</v>
      </c>
      <c r="E39" s="45">
        <f>ROUND((23680.95*0.2444),2)</f>
        <v>5787.62</v>
      </c>
    </row>
    <row r="40" spans="1:5" ht="30.6" customHeight="1" x14ac:dyDescent="0.25">
      <c r="A40" s="4">
        <v>2232</v>
      </c>
      <c r="B40" s="89" t="s">
        <v>45</v>
      </c>
      <c r="C40" s="90" t="s">
        <v>900</v>
      </c>
      <c r="D40" s="45">
        <f t="shared" si="2"/>
        <v>0.03</v>
      </c>
      <c r="E40" s="45">
        <f>ROUND((464.98*0.2444),2)</f>
        <v>113.64</v>
      </c>
    </row>
    <row r="41" spans="1:5" ht="78.75" x14ac:dyDescent="0.25">
      <c r="A41" s="4">
        <v>2243</v>
      </c>
      <c r="B41" s="90" t="s">
        <v>21</v>
      </c>
      <c r="C41" s="90" t="s">
        <v>899</v>
      </c>
      <c r="D41" s="45">
        <f t="shared" si="2"/>
        <v>0.11</v>
      </c>
      <c r="E41" s="169">
        <f>ROUND((1715.08*0.2444),2)</f>
        <v>419.17</v>
      </c>
    </row>
    <row r="42" spans="1:5" ht="47.25" x14ac:dyDescent="0.25">
      <c r="A42" s="4">
        <v>2244</v>
      </c>
      <c r="B42" s="86" t="s">
        <v>22</v>
      </c>
      <c r="C42" s="86" t="s">
        <v>898</v>
      </c>
      <c r="D42" s="45">
        <f t="shared" si="2"/>
        <v>8.23</v>
      </c>
      <c r="E42" s="45">
        <f>ROUND((133418.65*0.2444),2)</f>
        <v>32607.52</v>
      </c>
    </row>
    <row r="43" spans="1:5" ht="47.25" x14ac:dyDescent="0.25">
      <c r="A43" s="4">
        <v>2249</v>
      </c>
      <c r="B43" s="86" t="s">
        <v>50</v>
      </c>
      <c r="C43" s="86" t="s">
        <v>897</v>
      </c>
      <c r="D43" s="45">
        <f t="shared" si="2"/>
        <v>0.1</v>
      </c>
      <c r="E43" s="45">
        <f>ROUND((1602.25*0.2444),2)</f>
        <v>391.59</v>
      </c>
    </row>
    <row r="44" spans="1:5" ht="31.5" x14ac:dyDescent="0.25">
      <c r="A44" s="4">
        <v>2264</v>
      </c>
      <c r="B44" s="86" t="s">
        <v>58</v>
      </c>
      <c r="C44" s="86" t="s">
        <v>896</v>
      </c>
      <c r="D44" s="45">
        <f t="shared" si="2"/>
        <v>0.01</v>
      </c>
      <c r="E44" s="45">
        <f>ROUND((121*0.2444),2)</f>
        <v>29.57</v>
      </c>
    </row>
    <row r="45" spans="1:5" ht="31.5" x14ac:dyDescent="0.25">
      <c r="A45" s="4">
        <v>2312</v>
      </c>
      <c r="B45" s="4" t="s">
        <v>13</v>
      </c>
      <c r="C45" s="86" t="s">
        <v>895</v>
      </c>
      <c r="D45" s="45">
        <f t="shared" si="2"/>
        <v>0.04</v>
      </c>
      <c r="E45" s="45">
        <f>ROUND((607.49*0.2444),2)</f>
        <v>148.47</v>
      </c>
    </row>
    <row r="46" spans="1:5" ht="63" x14ac:dyDescent="0.25">
      <c r="A46" s="4">
        <v>2350</v>
      </c>
      <c r="B46" s="5" t="s">
        <v>236</v>
      </c>
      <c r="C46" s="86" t="s">
        <v>894</v>
      </c>
      <c r="D46" s="45">
        <f t="shared" si="2"/>
        <v>0.06</v>
      </c>
      <c r="E46" s="114">
        <f>ROUND((905.02*0.2444),2)</f>
        <v>221.19</v>
      </c>
    </row>
    <row r="47" spans="1:5" ht="31.5" customHeight="1" x14ac:dyDescent="0.25">
      <c r="A47" s="4">
        <v>2513</v>
      </c>
      <c r="B47" s="5" t="s">
        <v>63</v>
      </c>
      <c r="C47" s="86" t="s">
        <v>893</v>
      </c>
      <c r="D47" s="45">
        <f t="shared" si="2"/>
        <v>0.65</v>
      </c>
      <c r="E47" s="45">
        <f>ROUND((10541.01*0.2444),2)</f>
        <v>2576.2199999999998</v>
      </c>
    </row>
    <row r="48" spans="1:5" ht="15.75" x14ac:dyDescent="0.25">
      <c r="A48" s="10">
        <v>5000</v>
      </c>
      <c r="B48" s="9" t="s">
        <v>17</v>
      </c>
      <c r="C48" s="83"/>
      <c r="D48" s="44">
        <f>SUM(D49:D51)</f>
        <v>0.70000000000000007</v>
      </c>
      <c r="E48" s="44">
        <f>SUM(E49:E51)</f>
        <v>2809.94</v>
      </c>
    </row>
    <row r="49" spans="1:5" ht="31.5" x14ac:dyDescent="0.25">
      <c r="A49" s="4">
        <v>5212</v>
      </c>
      <c r="B49" s="5" t="s">
        <v>31</v>
      </c>
      <c r="C49" s="86" t="s">
        <v>892</v>
      </c>
      <c r="D49" s="45">
        <f>ROUND((E49/3960-0.01),2)</f>
        <v>0.4</v>
      </c>
      <c r="E49" s="45">
        <f>ROUND((6565.16*0.2444),2)</f>
        <v>1604.53</v>
      </c>
    </row>
    <row r="50" spans="1:5" ht="31.5" x14ac:dyDescent="0.25">
      <c r="A50" s="4">
        <v>5213</v>
      </c>
      <c r="B50" s="5" t="s">
        <v>32</v>
      </c>
      <c r="C50" s="86" t="s">
        <v>891</v>
      </c>
      <c r="D50" s="45">
        <f>ROUND((E50/3960),2)</f>
        <v>0.27</v>
      </c>
      <c r="E50" s="45">
        <f>ROUND((4439.23*0.2444),2)</f>
        <v>1084.95</v>
      </c>
    </row>
    <row r="51" spans="1:5" ht="47.25" x14ac:dyDescent="0.25">
      <c r="A51" s="19">
        <v>5239</v>
      </c>
      <c r="B51" s="86" t="s">
        <v>18</v>
      </c>
      <c r="C51" s="86" t="s">
        <v>890</v>
      </c>
      <c r="D51" s="45">
        <f>ROUND((E51/3960),2)</f>
        <v>0.03</v>
      </c>
      <c r="E51" s="45">
        <f>ROUND((492.88*0.2444),2)</f>
        <v>120.46</v>
      </c>
    </row>
    <row r="52" spans="1:5" ht="15.75" x14ac:dyDescent="0.25">
      <c r="A52" s="171"/>
      <c r="B52" s="9" t="s">
        <v>23</v>
      </c>
      <c r="C52" s="150"/>
      <c r="D52" s="44">
        <f>SUM(D23+D36+D48)</f>
        <v>18.720000000000002</v>
      </c>
      <c r="E52" s="41">
        <f>SUM(E23+E36+E48)</f>
        <v>74101.36</v>
      </c>
    </row>
    <row r="53" spans="1:5" ht="31.5" x14ac:dyDescent="0.25">
      <c r="A53" s="6"/>
      <c r="B53" s="11" t="s">
        <v>24</v>
      </c>
      <c r="C53" s="150"/>
      <c r="D53" s="93">
        <f>D21+D52</f>
        <v>20.170000000000002</v>
      </c>
      <c r="E53" s="42">
        <f>E21+E52</f>
        <v>79869.95</v>
      </c>
    </row>
    <row r="54" spans="1:5" ht="15.75" x14ac:dyDescent="0.25">
      <c r="A54" s="351" t="s">
        <v>215</v>
      </c>
      <c r="B54" s="351"/>
      <c r="C54" s="351"/>
      <c r="D54" s="196">
        <f>22*2*90</f>
        <v>3960</v>
      </c>
      <c r="E54" s="211" t="s">
        <v>75</v>
      </c>
    </row>
    <row r="55" spans="1:5" ht="30.6" customHeight="1" x14ac:dyDescent="0.25">
      <c r="A55" s="351" t="s">
        <v>823</v>
      </c>
      <c r="B55" s="351"/>
      <c r="C55" s="351"/>
      <c r="D55" s="192">
        <f>ROUND((E53/D54),2)</f>
        <v>20.170000000000002</v>
      </c>
      <c r="E55" s="205" t="s">
        <v>585</v>
      </c>
    </row>
    <row r="56" spans="1:5" ht="12.75" customHeight="1" x14ac:dyDescent="0.25">
      <c r="A56" s="193"/>
      <c r="B56" s="194"/>
      <c r="C56" s="194"/>
      <c r="D56" s="195"/>
      <c r="E56" s="170"/>
    </row>
    <row r="57" spans="1:5" ht="15.75" x14ac:dyDescent="0.25">
      <c r="A57" s="351" t="s">
        <v>216</v>
      </c>
      <c r="B57" s="351"/>
      <c r="C57" s="351"/>
      <c r="D57" s="196">
        <f>22*2*8</f>
        <v>352</v>
      </c>
      <c r="E57" s="192" t="s">
        <v>77</v>
      </c>
    </row>
    <row r="58" spans="1:5" ht="30" customHeight="1" x14ac:dyDescent="0.25">
      <c r="A58" s="365" t="s">
        <v>820</v>
      </c>
      <c r="B58" s="365"/>
      <c r="C58" s="365"/>
      <c r="D58" s="192">
        <f>ROUND((E53/D57),2)</f>
        <v>226.9</v>
      </c>
      <c r="E58" s="205" t="s">
        <v>856</v>
      </c>
    </row>
  </sheetData>
  <mergeCells count="9">
    <mergeCell ref="A55:C55"/>
    <mergeCell ref="A57:C57"/>
    <mergeCell ref="A58:C58"/>
    <mergeCell ref="A2:C2"/>
    <mergeCell ref="A3:E3"/>
    <mergeCell ref="A4:B4"/>
    <mergeCell ref="A26:A34"/>
    <mergeCell ref="B26:B34"/>
    <mergeCell ref="A54:C54"/>
  </mergeCells>
  <pageMargins left="0.7" right="0.7" top="0.75" bottom="0.75" header="0.3" footer="0.3"/>
  <pageSetup paperSize="9" orientation="landscape" r:id="rId1"/>
  <rowBreaks count="2" manualBreakCount="2">
    <brk id="39" max="4" man="1"/>
    <brk id="49" max="16383" man="1"/>
  </rowBreaks>
  <ignoredErrors>
    <ignoredError sqref="D16" formula="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58F54-192A-4231-9762-E67B5DA18B1C}">
  <dimension ref="A1:H58"/>
  <sheetViews>
    <sheetView topLeftCell="A43" zoomScaleNormal="100" workbookViewId="0">
      <selection activeCell="H61" sqref="H61"/>
    </sheetView>
  </sheetViews>
  <sheetFormatPr defaultRowHeight="15" x14ac:dyDescent="0.25"/>
  <cols>
    <col min="1" max="1" width="12.7109375" customWidth="1"/>
    <col min="2" max="2" width="27.28515625" customWidth="1"/>
    <col min="3" max="3" width="62.5703125" customWidth="1"/>
    <col min="4" max="4" width="10.140625" style="14" customWidth="1"/>
    <col min="5" max="5" width="17.42578125" style="14" customWidth="1"/>
  </cols>
  <sheetData>
    <row r="1" spans="1:5" s="175" customFormat="1" ht="18.75" x14ac:dyDescent="0.3">
      <c r="A1" s="158" t="s">
        <v>51</v>
      </c>
      <c r="D1" s="251"/>
      <c r="E1" s="251"/>
    </row>
    <row r="2" spans="1:5" ht="18.75" x14ac:dyDescent="0.3">
      <c r="A2" s="358" t="s">
        <v>1584</v>
      </c>
      <c r="B2" s="358"/>
      <c r="C2" s="358"/>
    </row>
    <row r="3" spans="1:5" ht="18.75" x14ac:dyDescent="0.25">
      <c r="A3" s="352" t="s">
        <v>195</v>
      </c>
      <c r="B3" s="352"/>
      <c r="C3" s="352"/>
      <c r="D3" s="352"/>
      <c r="E3" s="352"/>
    </row>
    <row r="4" spans="1:5" ht="15.75" x14ac:dyDescent="0.25">
      <c r="A4" s="359" t="s">
        <v>74</v>
      </c>
      <c r="B4" s="359"/>
    </row>
    <row r="6" spans="1:5" ht="77.099999999999994" customHeight="1" x14ac:dyDescent="0.25">
      <c r="A6" s="149" t="s">
        <v>0</v>
      </c>
      <c r="B6" s="149" t="s">
        <v>1</v>
      </c>
      <c r="C6" s="149" t="s">
        <v>2</v>
      </c>
      <c r="D6" s="168" t="s">
        <v>26</v>
      </c>
      <c r="E6" s="168" t="s">
        <v>27</v>
      </c>
    </row>
    <row r="7" spans="1:5" x14ac:dyDescent="0.25">
      <c r="A7" s="292">
        <v>1</v>
      </c>
      <c r="B7" s="292">
        <v>2</v>
      </c>
      <c r="C7" s="292">
        <v>3</v>
      </c>
      <c r="D7" s="305">
        <v>4</v>
      </c>
      <c r="E7" s="305">
        <v>5</v>
      </c>
    </row>
    <row r="8" spans="1:5" ht="15.75" x14ac:dyDescent="0.25">
      <c r="A8" s="4"/>
      <c r="B8" s="7" t="s">
        <v>7</v>
      </c>
      <c r="C8" s="98" t="s">
        <v>8</v>
      </c>
      <c r="D8" s="43"/>
      <c r="E8" s="43"/>
    </row>
    <row r="9" spans="1:5" ht="15.75" x14ac:dyDescent="0.25">
      <c r="A9" s="8">
        <v>1000</v>
      </c>
      <c r="B9" s="7" t="s">
        <v>9</v>
      </c>
      <c r="C9" s="284"/>
      <c r="D9" s="44">
        <f>D10+D16</f>
        <v>0.69000000000000006</v>
      </c>
      <c r="E9" s="44">
        <f>E10+E16</f>
        <v>55.740000000000009</v>
      </c>
    </row>
    <row r="10" spans="1:5" ht="15.75" x14ac:dyDescent="0.25">
      <c r="A10" s="280">
        <v>1100</v>
      </c>
      <c r="B10" s="280" t="s">
        <v>10</v>
      </c>
      <c r="C10" s="284"/>
      <c r="D10" s="44">
        <f>SUM(D12:D15)</f>
        <v>0.54</v>
      </c>
      <c r="E10" s="44">
        <f>SUM(E12:E15)</f>
        <v>43.500000000000007</v>
      </c>
    </row>
    <row r="11" spans="1:5" ht="15.75" x14ac:dyDescent="0.25">
      <c r="A11" s="16">
        <v>1110</v>
      </c>
      <c r="B11" s="16" t="s">
        <v>240</v>
      </c>
      <c r="C11" s="300" t="s">
        <v>241</v>
      </c>
      <c r="D11" s="114">
        <f>SUM(D12:D14)</f>
        <v>0.49000000000000005</v>
      </c>
      <c r="E11" s="114">
        <f>SUM(E12:E14)</f>
        <v>39.540000000000006</v>
      </c>
    </row>
    <row r="12" spans="1:5" ht="78.75" x14ac:dyDescent="0.25">
      <c r="A12" s="136"/>
      <c r="B12" s="139"/>
      <c r="C12" s="152" t="s">
        <v>933</v>
      </c>
      <c r="D12" s="114">
        <f>ROUND((E12/80),2)</f>
        <v>0.02</v>
      </c>
      <c r="E12" s="114">
        <f>ROUND((50.96*12*0.0026),2)</f>
        <v>1.59</v>
      </c>
    </row>
    <row r="13" spans="1:5" ht="77.099999999999994" customHeight="1" x14ac:dyDescent="0.25">
      <c r="A13" s="153"/>
      <c r="B13" s="154"/>
      <c r="C13" s="152" t="s">
        <v>934</v>
      </c>
      <c r="D13" s="114">
        <f t="shared" ref="D13:D20" si="0">ROUND((E13/80),2)</f>
        <v>0.45</v>
      </c>
      <c r="E13" s="114">
        <f>ROUND((1160.28*12*0.0026),2)</f>
        <v>36.200000000000003</v>
      </c>
    </row>
    <row r="14" spans="1:5" ht="78.75" x14ac:dyDescent="0.25">
      <c r="A14" s="138"/>
      <c r="B14" s="141"/>
      <c r="C14" s="152" t="s">
        <v>946</v>
      </c>
      <c r="D14" s="114">
        <f t="shared" si="0"/>
        <v>0.02</v>
      </c>
      <c r="E14" s="114">
        <f>ROUND((56.06*12*0.0026),2)</f>
        <v>1.75</v>
      </c>
    </row>
    <row r="15" spans="1:5" ht="63.6" customHeight="1" x14ac:dyDescent="0.25">
      <c r="A15" s="131">
        <v>1140</v>
      </c>
      <c r="B15" s="5" t="s">
        <v>237</v>
      </c>
      <c r="C15" s="152" t="s">
        <v>1343</v>
      </c>
      <c r="D15" s="114">
        <f t="shared" si="0"/>
        <v>0.05</v>
      </c>
      <c r="E15" s="114">
        <f>ROUND((1.59*0.1+36.2*0.1+1.75*0.1+0.01),2)</f>
        <v>3.96</v>
      </c>
    </row>
    <row r="16" spans="1:5" ht="63" x14ac:dyDescent="0.25">
      <c r="A16" s="7">
        <v>1200</v>
      </c>
      <c r="B16" s="303" t="s">
        <v>11</v>
      </c>
      <c r="C16" s="176" t="s">
        <v>948</v>
      </c>
      <c r="D16" s="92">
        <f>ROUND((D17+D18),2)</f>
        <v>0.15</v>
      </c>
      <c r="E16" s="92">
        <f>ROUND((E17+E18),2)</f>
        <v>12.24</v>
      </c>
    </row>
    <row r="17" spans="1:8" ht="47.25" x14ac:dyDescent="0.25">
      <c r="A17" s="4">
        <v>1210</v>
      </c>
      <c r="B17" s="5" t="s">
        <v>239</v>
      </c>
      <c r="C17" s="176" t="s">
        <v>1344</v>
      </c>
      <c r="D17" s="114">
        <f>ROUND((E17/80),2)</f>
        <v>0.13</v>
      </c>
      <c r="E17" s="45">
        <f>ROUND((43.5*0.2359),2)</f>
        <v>10.26</v>
      </c>
    </row>
    <row r="18" spans="1:8" ht="63" customHeight="1" x14ac:dyDescent="0.25">
      <c r="A18" s="4">
        <v>1227</v>
      </c>
      <c r="B18" s="5" t="s">
        <v>238</v>
      </c>
      <c r="C18" s="152" t="s">
        <v>1565</v>
      </c>
      <c r="D18" s="114">
        <f t="shared" ref="D18" si="1">ROUND((E18/80),2)</f>
        <v>0.02</v>
      </c>
      <c r="E18" s="114">
        <f>ROUND((1.59*0.05+36.2*0.05+1.75*0.05),2)</f>
        <v>1.98</v>
      </c>
    </row>
    <row r="19" spans="1:8" ht="15.75" x14ac:dyDescent="0.25">
      <c r="A19" s="8">
        <v>2000</v>
      </c>
      <c r="B19" s="7" t="s">
        <v>12</v>
      </c>
      <c r="C19" s="176"/>
      <c r="D19" s="92">
        <f>SUM(D20)</f>
        <v>7.0000000000000007E-2</v>
      </c>
      <c r="E19" s="92">
        <f>SUM(E20)</f>
        <v>5.64</v>
      </c>
    </row>
    <row r="20" spans="1:8" ht="32.25" customHeight="1" x14ac:dyDescent="0.25">
      <c r="A20" s="4">
        <v>2249</v>
      </c>
      <c r="B20" s="5" t="s">
        <v>50</v>
      </c>
      <c r="C20" s="101" t="s">
        <v>947</v>
      </c>
      <c r="D20" s="114">
        <f t="shared" si="0"/>
        <v>7.0000000000000007E-2</v>
      </c>
      <c r="E20" s="45">
        <f>ROUND((2168.13*0.0026),2)</f>
        <v>5.64</v>
      </c>
    </row>
    <row r="21" spans="1:8" ht="15.75" x14ac:dyDescent="0.25">
      <c r="A21" s="4"/>
      <c r="B21" s="9" t="s">
        <v>14</v>
      </c>
      <c r="C21" s="99" t="s">
        <v>16</v>
      </c>
      <c r="D21" s="44">
        <f>D9+D19</f>
        <v>0.76</v>
      </c>
      <c r="E21" s="44">
        <f>E9+E19</f>
        <v>61.38000000000001</v>
      </c>
    </row>
    <row r="22" spans="1:8" ht="15.75" x14ac:dyDescent="0.25">
      <c r="A22" s="4"/>
      <c r="B22" s="9" t="s">
        <v>15</v>
      </c>
      <c r="C22" s="98" t="s">
        <v>8</v>
      </c>
      <c r="D22" s="43"/>
      <c r="E22" s="43"/>
    </row>
    <row r="23" spans="1:8" ht="15.75" x14ac:dyDescent="0.25">
      <c r="A23" s="8">
        <v>1000</v>
      </c>
      <c r="B23" s="7" t="s">
        <v>9</v>
      </c>
      <c r="C23" s="98"/>
      <c r="D23" s="92">
        <f>SUM(D24+D35)</f>
        <v>0.59000000000000008</v>
      </c>
      <c r="E23" s="92">
        <f>SUM(E24+E35)</f>
        <v>45.95</v>
      </c>
    </row>
    <row r="24" spans="1:8" ht="15.75" x14ac:dyDescent="0.25">
      <c r="A24" s="4">
        <v>1100</v>
      </c>
      <c r="B24" s="4" t="s">
        <v>10</v>
      </c>
      <c r="C24" s="147" t="s">
        <v>267</v>
      </c>
      <c r="D24" s="92">
        <f>SUM(D25:D34)</f>
        <v>0.48000000000000004</v>
      </c>
      <c r="E24" s="92">
        <f>SUM(E25:E34)</f>
        <v>37.18</v>
      </c>
    </row>
    <row r="25" spans="1:8" ht="79.5" customHeight="1" x14ac:dyDescent="0.25">
      <c r="A25" s="237"/>
      <c r="B25" s="238"/>
      <c r="C25" s="132" t="s">
        <v>935</v>
      </c>
      <c r="D25" s="45">
        <f>ROUND((E25/80),2)</f>
        <v>0.01</v>
      </c>
      <c r="E25" s="45">
        <f>ROUND((21.47*12*0.0026),2)</f>
        <v>0.67</v>
      </c>
    </row>
    <row r="26" spans="1:8" ht="78.75" x14ac:dyDescent="0.25">
      <c r="A26" s="355"/>
      <c r="B26" s="353"/>
      <c r="C26" s="132" t="s">
        <v>936</v>
      </c>
      <c r="D26" s="45">
        <f t="shared" ref="D26:D33" si="2">ROUND((E26/80),2)</f>
        <v>0.01</v>
      </c>
      <c r="E26" s="45">
        <f>ROUND((14.17*12*0.0026),2)</f>
        <v>0.44</v>
      </c>
      <c r="H26" s="293"/>
    </row>
    <row r="27" spans="1:8" ht="78" customHeight="1" x14ac:dyDescent="0.25">
      <c r="A27" s="355"/>
      <c r="B27" s="353"/>
      <c r="C27" s="132" t="s">
        <v>937</v>
      </c>
      <c r="D27" s="45">
        <f t="shared" si="2"/>
        <v>0.01</v>
      </c>
      <c r="E27" s="45">
        <f>ROUND((20.53*12*0.0026),2)</f>
        <v>0.64</v>
      </c>
    </row>
    <row r="28" spans="1:8" ht="77.25" customHeight="1" x14ac:dyDescent="0.25">
      <c r="A28" s="355"/>
      <c r="B28" s="353"/>
      <c r="C28" s="132" t="s">
        <v>938</v>
      </c>
      <c r="D28" s="45">
        <f t="shared" si="2"/>
        <v>0.01</v>
      </c>
      <c r="E28" s="45">
        <f>ROUND((30.96*12*0.0026),2)</f>
        <v>0.97</v>
      </c>
    </row>
    <row r="29" spans="1:8" ht="78" customHeight="1" x14ac:dyDescent="0.25">
      <c r="A29" s="355"/>
      <c r="B29" s="353"/>
      <c r="C29" s="132" t="s">
        <v>939</v>
      </c>
      <c r="D29" s="45">
        <f t="shared" si="2"/>
        <v>0.01</v>
      </c>
      <c r="E29" s="45">
        <f>ROUND((20.04*12*0.0026),2)</f>
        <v>0.63</v>
      </c>
    </row>
    <row r="30" spans="1:8" ht="78" customHeight="1" x14ac:dyDescent="0.25">
      <c r="A30" s="355"/>
      <c r="B30" s="353"/>
      <c r="C30" s="132" t="s">
        <v>940</v>
      </c>
      <c r="D30" s="45">
        <f t="shared" si="2"/>
        <v>0.03</v>
      </c>
      <c r="E30" s="45">
        <f>ROUND((75.87*12*0.0026),2)</f>
        <v>2.37</v>
      </c>
    </row>
    <row r="31" spans="1:8" ht="78.75" x14ac:dyDescent="0.25">
      <c r="A31" s="355"/>
      <c r="B31" s="353"/>
      <c r="C31" s="132" t="s">
        <v>941</v>
      </c>
      <c r="D31" s="45">
        <f t="shared" si="2"/>
        <v>0.12</v>
      </c>
      <c r="E31" s="45">
        <f>ROUND((306*12*0.0026),2)</f>
        <v>9.5500000000000007</v>
      </c>
    </row>
    <row r="32" spans="1:8" ht="78.75" x14ac:dyDescent="0.25">
      <c r="A32" s="355"/>
      <c r="B32" s="353"/>
      <c r="C32" s="132" t="s">
        <v>942</v>
      </c>
      <c r="D32" s="45">
        <f>ROUND((E32/80),2)</f>
        <v>0.19</v>
      </c>
      <c r="E32" s="45">
        <f>ROUND((482.27*12*0.0026),2)</f>
        <v>15.05</v>
      </c>
    </row>
    <row r="33" spans="1:8" ht="94.5" x14ac:dyDescent="0.25">
      <c r="A33" s="355"/>
      <c r="B33" s="353"/>
      <c r="C33" s="100" t="s">
        <v>943</v>
      </c>
      <c r="D33" s="45">
        <f t="shared" si="2"/>
        <v>7.0000000000000007E-2</v>
      </c>
      <c r="E33" s="45">
        <f>ROUND((175.25*12*0.0026),2)</f>
        <v>5.47</v>
      </c>
    </row>
    <row r="34" spans="1:8" ht="78" customHeight="1" x14ac:dyDescent="0.25">
      <c r="A34" s="356"/>
      <c r="B34" s="354"/>
      <c r="C34" s="100" t="s">
        <v>944</v>
      </c>
      <c r="D34" s="45">
        <f>ROUND((E34/80),2)</f>
        <v>0.02</v>
      </c>
      <c r="E34" s="45">
        <f>ROUND((44.48*12*0.0026),2)</f>
        <v>1.39</v>
      </c>
    </row>
    <row r="35" spans="1:8" ht="63" x14ac:dyDescent="0.25">
      <c r="A35" s="7">
        <v>1200</v>
      </c>
      <c r="B35" s="166" t="s">
        <v>11</v>
      </c>
      <c r="C35" s="101" t="s">
        <v>945</v>
      </c>
      <c r="D35" s="92">
        <f>ROUND((E35/80),2)</f>
        <v>0.11</v>
      </c>
      <c r="E35" s="92">
        <f>ROUND((37.18*0.2359),2)</f>
        <v>8.77</v>
      </c>
    </row>
    <row r="36" spans="1:8" ht="15.75" x14ac:dyDescent="0.25">
      <c r="A36" s="8">
        <v>2000</v>
      </c>
      <c r="B36" s="7" t="s">
        <v>12</v>
      </c>
      <c r="C36" s="98"/>
      <c r="D36" s="44">
        <f>SUM(D37:D47)</f>
        <v>8.9</v>
      </c>
      <c r="E36" s="44">
        <f>SUM(E37:E47)</f>
        <v>712.49999999999989</v>
      </c>
    </row>
    <row r="37" spans="1:8" ht="31.5" x14ac:dyDescent="0.25">
      <c r="A37" s="4">
        <v>2221</v>
      </c>
      <c r="B37" s="101" t="s">
        <v>60</v>
      </c>
      <c r="C37" s="101" t="s">
        <v>931</v>
      </c>
      <c r="D37" s="45">
        <f>ROUND((E37/80),2)</f>
        <v>1.59</v>
      </c>
      <c r="E37" s="45">
        <f>ROUND((48868*0.0026),2)</f>
        <v>127.06</v>
      </c>
    </row>
    <row r="38" spans="1:8" ht="31.5" x14ac:dyDescent="0.25">
      <c r="A38" s="4">
        <v>2222</v>
      </c>
      <c r="B38" s="5" t="s">
        <v>61</v>
      </c>
      <c r="C38" s="5" t="s">
        <v>932</v>
      </c>
      <c r="D38" s="45">
        <f>ROUND((E38/80),2)</f>
        <v>1.69</v>
      </c>
      <c r="E38" s="45">
        <f>ROUND((52111.24*0.0026),2)</f>
        <v>135.49</v>
      </c>
    </row>
    <row r="39" spans="1:8" ht="76.5" customHeight="1" x14ac:dyDescent="0.25">
      <c r="A39" s="4">
        <v>2224</v>
      </c>
      <c r="B39" s="101" t="s">
        <v>62</v>
      </c>
      <c r="C39" s="176" t="s">
        <v>930</v>
      </c>
      <c r="D39" s="45">
        <f t="shared" ref="D39:D47" si="3">ROUND((E39/80),2)</f>
        <v>0.77</v>
      </c>
      <c r="E39" s="45">
        <f>ROUND((23680.95*0.0026),2)</f>
        <v>61.57</v>
      </c>
    </row>
    <row r="40" spans="1:8" ht="31.5" x14ac:dyDescent="0.25">
      <c r="A40" s="4">
        <v>2232</v>
      </c>
      <c r="B40" s="89" t="s">
        <v>45</v>
      </c>
      <c r="C40" s="90" t="s">
        <v>929</v>
      </c>
      <c r="D40" s="45">
        <f>ROUND((E40/80-0.01),2)</f>
        <v>0.01</v>
      </c>
      <c r="E40" s="45">
        <f>ROUND((464.98*0.0026),2)</f>
        <v>1.21</v>
      </c>
    </row>
    <row r="41" spans="1:8" ht="78" customHeight="1" x14ac:dyDescent="0.25">
      <c r="A41" s="4">
        <v>2243</v>
      </c>
      <c r="B41" s="90" t="s">
        <v>21</v>
      </c>
      <c r="C41" s="90" t="s">
        <v>928</v>
      </c>
      <c r="D41" s="45">
        <f t="shared" si="3"/>
        <v>0.06</v>
      </c>
      <c r="E41" s="169">
        <f>ROUND((1715.08*0.0026),2)</f>
        <v>4.46</v>
      </c>
    </row>
    <row r="42" spans="1:8" ht="45.75" customHeight="1" x14ac:dyDescent="0.25">
      <c r="A42" s="4">
        <v>2244</v>
      </c>
      <c r="B42" s="101" t="s">
        <v>22</v>
      </c>
      <c r="C42" s="176" t="s">
        <v>927</v>
      </c>
      <c r="D42" s="45">
        <f t="shared" si="3"/>
        <v>4.34</v>
      </c>
      <c r="E42" s="45">
        <f>ROUND((133418.65*0.0026),2)</f>
        <v>346.89</v>
      </c>
    </row>
    <row r="43" spans="1:8" ht="33" customHeight="1" x14ac:dyDescent="0.25">
      <c r="A43" s="4">
        <v>2249</v>
      </c>
      <c r="B43" s="101" t="s">
        <v>50</v>
      </c>
      <c r="C43" s="176" t="s">
        <v>926</v>
      </c>
      <c r="D43" s="45">
        <f t="shared" si="3"/>
        <v>0.05</v>
      </c>
      <c r="E43" s="45">
        <f>ROUND((1602.25*0.0026),2)</f>
        <v>4.17</v>
      </c>
    </row>
    <row r="44" spans="1:8" ht="33" customHeight="1" x14ac:dyDescent="0.25">
      <c r="A44" s="4">
        <v>2264</v>
      </c>
      <c r="B44" s="101" t="s">
        <v>58</v>
      </c>
      <c r="C44" s="101" t="s">
        <v>925</v>
      </c>
      <c r="D44" s="45">
        <f t="shared" si="3"/>
        <v>0</v>
      </c>
      <c r="E44" s="45">
        <f>ROUND((121*0.0026),2)</f>
        <v>0.31</v>
      </c>
    </row>
    <row r="45" spans="1:8" ht="30.95" customHeight="1" x14ac:dyDescent="0.25">
      <c r="A45" s="4">
        <v>2312</v>
      </c>
      <c r="B45" s="4" t="s">
        <v>13</v>
      </c>
      <c r="C45" s="101" t="s">
        <v>924</v>
      </c>
      <c r="D45" s="45">
        <f t="shared" si="3"/>
        <v>0.02</v>
      </c>
      <c r="E45" s="45">
        <f>ROUND((607.49*0.0026),2)</f>
        <v>1.58</v>
      </c>
    </row>
    <row r="46" spans="1:8" ht="63" x14ac:dyDescent="0.25">
      <c r="A46" s="4">
        <v>2350</v>
      </c>
      <c r="B46" s="5" t="s">
        <v>236</v>
      </c>
      <c r="C46" s="101" t="s">
        <v>923</v>
      </c>
      <c r="D46" s="45">
        <f t="shared" si="3"/>
        <v>0.03</v>
      </c>
      <c r="E46" s="114">
        <f>ROUND((905.02*0.0026),2)</f>
        <v>2.35</v>
      </c>
      <c r="H46" s="87"/>
    </row>
    <row r="47" spans="1:8" ht="31.5" x14ac:dyDescent="0.25">
      <c r="A47" s="4">
        <v>2513</v>
      </c>
      <c r="B47" s="5" t="s">
        <v>63</v>
      </c>
      <c r="C47" s="101" t="s">
        <v>1345</v>
      </c>
      <c r="D47" s="45">
        <f t="shared" si="3"/>
        <v>0.34</v>
      </c>
      <c r="E47" s="45">
        <f>ROUND((10541.01*0.0026),2)</f>
        <v>27.41</v>
      </c>
    </row>
    <row r="48" spans="1:8" ht="15.75" x14ac:dyDescent="0.25">
      <c r="A48" s="10">
        <v>5000</v>
      </c>
      <c r="B48" s="9" t="s">
        <v>17</v>
      </c>
      <c r="C48" s="98"/>
      <c r="D48" s="44">
        <f>SUM(D49:D51)</f>
        <v>0.37</v>
      </c>
      <c r="E48" s="44">
        <f>SUM(E49:E51)</f>
        <v>29.89</v>
      </c>
    </row>
    <row r="49" spans="1:8" ht="31.5" x14ac:dyDescent="0.25">
      <c r="A49" s="4">
        <v>5212</v>
      </c>
      <c r="B49" s="5" t="s">
        <v>31</v>
      </c>
      <c r="C49" s="101" t="s">
        <v>922</v>
      </c>
      <c r="D49" s="45">
        <f>ROUND((E49/80),2)</f>
        <v>0.21</v>
      </c>
      <c r="E49" s="45">
        <f>ROUND((6565.16*0.0026),2)</f>
        <v>17.07</v>
      </c>
    </row>
    <row r="50" spans="1:8" ht="31.5" x14ac:dyDescent="0.25">
      <c r="A50" s="4">
        <v>5213</v>
      </c>
      <c r="B50" s="5" t="s">
        <v>32</v>
      </c>
      <c r="C50" s="101" t="s">
        <v>921</v>
      </c>
      <c r="D50" s="45">
        <f>ROUND((E50/80),2)</f>
        <v>0.14000000000000001</v>
      </c>
      <c r="E50" s="45">
        <f>ROUND((4439.23*0.0026),2)</f>
        <v>11.54</v>
      </c>
    </row>
    <row r="51" spans="1:8" ht="47.25" x14ac:dyDescent="0.25">
      <c r="A51" s="19">
        <v>5239</v>
      </c>
      <c r="B51" s="101" t="s">
        <v>18</v>
      </c>
      <c r="C51" s="101" t="s">
        <v>920</v>
      </c>
      <c r="D51" s="45">
        <f t="shared" ref="D51" si="4">ROUND((E51/80),2)</f>
        <v>0.02</v>
      </c>
      <c r="E51" s="45">
        <f>ROUND((492.88*0.0026),2)</f>
        <v>1.28</v>
      </c>
    </row>
    <row r="52" spans="1:8" ht="15.75" x14ac:dyDescent="0.25">
      <c r="A52" s="171"/>
      <c r="B52" s="9" t="s">
        <v>23</v>
      </c>
      <c r="C52" s="98"/>
      <c r="D52" s="44">
        <f>SUM(D23+D36+D48)</f>
        <v>9.86</v>
      </c>
      <c r="E52" s="41">
        <f>SUM(E23+E36+E48)</f>
        <v>788.33999999999992</v>
      </c>
    </row>
    <row r="53" spans="1:8" s="255" customFormat="1" ht="15.75" customHeight="1" x14ac:dyDescent="0.25">
      <c r="A53" s="254"/>
      <c r="B53" s="252" t="s">
        <v>24</v>
      </c>
      <c r="C53" s="230"/>
      <c r="D53" s="42">
        <f>D21+D52</f>
        <v>10.62</v>
      </c>
      <c r="E53" s="42">
        <f>E21+E52</f>
        <v>849.71999999999991</v>
      </c>
      <c r="H53"/>
    </row>
    <row r="54" spans="1:8" ht="16.5" customHeight="1" x14ac:dyDescent="0.25">
      <c r="A54" s="351" t="s">
        <v>217</v>
      </c>
      <c r="B54" s="351"/>
      <c r="C54" s="351"/>
      <c r="D54" s="196">
        <f>1*1*80</f>
        <v>80</v>
      </c>
      <c r="E54" s="211" t="s">
        <v>75</v>
      </c>
    </row>
    <row r="55" spans="1:8" ht="30.6" customHeight="1" x14ac:dyDescent="0.25">
      <c r="A55" s="351" t="s">
        <v>757</v>
      </c>
      <c r="B55" s="351"/>
      <c r="C55" s="351"/>
      <c r="D55" s="192">
        <f>ROUND((E53/D54),2)</f>
        <v>10.62</v>
      </c>
      <c r="E55" s="205" t="s">
        <v>722</v>
      </c>
      <c r="F55" s="40"/>
    </row>
    <row r="56" spans="1:8" ht="15.75" x14ac:dyDescent="0.25">
      <c r="A56" s="193"/>
      <c r="B56" s="194"/>
      <c r="C56" s="194"/>
      <c r="D56" s="195"/>
      <c r="E56" s="170"/>
    </row>
    <row r="57" spans="1:8" ht="16.5" customHeight="1" x14ac:dyDescent="0.25">
      <c r="A57" s="351" t="s">
        <v>218</v>
      </c>
      <c r="B57" s="351"/>
      <c r="C57" s="351"/>
      <c r="D57" s="196">
        <f>1*1*6</f>
        <v>6</v>
      </c>
      <c r="E57" s="192" t="s">
        <v>77</v>
      </c>
    </row>
    <row r="58" spans="1:8" ht="30" customHeight="1" x14ac:dyDescent="0.25">
      <c r="A58" s="365" t="s">
        <v>759</v>
      </c>
      <c r="B58" s="365"/>
      <c r="C58" s="365"/>
      <c r="D58" s="192">
        <f>ROUND((E53/D57),2)</f>
        <v>141.62</v>
      </c>
      <c r="E58" s="205" t="s">
        <v>919</v>
      </c>
    </row>
  </sheetData>
  <mergeCells count="9">
    <mergeCell ref="A55:C55"/>
    <mergeCell ref="A57:C57"/>
    <mergeCell ref="A58:C58"/>
    <mergeCell ref="A2:C2"/>
    <mergeCell ref="A3:E3"/>
    <mergeCell ref="A4:B4"/>
    <mergeCell ref="A26:A34"/>
    <mergeCell ref="B26:B34"/>
    <mergeCell ref="A54:C54"/>
  </mergeCells>
  <pageMargins left="0.7" right="0.7" top="0.75" bottom="0.75" header="0.3" footer="0.3"/>
  <pageSetup paperSize="9" orientation="landscape" r:id="rId1"/>
  <rowBreaks count="1" manualBreakCount="1">
    <brk id="50" max="16383" man="1"/>
  </rowBreaks>
  <ignoredErrors>
    <ignoredError sqref="D36 D19:E19" formula="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A66DA-A3BC-432E-B7EB-59A924002F63}">
  <dimension ref="A1:F58"/>
  <sheetViews>
    <sheetView topLeftCell="A43" zoomScaleNormal="100" workbookViewId="0">
      <selection activeCell="H58" sqref="H58"/>
    </sheetView>
  </sheetViews>
  <sheetFormatPr defaultRowHeight="15" x14ac:dyDescent="0.25"/>
  <cols>
    <col min="1" max="1" width="12.42578125" customWidth="1"/>
    <col min="2" max="2" width="27.140625" customWidth="1"/>
    <col min="3" max="3" width="63.42578125" customWidth="1"/>
    <col min="4" max="4" width="9.140625" style="14" customWidth="1"/>
    <col min="5" max="5" width="18.140625" style="14" customWidth="1"/>
  </cols>
  <sheetData>
    <row r="1" spans="1:5" s="175" customFormat="1" ht="18.75" x14ac:dyDescent="0.3">
      <c r="A1" s="158" t="s">
        <v>51</v>
      </c>
      <c r="D1" s="251"/>
      <c r="E1" s="251"/>
    </row>
    <row r="2" spans="1:5" ht="18.75" x14ac:dyDescent="0.3">
      <c r="A2" s="358" t="s">
        <v>1584</v>
      </c>
      <c r="B2" s="358"/>
      <c r="C2" s="358"/>
    </row>
    <row r="3" spans="1:5" ht="18.75" x14ac:dyDescent="0.25">
      <c r="A3" s="352" t="s">
        <v>1541</v>
      </c>
      <c r="B3" s="352"/>
      <c r="C3" s="352"/>
      <c r="D3" s="352"/>
      <c r="E3" s="352"/>
    </row>
    <row r="4" spans="1:5" ht="15.75" x14ac:dyDescent="0.25">
      <c r="A4" s="359" t="s">
        <v>74</v>
      </c>
      <c r="B4" s="359"/>
    </row>
    <row r="6" spans="1:5" ht="78.75" x14ac:dyDescent="0.25">
      <c r="A6" s="149" t="s">
        <v>0</v>
      </c>
      <c r="B6" s="149" t="s">
        <v>1</v>
      </c>
      <c r="C6" s="149" t="s">
        <v>2</v>
      </c>
      <c r="D6" s="168" t="s">
        <v>26</v>
      </c>
      <c r="E6" s="91" t="s">
        <v>27</v>
      </c>
    </row>
    <row r="7" spans="1:5" x14ac:dyDescent="0.25">
      <c r="A7" s="292">
        <v>1</v>
      </c>
      <c r="B7" s="292">
        <v>2</v>
      </c>
      <c r="C7" s="292">
        <v>3</v>
      </c>
      <c r="D7" s="305">
        <v>4</v>
      </c>
      <c r="E7" s="305">
        <v>5</v>
      </c>
    </row>
    <row r="8" spans="1:5" ht="15.75" x14ac:dyDescent="0.25">
      <c r="A8" s="4"/>
      <c r="B8" s="7" t="s">
        <v>7</v>
      </c>
      <c r="C8" s="94" t="s">
        <v>8</v>
      </c>
      <c r="D8" s="43"/>
      <c r="E8" s="43"/>
    </row>
    <row r="9" spans="1:5" ht="15.75" x14ac:dyDescent="0.25">
      <c r="A9" s="8">
        <v>1000</v>
      </c>
      <c r="B9" s="7" t="s">
        <v>9</v>
      </c>
      <c r="C9" s="284"/>
      <c r="D9" s="44">
        <f>D10+D16</f>
        <v>0.69000000000000006</v>
      </c>
      <c r="E9" s="44">
        <f>E10+E16</f>
        <v>250.79000000000002</v>
      </c>
    </row>
    <row r="10" spans="1:5" ht="15.75" x14ac:dyDescent="0.25">
      <c r="A10" s="280">
        <v>1100</v>
      </c>
      <c r="B10" s="280" t="s">
        <v>10</v>
      </c>
      <c r="C10" s="284"/>
      <c r="D10" s="44">
        <f>SUM(D12:D15)</f>
        <v>0.54</v>
      </c>
      <c r="E10" s="44">
        <f>SUM(E12:E15)</f>
        <v>195.72000000000003</v>
      </c>
    </row>
    <row r="11" spans="1:5" ht="15.75" x14ac:dyDescent="0.25">
      <c r="A11" s="16">
        <v>1110</v>
      </c>
      <c r="B11" s="16" t="s">
        <v>240</v>
      </c>
      <c r="C11" s="300" t="s">
        <v>241</v>
      </c>
      <c r="D11" s="114">
        <f>SUM(D12:D14)</f>
        <v>0.49000000000000005</v>
      </c>
      <c r="E11" s="114">
        <f>SUM(E12:E14)</f>
        <v>177.92000000000002</v>
      </c>
    </row>
    <row r="12" spans="1:5" ht="78.75" x14ac:dyDescent="0.25">
      <c r="A12" s="136"/>
      <c r="B12" s="139"/>
      <c r="C12" s="152" t="s">
        <v>963</v>
      </c>
      <c r="D12" s="114">
        <f>ROUND((E12/360),2)</f>
        <v>0.02</v>
      </c>
      <c r="E12" s="114">
        <f>ROUND((50.96*12*0.0117),2)</f>
        <v>7.15</v>
      </c>
    </row>
    <row r="13" spans="1:5" ht="78" customHeight="1" x14ac:dyDescent="0.25">
      <c r="A13" s="153"/>
      <c r="B13" s="154"/>
      <c r="C13" s="152" t="s">
        <v>964</v>
      </c>
      <c r="D13" s="114">
        <f>ROUND((E13/360),2)</f>
        <v>0.45</v>
      </c>
      <c r="E13" s="114">
        <f>ROUND((1160.28*12*0.0117),2)</f>
        <v>162.9</v>
      </c>
    </row>
    <row r="14" spans="1:5" ht="78" customHeight="1" x14ac:dyDescent="0.25">
      <c r="A14" s="138"/>
      <c r="B14" s="141"/>
      <c r="C14" s="152" t="s">
        <v>965</v>
      </c>
      <c r="D14" s="114">
        <f>ROUND((E14/360),2)</f>
        <v>0.02</v>
      </c>
      <c r="E14" s="114">
        <f>ROUND((56.06*12*0.0117),2)</f>
        <v>7.87</v>
      </c>
    </row>
    <row r="15" spans="1:5" ht="63.6" customHeight="1" x14ac:dyDescent="0.25">
      <c r="A15" s="131">
        <v>1140</v>
      </c>
      <c r="B15" s="5" t="s">
        <v>237</v>
      </c>
      <c r="C15" s="152" t="s">
        <v>966</v>
      </c>
      <c r="D15" s="114">
        <f>ROUND((E15/360),2)</f>
        <v>0.05</v>
      </c>
      <c r="E15" s="114">
        <f>ROUND((7.15*0.1+162.9*0.1+7.87*0.1+0.01),2)</f>
        <v>17.8</v>
      </c>
    </row>
    <row r="16" spans="1:5" ht="63" customHeight="1" x14ac:dyDescent="0.25">
      <c r="A16" s="7">
        <v>1200</v>
      </c>
      <c r="B16" s="303" t="s">
        <v>11</v>
      </c>
      <c r="C16" s="176" t="s">
        <v>970</v>
      </c>
      <c r="D16" s="92">
        <f>ROUND((D17+D18),2)</f>
        <v>0.15</v>
      </c>
      <c r="E16" s="92">
        <f>ROUND((E17+E18),2)</f>
        <v>55.07</v>
      </c>
    </row>
    <row r="17" spans="1:6" ht="47.25" x14ac:dyDescent="0.25">
      <c r="A17" s="4">
        <v>1210</v>
      </c>
      <c r="B17" s="5" t="s">
        <v>239</v>
      </c>
      <c r="C17" s="176" t="s">
        <v>971</v>
      </c>
      <c r="D17" s="114">
        <f t="shared" ref="D17:D18" si="0">ROUND((E17/360),2)</f>
        <v>0.13</v>
      </c>
      <c r="E17" s="45">
        <f>ROUND((195.72*0.2359),2)</f>
        <v>46.17</v>
      </c>
    </row>
    <row r="18" spans="1:6" ht="62.25" customHeight="1" x14ac:dyDescent="0.25">
      <c r="A18" s="4">
        <v>1227</v>
      </c>
      <c r="B18" s="5" t="s">
        <v>238</v>
      </c>
      <c r="C18" s="152" t="s">
        <v>981</v>
      </c>
      <c r="D18" s="114">
        <f t="shared" si="0"/>
        <v>0.02</v>
      </c>
      <c r="E18" s="114">
        <f>ROUND((7.15*0.05+162.9*0.05+7.87*0.05),2)</f>
        <v>8.9</v>
      </c>
    </row>
    <row r="19" spans="1:6" ht="15.75" x14ac:dyDescent="0.25">
      <c r="A19" s="8">
        <v>2000</v>
      </c>
      <c r="B19" s="7" t="s">
        <v>12</v>
      </c>
      <c r="C19" s="176"/>
      <c r="D19" s="92">
        <f>SUM(D20)</f>
        <v>7.0000000000000007E-2</v>
      </c>
      <c r="E19" s="92">
        <f>SUM(E20)</f>
        <v>25.37</v>
      </c>
      <c r="F19" s="40"/>
    </row>
    <row r="20" spans="1:6" ht="47.25" x14ac:dyDescent="0.25">
      <c r="A20" s="4">
        <v>2249</v>
      </c>
      <c r="B20" s="5" t="s">
        <v>50</v>
      </c>
      <c r="C20" s="97" t="s">
        <v>962</v>
      </c>
      <c r="D20" s="114">
        <f>ROUND((E20/360),2)</f>
        <v>7.0000000000000007E-2</v>
      </c>
      <c r="E20" s="45">
        <f>ROUND((2168.13*0.0117),2)</f>
        <v>25.37</v>
      </c>
    </row>
    <row r="21" spans="1:6" ht="15.75" x14ac:dyDescent="0.25">
      <c r="A21" s="4"/>
      <c r="B21" s="9" t="s">
        <v>14</v>
      </c>
      <c r="C21" s="95" t="s">
        <v>16</v>
      </c>
      <c r="D21" s="44">
        <f>D9+D19</f>
        <v>0.76</v>
      </c>
      <c r="E21" s="44">
        <f>E9+E19</f>
        <v>276.16000000000003</v>
      </c>
    </row>
    <row r="22" spans="1:6" ht="15.75" x14ac:dyDescent="0.25">
      <c r="A22" s="4"/>
      <c r="B22" s="9" t="s">
        <v>15</v>
      </c>
      <c r="C22" s="94" t="s">
        <v>8</v>
      </c>
      <c r="D22" s="43"/>
      <c r="E22" s="43"/>
    </row>
    <row r="23" spans="1:6" ht="15.75" x14ac:dyDescent="0.25">
      <c r="A23" s="8">
        <v>1000</v>
      </c>
      <c r="B23" s="7" t="s">
        <v>9</v>
      </c>
      <c r="C23" s="94"/>
      <c r="D23" s="92">
        <f>SUM(D24+D35)</f>
        <v>0.59000000000000008</v>
      </c>
      <c r="E23" s="92">
        <f>SUM(E24+E35)</f>
        <v>206.65000000000003</v>
      </c>
    </row>
    <row r="24" spans="1:6" ht="15.75" x14ac:dyDescent="0.25">
      <c r="A24" s="7">
        <v>1100</v>
      </c>
      <c r="B24" s="7" t="s">
        <v>10</v>
      </c>
      <c r="C24" s="147" t="s">
        <v>267</v>
      </c>
      <c r="D24" s="92">
        <f>SUM(D25:D34)</f>
        <v>0.48000000000000004</v>
      </c>
      <c r="E24" s="92">
        <f>SUM(E25:E34)</f>
        <v>167.21000000000004</v>
      </c>
    </row>
    <row r="25" spans="1:6" ht="78.75" x14ac:dyDescent="0.25">
      <c r="A25" s="237"/>
      <c r="B25" s="238"/>
      <c r="C25" s="96" t="s">
        <v>967</v>
      </c>
      <c r="D25" s="45">
        <f>ROUND((E25/360),2)</f>
        <v>0.01</v>
      </c>
      <c r="E25" s="45">
        <f>ROUND((21.47*12*0.0117),2)</f>
        <v>3.01</v>
      </c>
    </row>
    <row r="26" spans="1:6" ht="78.75" x14ac:dyDescent="0.25">
      <c r="A26" s="355"/>
      <c r="B26" s="353"/>
      <c r="C26" s="152" t="s">
        <v>968</v>
      </c>
      <c r="D26" s="45">
        <f t="shared" ref="D26:D35" si="1">ROUND((E26/360),2)</f>
        <v>0.01</v>
      </c>
      <c r="E26" s="45">
        <f>ROUND((14.17*12*0.0117),2)</f>
        <v>1.99</v>
      </c>
    </row>
    <row r="27" spans="1:6" ht="78" customHeight="1" x14ac:dyDescent="0.25">
      <c r="A27" s="355"/>
      <c r="B27" s="353"/>
      <c r="C27" s="96" t="s">
        <v>969</v>
      </c>
      <c r="D27" s="45">
        <f t="shared" si="1"/>
        <v>0.01</v>
      </c>
      <c r="E27" s="45">
        <f>ROUND((20.53*12*0.0117),2)</f>
        <v>2.88</v>
      </c>
    </row>
    <row r="28" spans="1:6" ht="78" customHeight="1" x14ac:dyDescent="0.25">
      <c r="A28" s="355"/>
      <c r="B28" s="353"/>
      <c r="C28" s="152" t="s">
        <v>972</v>
      </c>
      <c r="D28" s="45">
        <f t="shared" si="1"/>
        <v>0.01</v>
      </c>
      <c r="E28" s="45">
        <f>ROUND((30.96*12*0.0117),2)</f>
        <v>4.3499999999999996</v>
      </c>
    </row>
    <row r="29" spans="1:6" ht="78.75" x14ac:dyDescent="0.25">
      <c r="A29" s="355"/>
      <c r="B29" s="353"/>
      <c r="C29" s="96" t="s">
        <v>973</v>
      </c>
      <c r="D29" s="45">
        <f t="shared" si="1"/>
        <v>0.01</v>
      </c>
      <c r="E29" s="45">
        <f>ROUND((20.04*12*0.0117),2)</f>
        <v>2.81</v>
      </c>
    </row>
    <row r="30" spans="1:6" ht="78.95" customHeight="1" x14ac:dyDescent="0.25">
      <c r="A30" s="355"/>
      <c r="B30" s="353"/>
      <c r="C30" s="96" t="s">
        <v>974</v>
      </c>
      <c r="D30" s="45">
        <f t="shared" si="1"/>
        <v>0.03</v>
      </c>
      <c r="E30" s="45">
        <f>ROUND((75.87*12*0.0117),2)</f>
        <v>10.65</v>
      </c>
    </row>
    <row r="31" spans="1:6" ht="78" customHeight="1" x14ac:dyDescent="0.25">
      <c r="A31" s="355"/>
      <c r="B31" s="353"/>
      <c r="C31" s="152" t="s">
        <v>1346</v>
      </c>
      <c r="D31" s="45">
        <f t="shared" si="1"/>
        <v>0.12</v>
      </c>
      <c r="E31" s="45">
        <f>ROUND((306*12*0.0117),2)</f>
        <v>42.96</v>
      </c>
    </row>
    <row r="32" spans="1:6" ht="77.45" customHeight="1" x14ac:dyDescent="0.25">
      <c r="A32" s="355"/>
      <c r="B32" s="353"/>
      <c r="C32" s="96" t="s">
        <v>975</v>
      </c>
      <c r="D32" s="45">
        <f t="shared" si="1"/>
        <v>0.19</v>
      </c>
      <c r="E32" s="45">
        <f>ROUND((482.27*12*0.0117),2)</f>
        <v>67.709999999999994</v>
      </c>
    </row>
    <row r="33" spans="1:5" ht="94.5" x14ac:dyDescent="0.25">
      <c r="A33" s="355"/>
      <c r="B33" s="353"/>
      <c r="C33" s="96" t="s">
        <v>976</v>
      </c>
      <c r="D33" s="45">
        <f t="shared" si="1"/>
        <v>7.0000000000000007E-2</v>
      </c>
      <c r="E33" s="45">
        <f>ROUND((175.25*12*0.0117),2)</f>
        <v>24.61</v>
      </c>
    </row>
    <row r="34" spans="1:5" ht="78.75" x14ac:dyDescent="0.25">
      <c r="A34" s="356"/>
      <c r="B34" s="354"/>
      <c r="C34" s="96" t="s">
        <v>977</v>
      </c>
      <c r="D34" s="45">
        <f t="shared" si="1"/>
        <v>0.02</v>
      </c>
      <c r="E34" s="45">
        <f>ROUND((44.48*12*0.0117),2)</f>
        <v>6.24</v>
      </c>
    </row>
    <row r="35" spans="1:5" ht="63" customHeight="1" x14ac:dyDescent="0.25">
      <c r="A35" s="7">
        <v>1200</v>
      </c>
      <c r="B35" s="166" t="s">
        <v>11</v>
      </c>
      <c r="C35" s="97" t="s">
        <v>978</v>
      </c>
      <c r="D35" s="92">
        <f t="shared" si="1"/>
        <v>0.11</v>
      </c>
      <c r="E35" s="92">
        <f>ROUND((167.21*0.2359),2)</f>
        <v>39.44</v>
      </c>
    </row>
    <row r="36" spans="1:5" ht="15.75" x14ac:dyDescent="0.25">
      <c r="A36" s="8">
        <v>2000</v>
      </c>
      <c r="B36" s="7" t="s">
        <v>12</v>
      </c>
      <c r="C36" s="94"/>
      <c r="D36" s="44">
        <f>SUM(D37:D47)</f>
        <v>8.9</v>
      </c>
      <c r="E36" s="44">
        <f>SUM(E37:E47)</f>
        <v>3206.2400000000002</v>
      </c>
    </row>
    <row r="37" spans="1:5" ht="31.5" x14ac:dyDescent="0.25">
      <c r="A37" s="4">
        <v>2221</v>
      </c>
      <c r="B37" s="97" t="s">
        <v>60</v>
      </c>
      <c r="C37" s="97" t="s">
        <v>950</v>
      </c>
      <c r="D37" s="45">
        <f>ROUND((E37/360),2)</f>
        <v>1.59</v>
      </c>
      <c r="E37" s="45">
        <f>ROUND((48868*0.0117),2)</f>
        <v>571.76</v>
      </c>
    </row>
    <row r="38" spans="1:5" ht="31.5" x14ac:dyDescent="0.25">
      <c r="A38" s="4">
        <v>2222</v>
      </c>
      <c r="B38" s="5" t="s">
        <v>61</v>
      </c>
      <c r="C38" s="5" t="s">
        <v>949</v>
      </c>
      <c r="D38" s="45">
        <f>ROUND((E38/360),2)</f>
        <v>1.69</v>
      </c>
      <c r="E38" s="45">
        <f>ROUND((52111.24*0.0117),2)</f>
        <v>609.70000000000005</v>
      </c>
    </row>
    <row r="39" spans="1:5" ht="79.5" customHeight="1" x14ac:dyDescent="0.25">
      <c r="A39" s="4">
        <v>2224</v>
      </c>
      <c r="B39" s="97" t="s">
        <v>62</v>
      </c>
      <c r="C39" s="97" t="s">
        <v>951</v>
      </c>
      <c r="D39" s="45">
        <f t="shared" ref="D39:D47" si="2">ROUND((E39/360),2)</f>
        <v>0.77</v>
      </c>
      <c r="E39" s="45">
        <f>ROUND((23680.95*0.0117),2)</f>
        <v>277.07</v>
      </c>
    </row>
    <row r="40" spans="1:5" ht="33.6" customHeight="1" x14ac:dyDescent="0.25">
      <c r="A40" s="4">
        <v>2232</v>
      </c>
      <c r="B40" s="89" t="s">
        <v>45</v>
      </c>
      <c r="C40" s="90" t="s">
        <v>952</v>
      </c>
      <c r="D40" s="45">
        <f>ROUND((E40/360-0.01),2)</f>
        <v>0.01</v>
      </c>
      <c r="E40" s="45">
        <f>ROUND((464.98*0.0117),2)</f>
        <v>5.44</v>
      </c>
    </row>
    <row r="41" spans="1:5" ht="78.75" x14ac:dyDescent="0.25">
      <c r="A41" s="4">
        <v>2243</v>
      </c>
      <c r="B41" s="90" t="s">
        <v>21</v>
      </c>
      <c r="C41" s="90" t="s">
        <v>953</v>
      </c>
      <c r="D41" s="45">
        <f t="shared" si="2"/>
        <v>0.06</v>
      </c>
      <c r="E41" s="169">
        <f>ROUND((1715.08*0.0117),2)</f>
        <v>20.07</v>
      </c>
    </row>
    <row r="42" spans="1:5" ht="47.25" x14ac:dyDescent="0.25">
      <c r="A42" s="4">
        <v>2244</v>
      </c>
      <c r="B42" s="97" t="s">
        <v>22</v>
      </c>
      <c r="C42" s="97" t="s">
        <v>954</v>
      </c>
      <c r="D42" s="45">
        <f t="shared" si="2"/>
        <v>4.34</v>
      </c>
      <c r="E42" s="45">
        <f>ROUND((133418.65*0.0117),2)</f>
        <v>1561</v>
      </c>
    </row>
    <row r="43" spans="1:5" ht="47.25" x14ac:dyDescent="0.25">
      <c r="A43" s="4">
        <v>2249</v>
      </c>
      <c r="B43" s="176" t="s">
        <v>50</v>
      </c>
      <c r="C43" s="97" t="s">
        <v>955</v>
      </c>
      <c r="D43" s="45">
        <f t="shared" si="2"/>
        <v>0.05</v>
      </c>
      <c r="E43" s="45">
        <f>ROUND((1602.25*0.0117),2)</f>
        <v>18.75</v>
      </c>
    </row>
    <row r="44" spans="1:5" ht="31.5" x14ac:dyDescent="0.25">
      <c r="A44" s="4">
        <v>2264</v>
      </c>
      <c r="B44" s="97" t="s">
        <v>58</v>
      </c>
      <c r="C44" s="97" t="s">
        <v>956</v>
      </c>
      <c r="D44" s="45">
        <f t="shared" si="2"/>
        <v>0</v>
      </c>
      <c r="E44" s="45">
        <f>ROUND((121*0.0117),2)</f>
        <v>1.42</v>
      </c>
    </row>
    <row r="45" spans="1:5" ht="31.5" x14ac:dyDescent="0.25">
      <c r="A45" s="4">
        <v>2312</v>
      </c>
      <c r="B45" s="4" t="s">
        <v>13</v>
      </c>
      <c r="C45" s="97" t="s">
        <v>957</v>
      </c>
      <c r="D45" s="45">
        <f t="shared" si="2"/>
        <v>0.02</v>
      </c>
      <c r="E45" s="45">
        <f>ROUND((607.49*0.0117),2)</f>
        <v>7.11</v>
      </c>
    </row>
    <row r="46" spans="1:5" ht="61.5" customHeight="1" x14ac:dyDescent="0.25">
      <c r="A46" s="4">
        <v>2350</v>
      </c>
      <c r="B46" s="5" t="s">
        <v>236</v>
      </c>
      <c r="C46" s="97" t="s">
        <v>958</v>
      </c>
      <c r="D46" s="45">
        <f t="shared" si="2"/>
        <v>0.03</v>
      </c>
      <c r="E46" s="114">
        <f>ROUND((905.02*0.0117),2)</f>
        <v>10.59</v>
      </c>
    </row>
    <row r="47" spans="1:5" ht="30" customHeight="1" x14ac:dyDescent="0.25">
      <c r="A47" s="4">
        <v>2513</v>
      </c>
      <c r="B47" s="5" t="s">
        <v>63</v>
      </c>
      <c r="C47" s="97" t="s">
        <v>959</v>
      </c>
      <c r="D47" s="45">
        <f t="shared" si="2"/>
        <v>0.34</v>
      </c>
      <c r="E47" s="45">
        <f>ROUND((10541.01*0.0117),2)</f>
        <v>123.33</v>
      </c>
    </row>
    <row r="48" spans="1:5" ht="15.75" x14ac:dyDescent="0.25">
      <c r="A48" s="10">
        <v>5000</v>
      </c>
      <c r="B48" s="9" t="s">
        <v>17</v>
      </c>
      <c r="C48" s="94"/>
      <c r="D48" s="44">
        <f>SUM(D49:D51)</f>
        <v>0.37</v>
      </c>
      <c r="E48" s="44">
        <f>SUM(E49:E51)</f>
        <v>134.52000000000001</v>
      </c>
    </row>
    <row r="49" spans="1:6" ht="31.5" x14ac:dyDescent="0.25">
      <c r="A49" s="4">
        <v>5212</v>
      </c>
      <c r="B49" s="5" t="s">
        <v>31</v>
      </c>
      <c r="C49" s="97" t="s">
        <v>960</v>
      </c>
      <c r="D49" s="45">
        <f>ROUND((E49/360),2)</f>
        <v>0.21</v>
      </c>
      <c r="E49" s="45">
        <f>ROUND((6565.16*0.0117),2)</f>
        <v>76.81</v>
      </c>
    </row>
    <row r="50" spans="1:6" ht="31.5" x14ac:dyDescent="0.25">
      <c r="A50" s="4">
        <v>5213</v>
      </c>
      <c r="B50" s="5" t="s">
        <v>32</v>
      </c>
      <c r="C50" s="97" t="s">
        <v>979</v>
      </c>
      <c r="D50" s="45">
        <f>ROUND((E50/360),2)</f>
        <v>0.14000000000000001</v>
      </c>
      <c r="E50" s="45">
        <f>ROUND((4439.23*0.0117),2)</f>
        <v>51.94</v>
      </c>
    </row>
    <row r="51" spans="1:6" ht="47.25" x14ac:dyDescent="0.25">
      <c r="A51" s="19">
        <v>5239</v>
      </c>
      <c r="B51" s="97" t="s">
        <v>18</v>
      </c>
      <c r="C51" s="97" t="s">
        <v>961</v>
      </c>
      <c r="D51" s="45">
        <f>ROUND((E51/360),2)</f>
        <v>0.02</v>
      </c>
      <c r="E51" s="45">
        <f>ROUND((492.88*0.0117),2)</f>
        <v>5.77</v>
      </c>
    </row>
    <row r="52" spans="1:6" ht="15.75" x14ac:dyDescent="0.25">
      <c r="A52" s="171"/>
      <c r="B52" s="9" t="s">
        <v>23</v>
      </c>
      <c r="C52" s="150"/>
      <c r="D52" s="44">
        <f>SUM(D23+D36+D48)</f>
        <v>9.86</v>
      </c>
      <c r="E52" s="41">
        <f>SUM(E23+E36+E48)</f>
        <v>3547.4100000000003</v>
      </c>
    </row>
    <row r="53" spans="1:6" ht="31.5" x14ac:dyDescent="0.25">
      <c r="A53" s="6"/>
      <c r="B53" s="11" t="s">
        <v>24</v>
      </c>
      <c r="C53" s="150"/>
      <c r="D53" s="93">
        <f>D21+D52</f>
        <v>10.62</v>
      </c>
      <c r="E53" s="42">
        <f>E21+E52</f>
        <v>3823.57</v>
      </c>
    </row>
    <row r="54" spans="1:6" ht="15.75" x14ac:dyDescent="0.25">
      <c r="A54" s="351" t="s">
        <v>219</v>
      </c>
      <c r="B54" s="351"/>
      <c r="C54" s="351"/>
      <c r="D54" s="196">
        <f>2*2*90</f>
        <v>360</v>
      </c>
      <c r="E54" s="211" t="s">
        <v>75</v>
      </c>
    </row>
    <row r="55" spans="1:6" ht="30.6" customHeight="1" x14ac:dyDescent="0.25">
      <c r="A55" s="351" t="s">
        <v>823</v>
      </c>
      <c r="B55" s="351"/>
      <c r="C55" s="351"/>
      <c r="D55" s="192">
        <f>ROUND((E53/D54),2)</f>
        <v>10.62</v>
      </c>
      <c r="E55" s="205" t="s">
        <v>857</v>
      </c>
      <c r="F55" s="40"/>
    </row>
    <row r="56" spans="1:6" ht="15.75" x14ac:dyDescent="0.25">
      <c r="A56" s="193"/>
      <c r="B56" s="194"/>
      <c r="C56" s="194"/>
      <c r="D56" s="195"/>
      <c r="E56" s="170"/>
    </row>
    <row r="57" spans="1:6" ht="15" customHeight="1" x14ac:dyDescent="0.25">
      <c r="A57" s="351" t="s">
        <v>220</v>
      </c>
      <c r="B57" s="351"/>
      <c r="C57" s="351"/>
      <c r="D57" s="196">
        <f>2*2*8</f>
        <v>32</v>
      </c>
      <c r="E57" s="192" t="s">
        <v>59</v>
      </c>
    </row>
    <row r="58" spans="1:6" ht="30" customHeight="1" x14ac:dyDescent="0.25">
      <c r="A58" s="365" t="s">
        <v>820</v>
      </c>
      <c r="B58" s="365"/>
      <c r="C58" s="365"/>
      <c r="D58" s="192">
        <f>ROUND((E53/D57),2)</f>
        <v>119.49</v>
      </c>
      <c r="E58" s="205" t="s">
        <v>980</v>
      </c>
    </row>
  </sheetData>
  <mergeCells count="9">
    <mergeCell ref="A55:C55"/>
    <mergeCell ref="A57:C57"/>
    <mergeCell ref="A58:C58"/>
    <mergeCell ref="A2:C2"/>
    <mergeCell ref="A3:E3"/>
    <mergeCell ref="A4:B4"/>
    <mergeCell ref="A26:A34"/>
    <mergeCell ref="B26:B34"/>
    <mergeCell ref="A54:C54"/>
  </mergeCells>
  <pageMargins left="0.7" right="0.7" top="0.75" bottom="0.75" header="0.3" footer="0.3"/>
  <pageSetup paperSize="9" orientation="landscape" r:id="rId1"/>
  <rowBreaks count="1" manualBreakCount="1">
    <brk id="47" max="16383" man="1"/>
  </rowBreaks>
  <ignoredErrors>
    <ignoredError sqref="D48 D36 D16:E16 D19:E19 D40" formula="1"/>
  </ignoredError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9638C-CD33-417C-A82C-50148B5A9D5D}">
  <dimension ref="A1:H58"/>
  <sheetViews>
    <sheetView topLeftCell="A43" zoomScaleNormal="100" workbookViewId="0">
      <selection activeCell="J51" sqref="J51"/>
    </sheetView>
  </sheetViews>
  <sheetFormatPr defaultRowHeight="15" x14ac:dyDescent="0.25"/>
  <cols>
    <col min="1" max="1" width="12.42578125" customWidth="1"/>
    <col min="2" max="2" width="27.28515625" customWidth="1"/>
    <col min="3" max="3" width="63.5703125" customWidth="1"/>
    <col min="4" max="4" width="10.140625" style="14" customWidth="1"/>
    <col min="5" max="5" width="17.5703125" style="14" customWidth="1"/>
  </cols>
  <sheetData>
    <row r="1" spans="1:5" s="175" customFormat="1" ht="18.75" x14ac:dyDescent="0.3">
      <c r="A1" s="158" t="s">
        <v>51</v>
      </c>
      <c r="D1" s="251"/>
      <c r="E1" s="251"/>
    </row>
    <row r="2" spans="1:5" ht="18.75" x14ac:dyDescent="0.3">
      <c r="A2" s="358" t="s">
        <v>1584</v>
      </c>
      <c r="B2" s="358"/>
      <c r="C2" s="358"/>
    </row>
    <row r="3" spans="1:5" ht="18.75" x14ac:dyDescent="0.25">
      <c r="A3" s="352" t="s">
        <v>1540</v>
      </c>
      <c r="B3" s="352"/>
      <c r="C3" s="352"/>
      <c r="D3" s="352"/>
      <c r="E3" s="352"/>
    </row>
    <row r="4" spans="1:5" ht="15.75" x14ac:dyDescent="0.25">
      <c r="A4" s="359" t="s">
        <v>74</v>
      </c>
      <c r="B4" s="359"/>
    </row>
    <row r="6" spans="1:5" ht="78.75" x14ac:dyDescent="0.25">
      <c r="A6" s="149" t="s">
        <v>0</v>
      </c>
      <c r="B6" s="149" t="s">
        <v>1</v>
      </c>
      <c r="C6" s="149" t="s">
        <v>2</v>
      </c>
      <c r="D6" s="168" t="s">
        <v>26</v>
      </c>
      <c r="E6" s="91" t="s">
        <v>27</v>
      </c>
    </row>
    <row r="7" spans="1:5" ht="15.75" x14ac:dyDescent="0.25">
      <c r="A7" s="98">
        <v>1</v>
      </c>
      <c r="B7" s="98">
        <v>2</v>
      </c>
      <c r="C7" s="98">
        <v>3</v>
      </c>
      <c r="D7" s="45">
        <v>4</v>
      </c>
      <c r="E7" s="45">
        <v>5</v>
      </c>
    </row>
    <row r="8" spans="1:5" ht="15.75" x14ac:dyDescent="0.25">
      <c r="A8" s="4"/>
      <c r="B8" s="7" t="s">
        <v>7</v>
      </c>
      <c r="C8" s="98" t="s">
        <v>8</v>
      </c>
      <c r="D8" s="43"/>
      <c r="E8" s="43"/>
    </row>
    <row r="9" spans="1:5" ht="15.75" x14ac:dyDescent="0.25">
      <c r="A9" s="8">
        <v>1000</v>
      </c>
      <c r="B9" s="7" t="s">
        <v>9</v>
      </c>
      <c r="C9" s="284"/>
      <c r="D9" s="44">
        <f>D10+D16</f>
        <v>0.56000000000000005</v>
      </c>
      <c r="E9" s="44">
        <f>E10+E16</f>
        <v>5176.53</v>
      </c>
    </row>
    <row r="10" spans="1:5" ht="15.75" x14ac:dyDescent="0.25">
      <c r="A10" s="280">
        <v>1100</v>
      </c>
      <c r="B10" s="280" t="s">
        <v>10</v>
      </c>
      <c r="C10" s="284"/>
      <c r="D10" s="44">
        <f>SUM(D12:D15)</f>
        <v>0.44</v>
      </c>
      <c r="E10" s="44">
        <f>SUM(E12:E15)</f>
        <v>4039.8999999999996</v>
      </c>
    </row>
    <row r="11" spans="1:5" ht="15.75" x14ac:dyDescent="0.25">
      <c r="A11" s="16">
        <v>1110</v>
      </c>
      <c r="B11" s="16" t="s">
        <v>240</v>
      </c>
      <c r="C11" s="300" t="s">
        <v>241</v>
      </c>
      <c r="D11" s="114">
        <f>SUM(D12:D14)</f>
        <v>0.4</v>
      </c>
      <c r="E11" s="114">
        <f>SUM(E12:E14)</f>
        <v>3672.6299999999997</v>
      </c>
    </row>
    <row r="12" spans="1:5" ht="79.5" customHeight="1" x14ac:dyDescent="0.25">
      <c r="A12" s="136"/>
      <c r="B12" s="139"/>
      <c r="C12" s="152" t="s">
        <v>997</v>
      </c>
      <c r="D12" s="114">
        <f>ROUND((E12/9450),2)</f>
        <v>0.02</v>
      </c>
      <c r="E12" s="114">
        <f>ROUND((50.96*12*0.2415),2)</f>
        <v>147.68</v>
      </c>
    </row>
    <row r="13" spans="1:5" ht="76.5" customHeight="1" x14ac:dyDescent="0.25">
      <c r="A13" s="153"/>
      <c r="B13" s="154"/>
      <c r="C13" s="152" t="s">
        <v>998</v>
      </c>
      <c r="D13" s="114">
        <f t="shared" ref="D13:D20" si="0">ROUND((E13/9450),2)</f>
        <v>0.36</v>
      </c>
      <c r="E13" s="114">
        <f>ROUND((1160.28*12*0.2415),2)</f>
        <v>3362.49</v>
      </c>
    </row>
    <row r="14" spans="1:5" ht="78.75" x14ac:dyDescent="0.25">
      <c r="A14" s="138"/>
      <c r="B14" s="141"/>
      <c r="C14" s="152" t="s">
        <v>999</v>
      </c>
      <c r="D14" s="114">
        <f t="shared" si="0"/>
        <v>0.02</v>
      </c>
      <c r="E14" s="114">
        <f>ROUND((56.06*12*0.2415),2)</f>
        <v>162.46</v>
      </c>
    </row>
    <row r="15" spans="1:5" ht="63.95" customHeight="1" x14ac:dyDescent="0.25">
      <c r="A15" s="131">
        <v>1140</v>
      </c>
      <c r="B15" s="5" t="s">
        <v>237</v>
      </c>
      <c r="C15" s="152" t="s">
        <v>1000</v>
      </c>
      <c r="D15" s="114">
        <f t="shared" si="0"/>
        <v>0.04</v>
      </c>
      <c r="E15" s="114">
        <f>ROUND((147.68*0.1+3362.49*0.1+162.46*0.1+0.01),2)</f>
        <v>367.27</v>
      </c>
    </row>
    <row r="16" spans="1:5" ht="63" customHeight="1" x14ac:dyDescent="0.25">
      <c r="A16" s="7">
        <v>1200</v>
      </c>
      <c r="B16" s="303" t="s">
        <v>11</v>
      </c>
      <c r="C16" s="176" t="s">
        <v>1349</v>
      </c>
      <c r="D16" s="92">
        <f>ROUND((D17+D18),2)</f>
        <v>0.12</v>
      </c>
      <c r="E16" s="92">
        <f>ROUND((E17+E18),2)</f>
        <v>1136.6300000000001</v>
      </c>
    </row>
    <row r="17" spans="1:8" ht="47.25" x14ac:dyDescent="0.25">
      <c r="A17" s="4">
        <v>1210</v>
      </c>
      <c r="B17" s="5" t="s">
        <v>239</v>
      </c>
      <c r="C17" s="176" t="s">
        <v>1347</v>
      </c>
      <c r="D17" s="114">
        <f t="shared" si="0"/>
        <v>0.1</v>
      </c>
      <c r="E17" s="45">
        <f>ROUND((4039.9*0.2359),2)</f>
        <v>953.01</v>
      </c>
    </row>
    <row r="18" spans="1:8" ht="63" x14ac:dyDescent="0.25">
      <c r="A18" s="4">
        <v>1227</v>
      </c>
      <c r="B18" s="5" t="s">
        <v>238</v>
      </c>
      <c r="C18" s="152" t="s">
        <v>1348</v>
      </c>
      <c r="D18" s="114">
        <f t="shared" si="0"/>
        <v>0.02</v>
      </c>
      <c r="E18" s="114">
        <f>ROUND((147.68*0.05+3362.49*0.05+162.46*0.05-0.01),2)</f>
        <v>183.62</v>
      </c>
      <c r="F18" s="40"/>
      <c r="G18" s="40"/>
      <c r="H18" s="40"/>
    </row>
    <row r="19" spans="1:8" ht="15.75" x14ac:dyDescent="0.25">
      <c r="A19" s="8">
        <v>2000</v>
      </c>
      <c r="B19" s="7" t="s">
        <v>12</v>
      </c>
      <c r="C19" s="176"/>
      <c r="D19" s="114">
        <f>SUM(D21)</f>
        <v>0.62000000000000011</v>
      </c>
      <c r="E19" s="114">
        <f>SUM(E21)</f>
        <v>5700.13</v>
      </c>
    </row>
    <row r="20" spans="1:8" ht="31.5" customHeight="1" x14ac:dyDescent="0.25">
      <c r="A20" s="4">
        <v>2249</v>
      </c>
      <c r="B20" s="5" t="s">
        <v>50</v>
      </c>
      <c r="C20" s="101" t="s">
        <v>996</v>
      </c>
      <c r="D20" s="114">
        <f t="shared" si="0"/>
        <v>0.06</v>
      </c>
      <c r="E20" s="45">
        <f>ROUND((2168.13*0.2415),2)</f>
        <v>523.6</v>
      </c>
    </row>
    <row r="21" spans="1:8" ht="15.75" x14ac:dyDescent="0.25">
      <c r="A21" s="4"/>
      <c r="B21" s="9" t="s">
        <v>14</v>
      </c>
      <c r="C21" s="99" t="s">
        <v>16</v>
      </c>
      <c r="D21" s="44">
        <f>D9+D20</f>
        <v>0.62000000000000011</v>
      </c>
      <c r="E21" s="44">
        <f>E9+E20</f>
        <v>5700.13</v>
      </c>
    </row>
    <row r="22" spans="1:8" ht="15.75" x14ac:dyDescent="0.25">
      <c r="A22" s="4"/>
      <c r="B22" s="9" t="s">
        <v>15</v>
      </c>
      <c r="C22" s="98" t="s">
        <v>8</v>
      </c>
      <c r="D22" s="43"/>
      <c r="E22" s="43"/>
    </row>
    <row r="23" spans="1:8" ht="15.75" x14ac:dyDescent="0.25">
      <c r="A23" s="8">
        <v>1000</v>
      </c>
      <c r="B23" s="7" t="s">
        <v>9</v>
      </c>
      <c r="C23" s="98"/>
      <c r="D23" s="92">
        <f>SUM(D24+D35)</f>
        <v>0.44999999999999996</v>
      </c>
      <c r="E23" s="92">
        <f>SUM(E24+E35)</f>
        <v>4265.87</v>
      </c>
    </row>
    <row r="24" spans="1:8" ht="15.75" x14ac:dyDescent="0.25">
      <c r="A24" s="4">
        <v>1100</v>
      </c>
      <c r="B24" s="4" t="s">
        <v>10</v>
      </c>
      <c r="C24" s="147" t="s">
        <v>267</v>
      </c>
      <c r="D24" s="92">
        <f>SUM(D25:D34)</f>
        <v>0.36</v>
      </c>
      <c r="E24" s="92">
        <f>SUM(E25:E34)</f>
        <v>3451.6299999999997</v>
      </c>
    </row>
    <row r="25" spans="1:8" ht="78.95" customHeight="1" x14ac:dyDescent="0.25">
      <c r="A25" s="237"/>
      <c r="B25" s="238"/>
      <c r="C25" s="100" t="s">
        <v>1010</v>
      </c>
      <c r="D25" s="45">
        <f>ROUND((E25/9450),2)</f>
        <v>0.01</v>
      </c>
      <c r="E25" s="45">
        <f>ROUND((21.47*12*0.2415),2)</f>
        <v>62.22</v>
      </c>
      <c r="H25" s="51"/>
    </row>
    <row r="26" spans="1:8" ht="78.599999999999994" customHeight="1" x14ac:dyDescent="0.25">
      <c r="A26" s="355"/>
      <c r="B26" s="353"/>
      <c r="C26" s="152" t="s">
        <v>1009</v>
      </c>
      <c r="D26" s="45">
        <f t="shared" ref="D26:D35" si="1">ROUND((E26/9450),2)</f>
        <v>0</v>
      </c>
      <c r="E26" s="45">
        <f>ROUND((14.17*12*0.2415),2)</f>
        <v>41.06</v>
      </c>
      <c r="H26" s="51"/>
    </row>
    <row r="27" spans="1:8" ht="78.75" x14ac:dyDescent="0.25">
      <c r="A27" s="355"/>
      <c r="B27" s="353"/>
      <c r="C27" s="100" t="s">
        <v>1001</v>
      </c>
      <c r="D27" s="45">
        <f t="shared" si="1"/>
        <v>0.01</v>
      </c>
      <c r="E27" s="45">
        <f>ROUND((20.53*12*0.2415),2)</f>
        <v>59.5</v>
      </c>
      <c r="H27" s="51"/>
    </row>
    <row r="28" spans="1:8" ht="78" customHeight="1" x14ac:dyDescent="0.25">
      <c r="A28" s="355"/>
      <c r="B28" s="353"/>
      <c r="C28" s="152" t="s">
        <v>1002</v>
      </c>
      <c r="D28" s="45">
        <f t="shared" si="1"/>
        <v>0.01</v>
      </c>
      <c r="E28" s="45">
        <f>ROUND((30.96*12*0.2415),2)</f>
        <v>89.72</v>
      </c>
      <c r="H28" s="51"/>
    </row>
    <row r="29" spans="1:8" ht="78.75" customHeight="1" x14ac:dyDescent="0.25">
      <c r="A29" s="355"/>
      <c r="B29" s="353"/>
      <c r="C29" s="100" t="s">
        <v>1003</v>
      </c>
      <c r="D29" s="45">
        <f t="shared" si="1"/>
        <v>0.01</v>
      </c>
      <c r="E29" s="45">
        <f>ROUND((20.04*12*0.2415),2)</f>
        <v>58.08</v>
      </c>
      <c r="H29" s="51"/>
    </row>
    <row r="30" spans="1:8" ht="77.45" customHeight="1" x14ac:dyDescent="0.25">
      <c r="A30" s="355"/>
      <c r="B30" s="353"/>
      <c r="C30" s="100" t="s">
        <v>1004</v>
      </c>
      <c r="D30" s="45">
        <f t="shared" si="1"/>
        <v>0.02</v>
      </c>
      <c r="E30" s="45">
        <f>ROUND((75.87*12*0.2415),2)</f>
        <v>219.87</v>
      </c>
      <c r="H30" s="51"/>
    </row>
    <row r="31" spans="1:8" ht="78" customHeight="1" x14ac:dyDescent="0.25">
      <c r="A31" s="355"/>
      <c r="B31" s="353"/>
      <c r="C31" s="152" t="s">
        <v>1007</v>
      </c>
      <c r="D31" s="45">
        <f t="shared" si="1"/>
        <v>0.09</v>
      </c>
      <c r="E31" s="45">
        <f>ROUND((306*12*0.2415),2)</f>
        <v>886.79</v>
      </c>
      <c r="H31" s="51"/>
    </row>
    <row r="32" spans="1:8" ht="78" customHeight="1" x14ac:dyDescent="0.25">
      <c r="A32" s="355"/>
      <c r="B32" s="353"/>
      <c r="C32" s="100" t="s">
        <v>1008</v>
      </c>
      <c r="D32" s="45">
        <f t="shared" si="1"/>
        <v>0.15</v>
      </c>
      <c r="E32" s="45">
        <f>ROUND((482.27*12*0.2415),2)</f>
        <v>1397.62</v>
      </c>
      <c r="H32" s="51"/>
    </row>
    <row r="33" spans="1:8" ht="94.5" x14ac:dyDescent="0.25">
      <c r="A33" s="355"/>
      <c r="B33" s="353"/>
      <c r="C33" s="100" t="s">
        <v>1006</v>
      </c>
      <c r="D33" s="45">
        <f t="shared" si="1"/>
        <v>0.05</v>
      </c>
      <c r="E33" s="45">
        <f>ROUND((175.25*12*0.2415),2)</f>
        <v>507.87</v>
      </c>
      <c r="H33" s="51"/>
    </row>
    <row r="34" spans="1:8" ht="78.599999999999994" customHeight="1" x14ac:dyDescent="0.25">
      <c r="A34" s="356"/>
      <c r="B34" s="354"/>
      <c r="C34" s="100" t="s">
        <v>1005</v>
      </c>
      <c r="D34" s="45">
        <f t="shared" si="1"/>
        <v>0.01</v>
      </c>
      <c r="E34" s="45">
        <f>ROUND((44.48*12*0.2415),2)</f>
        <v>128.9</v>
      </c>
      <c r="H34" s="51"/>
    </row>
    <row r="35" spans="1:8" ht="62.1" customHeight="1" x14ac:dyDescent="0.25">
      <c r="A35" s="7">
        <v>1200</v>
      </c>
      <c r="B35" s="166" t="s">
        <v>11</v>
      </c>
      <c r="C35" s="101" t="s">
        <v>1011</v>
      </c>
      <c r="D35" s="92">
        <f t="shared" si="1"/>
        <v>0.09</v>
      </c>
      <c r="E35" s="92">
        <f>ROUND((3451.63*0.2359),2)</f>
        <v>814.24</v>
      </c>
      <c r="H35" s="51"/>
    </row>
    <row r="36" spans="1:8" ht="15.75" x14ac:dyDescent="0.25">
      <c r="A36" s="8">
        <v>2000</v>
      </c>
      <c r="B36" s="7" t="s">
        <v>12</v>
      </c>
      <c r="C36" s="98"/>
      <c r="D36" s="44">
        <f>SUM(D37:D47)</f>
        <v>6.99</v>
      </c>
      <c r="E36" s="44">
        <f>SUM(E37:E47)</f>
        <v>66179.59</v>
      </c>
      <c r="H36" s="51"/>
    </row>
    <row r="37" spans="1:8" ht="31.5" x14ac:dyDescent="0.25">
      <c r="A37" s="4">
        <v>2221</v>
      </c>
      <c r="B37" s="101" t="s">
        <v>60</v>
      </c>
      <c r="C37" s="101" t="s">
        <v>995</v>
      </c>
      <c r="D37" s="45">
        <f>ROUND((E37/9450),2)</f>
        <v>1.25</v>
      </c>
      <c r="E37" s="45">
        <f>ROUND((48868*0.2415),2)</f>
        <v>11801.62</v>
      </c>
      <c r="H37" s="51"/>
    </row>
    <row r="38" spans="1:8" ht="31.5" x14ac:dyDescent="0.25">
      <c r="A38" s="4">
        <v>2222</v>
      </c>
      <c r="B38" s="5" t="s">
        <v>61</v>
      </c>
      <c r="C38" s="5" t="s">
        <v>994</v>
      </c>
      <c r="D38" s="45">
        <f t="shared" ref="D38:D47" si="2">ROUND((E38/9450),2)</f>
        <v>1.33</v>
      </c>
      <c r="E38" s="45">
        <f>ROUND((52111.24*0.2415),2)</f>
        <v>12584.86</v>
      </c>
      <c r="H38" s="51"/>
    </row>
    <row r="39" spans="1:8" ht="77.45" customHeight="1" x14ac:dyDescent="0.25">
      <c r="A39" s="4">
        <v>2224</v>
      </c>
      <c r="B39" s="101" t="s">
        <v>62</v>
      </c>
      <c r="C39" s="101" t="s">
        <v>993</v>
      </c>
      <c r="D39" s="45">
        <f>ROUND((E39/9450),2)-0.01</f>
        <v>0.6</v>
      </c>
      <c r="E39" s="45">
        <f>ROUND((23680.95*0.2415),2)</f>
        <v>5718.95</v>
      </c>
      <c r="H39" s="51"/>
    </row>
    <row r="40" spans="1:8" ht="32.1" customHeight="1" x14ac:dyDescent="0.25">
      <c r="A40" s="4">
        <v>2232</v>
      </c>
      <c r="B40" s="89" t="s">
        <v>45</v>
      </c>
      <c r="C40" s="90" t="s">
        <v>992</v>
      </c>
      <c r="D40" s="45">
        <f t="shared" si="2"/>
        <v>0.01</v>
      </c>
      <c r="E40" s="45">
        <f>ROUND((464.98*0.2415),2)</f>
        <v>112.29</v>
      </c>
      <c r="H40" s="51"/>
    </row>
    <row r="41" spans="1:8" ht="78.75" x14ac:dyDescent="0.25">
      <c r="A41" s="4">
        <v>2243</v>
      </c>
      <c r="B41" s="90" t="s">
        <v>21</v>
      </c>
      <c r="C41" s="90" t="s">
        <v>991</v>
      </c>
      <c r="D41" s="45">
        <f t="shared" si="2"/>
        <v>0.04</v>
      </c>
      <c r="E41" s="169">
        <f>ROUND((1715.08*0.2415),2)</f>
        <v>414.19</v>
      </c>
      <c r="H41" s="51"/>
    </row>
    <row r="42" spans="1:8" ht="47.25" x14ac:dyDescent="0.25">
      <c r="A42" s="4">
        <v>2244</v>
      </c>
      <c r="B42" s="101" t="s">
        <v>22</v>
      </c>
      <c r="C42" s="101" t="s">
        <v>990</v>
      </c>
      <c r="D42" s="45">
        <f t="shared" si="2"/>
        <v>3.41</v>
      </c>
      <c r="E42" s="45">
        <f>ROUND((133418.65*0.2415),2)</f>
        <v>32220.6</v>
      </c>
      <c r="H42" s="51"/>
    </row>
    <row r="43" spans="1:8" ht="47.25" x14ac:dyDescent="0.25">
      <c r="A43" s="4">
        <v>2249</v>
      </c>
      <c r="B43" s="101" t="s">
        <v>50</v>
      </c>
      <c r="C43" s="101" t="s">
        <v>989</v>
      </c>
      <c r="D43" s="45">
        <f t="shared" si="2"/>
        <v>0.04</v>
      </c>
      <c r="E43" s="45">
        <f>ROUND((1602.25*0.2415),2)</f>
        <v>386.94</v>
      </c>
      <c r="H43" s="51"/>
    </row>
    <row r="44" spans="1:8" ht="31.5" x14ac:dyDescent="0.25">
      <c r="A44" s="4">
        <v>2264</v>
      </c>
      <c r="B44" s="101" t="s">
        <v>58</v>
      </c>
      <c r="C44" s="101" t="s">
        <v>1350</v>
      </c>
      <c r="D44" s="45">
        <f t="shared" si="2"/>
        <v>0</v>
      </c>
      <c r="E44" s="45">
        <f>ROUND((121*0.2415),2)</f>
        <v>29.22</v>
      </c>
      <c r="H44" s="51"/>
    </row>
    <row r="45" spans="1:8" ht="31.5" x14ac:dyDescent="0.25">
      <c r="A45" s="4">
        <v>2312</v>
      </c>
      <c r="B45" s="4" t="s">
        <v>13</v>
      </c>
      <c r="C45" s="101" t="s">
        <v>988</v>
      </c>
      <c r="D45" s="45">
        <f>ROUND((E45/9450),2)</f>
        <v>0.02</v>
      </c>
      <c r="E45" s="45">
        <f>ROUND((607.49*0.2415),2)</f>
        <v>146.71</v>
      </c>
      <c r="H45" s="51"/>
    </row>
    <row r="46" spans="1:8" ht="62.25" customHeight="1" x14ac:dyDescent="0.25">
      <c r="A46" s="4">
        <v>2350</v>
      </c>
      <c r="B46" s="5" t="s">
        <v>236</v>
      </c>
      <c r="C46" s="101" t="s">
        <v>987</v>
      </c>
      <c r="D46" s="45">
        <f t="shared" si="2"/>
        <v>0.02</v>
      </c>
      <c r="E46" s="114">
        <f>ROUND((905.02*0.2415),2)</f>
        <v>218.56</v>
      </c>
      <c r="H46" s="51"/>
    </row>
    <row r="47" spans="1:8" ht="32.25" customHeight="1" x14ac:dyDescent="0.25">
      <c r="A47" s="4">
        <v>2513</v>
      </c>
      <c r="B47" s="5" t="s">
        <v>63</v>
      </c>
      <c r="C47" s="101" t="s">
        <v>986</v>
      </c>
      <c r="D47" s="45">
        <f t="shared" si="2"/>
        <v>0.27</v>
      </c>
      <c r="E47" s="45">
        <f>ROUND((10541.01*0.2415),2)</f>
        <v>2545.65</v>
      </c>
      <c r="H47" s="51"/>
    </row>
    <row r="48" spans="1:8" ht="17.25" customHeight="1" x14ac:dyDescent="0.25">
      <c r="A48" s="10">
        <v>5000</v>
      </c>
      <c r="B48" s="166" t="s">
        <v>17</v>
      </c>
      <c r="C48" s="284"/>
      <c r="D48" s="41">
        <f>SUM(D49:D51)</f>
        <v>0.29000000000000004</v>
      </c>
      <c r="E48" s="41">
        <f>SUM(E49:E51)</f>
        <v>2776.59</v>
      </c>
      <c r="H48" s="51"/>
    </row>
    <row r="49" spans="1:8" ht="31.5" x14ac:dyDescent="0.25">
      <c r="A49" s="4">
        <v>5212</v>
      </c>
      <c r="B49" s="5" t="s">
        <v>31</v>
      </c>
      <c r="C49" s="101" t="s">
        <v>985</v>
      </c>
      <c r="D49" s="45">
        <f>ROUND((E49/9450),2)</f>
        <v>0.17</v>
      </c>
      <c r="E49" s="45">
        <f>ROUND((6565.16*0.2415),2)</f>
        <v>1585.49</v>
      </c>
      <c r="H49" s="51"/>
    </row>
    <row r="50" spans="1:8" ht="31.5" x14ac:dyDescent="0.25">
      <c r="A50" s="4">
        <v>5213</v>
      </c>
      <c r="B50" s="5" t="s">
        <v>32</v>
      </c>
      <c r="C50" s="101" t="s">
        <v>984</v>
      </c>
      <c r="D50" s="45">
        <f>ROUND((E50/9450),2)</f>
        <v>0.11</v>
      </c>
      <c r="E50" s="45">
        <f>ROUND((4439.23*0.2415),2)</f>
        <v>1072.07</v>
      </c>
      <c r="H50" s="51"/>
    </row>
    <row r="51" spans="1:8" ht="47.25" x14ac:dyDescent="0.25">
      <c r="A51" s="19">
        <v>5239</v>
      </c>
      <c r="B51" s="101" t="s">
        <v>18</v>
      </c>
      <c r="C51" s="101" t="s">
        <v>983</v>
      </c>
      <c r="D51" s="45">
        <f>ROUND((E51/9450),2)</f>
        <v>0.01</v>
      </c>
      <c r="E51" s="45">
        <f>ROUND((492.88*0.2415),2)</f>
        <v>119.03</v>
      </c>
      <c r="H51" s="51"/>
    </row>
    <row r="52" spans="1:8" ht="18" customHeight="1" x14ac:dyDescent="0.25">
      <c r="A52" s="171"/>
      <c r="B52" s="166" t="s">
        <v>23</v>
      </c>
      <c r="C52" s="284"/>
      <c r="D52" s="41">
        <f>SUM(D23+D36+D48)</f>
        <v>7.73</v>
      </c>
      <c r="E52" s="41">
        <f>SUM(E23+E36+E48)</f>
        <v>73222.049999999988</v>
      </c>
    </row>
    <row r="53" spans="1:8" ht="31.5" x14ac:dyDescent="0.25">
      <c r="A53" s="6"/>
      <c r="B53" s="11" t="s">
        <v>24</v>
      </c>
      <c r="C53" s="98"/>
      <c r="D53" s="93">
        <f>D21+D52</f>
        <v>8.3500000000000014</v>
      </c>
      <c r="E53" s="42">
        <f>E21+E52</f>
        <v>78922.179999999993</v>
      </c>
    </row>
    <row r="54" spans="1:8" ht="15.75" x14ac:dyDescent="0.25">
      <c r="A54" s="351" t="s">
        <v>221</v>
      </c>
      <c r="B54" s="351"/>
      <c r="C54" s="351"/>
      <c r="D54" s="197">
        <f>35*3*90</f>
        <v>9450</v>
      </c>
      <c r="E54" s="211" t="s">
        <v>75</v>
      </c>
    </row>
    <row r="55" spans="1:8" ht="30.6" customHeight="1" x14ac:dyDescent="0.25">
      <c r="A55" s="351" t="s">
        <v>823</v>
      </c>
      <c r="B55" s="351"/>
      <c r="C55" s="351"/>
      <c r="D55" s="198">
        <f>ROUND((E53/D54),2)</f>
        <v>8.35</v>
      </c>
      <c r="E55" s="205" t="s">
        <v>982</v>
      </c>
    </row>
    <row r="56" spans="1:8" ht="15.75" x14ac:dyDescent="0.25">
      <c r="A56" s="63"/>
      <c r="B56" s="63"/>
      <c r="C56" s="63"/>
      <c r="D56" s="199"/>
      <c r="E56" s="256"/>
    </row>
    <row r="57" spans="1:8" ht="15.75" x14ac:dyDescent="0.25">
      <c r="A57" s="351" t="s">
        <v>222</v>
      </c>
      <c r="B57" s="351"/>
      <c r="C57" s="351"/>
      <c r="D57" s="196">
        <f>35*3*8</f>
        <v>840</v>
      </c>
      <c r="E57" s="192" t="s">
        <v>77</v>
      </c>
    </row>
    <row r="58" spans="1:8" ht="30" customHeight="1" x14ac:dyDescent="0.25">
      <c r="A58" s="365" t="s">
        <v>820</v>
      </c>
      <c r="B58" s="365"/>
      <c r="C58" s="365"/>
      <c r="D58" s="198">
        <f>ROUND((E53/D57),2)</f>
        <v>93.95</v>
      </c>
      <c r="E58" s="205" t="s">
        <v>980</v>
      </c>
    </row>
  </sheetData>
  <mergeCells count="9">
    <mergeCell ref="A55:C55"/>
    <mergeCell ref="A57:C57"/>
    <mergeCell ref="A58:C58"/>
    <mergeCell ref="A2:C2"/>
    <mergeCell ref="A3:E3"/>
    <mergeCell ref="A4:B4"/>
    <mergeCell ref="A26:A34"/>
    <mergeCell ref="B26:B34"/>
    <mergeCell ref="A54:C54"/>
  </mergeCells>
  <pageMargins left="0.7" right="0.7" top="0.75" bottom="0.75" header="0.3" footer="0.3"/>
  <pageSetup paperSize="9" orientation="landscape" r:id="rId1"/>
  <rowBreaks count="1" manualBreakCount="1">
    <brk id="49" max="4" man="1"/>
  </rowBreaks>
  <ignoredErrors>
    <ignoredError sqref="D39" formula="1"/>
  </ignoredError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3C0E6-A383-442A-B9FE-07BFE395146F}">
  <dimension ref="A1:H57"/>
  <sheetViews>
    <sheetView zoomScaleNormal="100" workbookViewId="0">
      <selection activeCell="B39" sqref="B39"/>
    </sheetView>
  </sheetViews>
  <sheetFormatPr defaultRowHeight="15" x14ac:dyDescent="0.25"/>
  <cols>
    <col min="1" max="1" width="12.42578125" customWidth="1"/>
    <col min="2" max="2" width="27" customWidth="1"/>
    <col min="3" max="3" width="59.42578125" customWidth="1"/>
    <col min="4" max="4" width="9.140625" customWidth="1"/>
    <col min="5" max="5" width="17.85546875" customWidth="1"/>
  </cols>
  <sheetData>
    <row r="1" spans="1:8" ht="18.75" x14ac:dyDescent="0.3">
      <c r="A1" s="54" t="s">
        <v>78</v>
      </c>
      <c r="B1" s="54"/>
      <c r="C1" s="54"/>
    </row>
    <row r="2" spans="1:8" ht="18.75" x14ac:dyDescent="0.3">
      <c r="A2" s="366" t="s">
        <v>170</v>
      </c>
      <c r="B2" s="366"/>
      <c r="C2" s="366"/>
      <c r="D2" s="366"/>
      <c r="E2" s="366"/>
    </row>
    <row r="3" spans="1:8" ht="18.75" x14ac:dyDescent="0.25">
      <c r="A3" s="367" t="s">
        <v>171</v>
      </c>
      <c r="B3" s="367"/>
      <c r="C3" s="367"/>
    </row>
    <row r="4" spans="1:8" ht="18.75" x14ac:dyDescent="0.3">
      <c r="A4" s="359" t="s">
        <v>74</v>
      </c>
      <c r="B4" s="359"/>
      <c r="C4" s="54"/>
    </row>
    <row r="6" spans="1:8" ht="78.75" x14ac:dyDescent="0.25">
      <c r="A6" s="149" t="s">
        <v>0</v>
      </c>
      <c r="B6" s="149" t="s">
        <v>1</v>
      </c>
      <c r="C6" s="149" t="s">
        <v>2</v>
      </c>
      <c r="D6" s="162" t="s">
        <v>26</v>
      </c>
      <c r="E6" s="162" t="s">
        <v>27</v>
      </c>
    </row>
    <row r="7" spans="1:8" ht="15.75" x14ac:dyDescent="0.25">
      <c r="A7" s="98">
        <v>1</v>
      </c>
      <c r="B7" s="98">
        <v>2</v>
      </c>
      <c r="C7" s="98">
        <v>3</v>
      </c>
      <c r="D7" s="28">
        <v>4</v>
      </c>
      <c r="E7" s="28">
        <v>5</v>
      </c>
    </row>
    <row r="8" spans="1:8" ht="15.75" x14ac:dyDescent="0.25">
      <c r="A8" s="4"/>
      <c r="B8" s="7" t="s">
        <v>7</v>
      </c>
      <c r="C8" s="98" t="s">
        <v>8</v>
      </c>
      <c r="D8" s="25"/>
      <c r="E8" s="23"/>
    </row>
    <row r="9" spans="1:8" ht="15.75" x14ac:dyDescent="0.25">
      <c r="A9" s="8">
        <v>1000</v>
      </c>
      <c r="B9" s="7" t="s">
        <v>9</v>
      </c>
      <c r="C9" s="284"/>
      <c r="D9" s="44">
        <f>D10+D16</f>
        <v>0.85999999999999988</v>
      </c>
      <c r="E9" s="44">
        <f>E10+E16</f>
        <v>2305.0899999999997</v>
      </c>
    </row>
    <row r="10" spans="1:8" ht="15.75" x14ac:dyDescent="0.25">
      <c r="A10" s="280">
        <v>1100</v>
      </c>
      <c r="B10" s="280" t="s">
        <v>10</v>
      </c>
      <c r="C10" s="284"/>
      <c r="D10" s="44">
        <f>SUM(D12:D15)</f>
        <v>0.66999999999999993</v>
      </c>
      <c r="E10" s="44">
        <f>SUM(E12:E15)</f>
        <v>1798.9399999999998</v>
      </c>
    </row>
    <row r="11" spans="1:8" ht="15.75" x14ac:dyDescent="0.25">
      <c r="A11" s="16">
        <v>1110</v>
      </c>
      <c r="B11" s="16" t="s">
        <v>240</v>
      </c>
      <c r="C11" s="300" t="s">
        <v>241</v>
      </c>
      <c r="D11" s="114">
        <f>SUM(D12:D14)</f>
        <v>0.61</v>
      </c>
      <c r="E11" s="114">
        <f>SUM(E12:E14)</f>
        <v>1635.3999999999999</v>
      </c>
    </row>
    <row r="12" spans="1:8" ht="94.5" x14ac:dyDescent="0.25">
      <c r="A12" s="136"/>
      <c r="B12" s="139"/>
      <c r="C12" s="132" t="s">
        <v>1012</v>
      </c>
      <c r="D12" s="114">
        <f>ROUND((E12/2688),2)</f>
        <v>0.11</v>
      </c>
      <c r="E12" s="114">
        <f>ROUND((41.51*12*0.6049),2)</f>
        <v>301.31</v>
      </c>
    </row>
    <row r="13" spans="1:8" ht="94.5" x14ac:dyDescent="0.25">
      <c r="A13" s="153"/>
      <c r="B13" s="154"/>
      <c r="C13" s="132" t="s">
        <v>1014</v>
      </c>
      <c r="D13" s="114">
        <f t="shared" ref="D13:D18" si="0">ROUND((E13/2688),2)</f>
        <v>0.35</v>
      </c>
      <c r="E13" s="114">
        <f>ROUND((129.02*12*0.6049),2)</f>
        <v>936.53</v>
      </c>
      <c r="H13" s="40"/>
    </row>
    <row r="14" spans="1:8" ht="77.25" customHeight="1" x14ac:dyDescent="0.25">
      <c r="A14" s="137"/>
      <c r="B14" s="140"/>
      <c r="C14" s="132" t="s">
        <v>1015</v>
      </c>
      <c r="D14" s="114">
        <f t="shared" si="0"/>
        <v>0.15</v>
      </c>
      <c r="E14" s="114">
        <f>ROUND((54.77*12*0.6049),2)</f>
        <v>397.56</v>
      </c>
    </row>
    <row r="15" spans="1:8" ht="63" customHeight="1" x14ac:dyDescent="0.25">
      <c r="A15" s="131">
        <v>1140</v>
      </c>
      <c r="B15" s="5" t="s">
        <v>237</v>
      </c>
      <c r="C15" s="152" t="s">
        <v>1016</v>
      </c>
      <c r="D15" s="114">
        <f t="shared" si="0"/>
        <v>0.06</v>
      </c>
      <c r="E15" s="114">
        <f>ROUND((301.31*0.1+936.53*0.1+397.56*0.1),2)</f>
        <v>163.54</v>
      </c>
    </row>
    <row r="16" spans="1:8" ht="63" x14ac:dyDescent="0.25">
      <c r="A16" s="7">
        <v>1200</v>
      </c>
      <c r="B16" s="304" t="s">
        <v>11</v>
      </c>
      <c r="C16" s="176" t="s">
        <v>1019</v>
      </c>
      <c r="D16" s="92">
        <f>ROUND((D17+D18),2)</f>
        <v>0.19</v>
      </c>
      <c r="E16" s="92">
        <f>ROUND((E17+E18),2)</f>
        <v>506.15</v>
      </c>
    </row>
    <row r="17" spans="1:8" ht="47.25" x14ac:dyDescent="0.25">
      <c r="A17" s="4">
        <v>1210</v>
      </c>
      <c r="B17" s="5" t="s">
        <v>239</v>
      </c>
      <c r="C17" s="176" t="s">
        <v>1018</v>
      </c>
      <c r="D17" s="114">
        <f t="shared" si="0"/>
        <v>0.16</v>
      </c>
      <c r="E17" s="114">
        <f>ROUND((1798.94*0.2359),2)</f>
        <v>424.37</v>
      </c>
    </row>
    <row r="18" spans="1:8" ht="62.45" customHeight="1" x14ac:dyDescent="0.25">
      <c r="A18" s="4">
        <v>1227</v>
      </c>
      <c r="B18" s="5" t="s">
        <v>238</v>
      </c>
      <c r="C18" s="152" t="s">
        <v>1017</v>
      </c>
      <c r="D18" s="114">
        <f t="shared" si="0"/>
        <v>0.03</v>
      </c>
      <c r="E18" s="114">
        <f>ROUND((301.31*0.05+936.53*0.05+397.56*0.05+0.01),2)</f>
        <v>81.78</v>
      </c>
      <c r="F18" s="40"/>
      <c r="G18" s="40"/>
      <c r="H18" s="40"/>
    </row>
    <row r="19" spans="1:8" ht="15.75" x14ac:dyDescent="0.25">
      <c r="A19" s="4"/>
      <c r="B19" s="9" t="s">
        <v>14</v>
      </c>
      <c r="C19" s="99" t="s">
        <v>16</v>
      </c>
      <c r="D19" s="44">
        <f>D9</f>
        <v>0.85999999999999988</v>
      </c>
      <c r="E19" s="44">
        <f>E9</f>
        <v>2305.0899999999997</v>
      </c>
    </row>
    <row r="20" spans="1:8" ht="15.75" x14ac:dyDescent="0.25">
      <c r="A20" s="4"/>
      <c r="B20" s="9" t="s">
        <v>15</v>
      </c>
      <c r="C20" s="98" t="s">
        <v>8</v>
      </c>
      <c r="D20" s="43"/>
      <c r="E20" s="43"/>
    </row>
    <row r="21" spans="1:8" ht="15.75" x14ac:dyDescent="0.25">
      <c r="A21" s="8">
        <v>1000</v>
      </c>
      <c r="B21" s="7" t="s">
        <v>9</v>
      </c>
      <c r="C21" s="98"/>
      <c r="D21" s="92">
        <f>SUM(D22+D34)</f>
        <v>0.70000000000000007</v>
      </c>
      <c r="E21" s="92">
        <f>SUM(E22+E34)</f>
        <v>1910.4</v>
      </c>
    </row>
    <row r="22" spans="1:8" ht="15.75" x14ac:dyDescent="0.25">
      <c r="A22" s="4">
        <v>1100</v>
      </c>
      <c r="B22" s="4" t="s">
        <v>10</v>
      </c>
      <c r="C22" s="147" t="s">
        <v>267</v>
      </c>
      <c r="D22" s="92">
        <f>SUM(D23:D33)</f>
        <v>0.56000000000000005</v>
      </c>
      <c r="E22" s="92">
        <f>SUM(E23:E33)</f>
        <v>1545.76</v>
      </c>
    </row>
    <row r="23" spans="1:8" ht="92.45" customHeight="1" x14ac:dyDescent="0.25">
      <c r="A23" s="237"/>
      <c r="B23" s="238"/>
      <c r="C23" s="100" t="s">
        <v>1172</v>
      </c>
      <c r="D23" s="45">
        <f>ROUND((E23/2688),2)</f>
        <v>0.04</v>
      </c>
      <c r="E23" s="45">
        <f>ROUND((14.68*12*0.6049),2)</f>
        <v>106.56</v>
      </c>
    </row>
    <row r="24" spans="1:8" ht="80.099999999999994" customHeight="1" x14ac:dyDescent="0.25">
      <c r="A24" s="242"/>
      <c r="B24" s="243"/>
      <c r="C24" s="100" t="s">
        <v>1186</v>
      </c>
      <c r="D24" s="45">
        <f t="shared" ref="D24:D34" si="1">ROUND((E24/2688),2)</f>
        <v>0.01</v>
      </c>
      <c r="E24" s="45">
        <f>ROUND((2.02*12*0.6049),2)</f>
        <v>14.66</v>
      </c>
    </row>
    <row r="25" spans="1:8" ht="78.599999999999994" customHeight="1" x14ac:dyDescent="0.25">
      <c r="A25" s="355"/>
      <c r="B25" s="353"/>
      <c r="C25" s="152" t="s">
        <v>1187</v>
      </c>
      <c r="D25" s="45">
        <f t="shared" si="1"/>
        <v>0</v>
      </c>
      <c r="E25" s="45">
        <f>ROUND((1.29*12*0.6049),2)</f>
        <v>9.36</v>
      </c>
    </row>
    <row r="26" spans="1:8" ht="78.599999999999994" customHeight="1" x14ac:dyDescent="0.25">
      <c r="A26" s="355"/>
      <c r="B26" s="353"/>
      <c r="C26" s="152" t="s">
        <v>1188</v>
      </c>
      <c r="D26" s="45">
        <f t="shared" si="1"/>
        <v>0.01</v>
      </c>
      <c r="E26" s="45">
        <f>ROUND((1.91*12*0.6049),2)</f>
        <v>13.86</v>
      </c>
    </row>
    <row r="27" spans="1:8" ht="78.599999999999994" customHeight="1" x14ac:dyDescent="0.25">
      <c r="A27" s="355"/>
      <c r="B27" s="353"/>
      <c r="C27" s="152" t="s">
        <v>1189</v>
      </c>
      <c r="D27" s="45">
        <f t="shared" si="1"/>
        <v>0.01</v>
      </c>
      <c r="E27" s="45">
        <f>ROUND((4.96*12*0.6049),2)</f>
        <v>36</v>
      </c>
    </row>
    <row r="28" spans="1:8" ht="78.599999999999994" customHeight="1" x14ac:dyDescent="0.25">
      <c r="A28" s="355"/>
      <c r="B28" s="353"/>
      <c r="C28" s="152" t="s">
        <v>1190</v>
      </c>
      <c r="D28" s="45">
        <f t="shared" si="1"/>
        <v>0</v>
      </c>
      <c r="E28" s="45">
        <f>ROUND((1.81*12*0.6049),2)</f>
        <v>13.14</v>
      </c>
    </row>
    <row r="29" spans="1:8" ht="78" customHeight="1" x14ac:dyDescent="0.25">
      <c r="A29" s="355"/>
      <c r="B29" s="353"/>
      <c r="C29" s="100" t="s">
        <v>1191</v>
      </c>
      <c r="D29" s="45">
        <f t="shared" si="1"/>
        <v>0.13</v>
      </c>
      <c r="E29" s="45">
        <f>ROUND((48.33*12*0.6049),2)</f>
        <v>350.82</v>
      </c>
    </row>
    <row r="30" spans="1:8" ht="78" customHeight="1" x14ac:dyDescent="0.25">
      <c r="A30" s="355"/>
      <c r="B30" s="353"/>
      <c r="C30" s="100" t="s">
        <v>1192</v>
      </c>
      <c r="D30" s="45">
        <f t="shared" si="1"/>
        <v>0.13</v>
      </c>
      <c r="E30" s="45">
        <f>ROUND((49.29*12*0.6049),2)</f>
        <v>357.79</v>
      </c>
      <c r="F30" s="308"/>
      <c r="G30" s="258"/>
    </row>
    <row r="31" spans="1:8" ht="76.5" customHeight="1" x14ac:dyDescent="0.25">
      <c r="A31" s="355"/>
      <c r="B31" s="353"/>
      <c r="C31" s="152" t="s">
        <v>1193</v>
      </c>
      <c r="D31" s="45">
        <f t="shared" si="1"/>
        <v>0.18</v>
      </c>
      <c r="E31" s="45">
        <f>ROUND((68.31*12*0.6049),2)</f>
        <v>495.85</v>
      </c>
    </row>
    <row r="32" spans="1:8" ht="92.45" customHeight="1" x14ac:dyDescent="0.25">
      <c r="A32" s="355"/>
      <c r="B32" s="353"/>
      <c r="C32" s="132" t="s">
        <v>1194</v>
      </c>
      <c r="D32" s="45">
        <f t="shared" si="1"/>
        <v>0.04</v>
      </c>
      <c r="E32" s="45">
        <f>ROUND((16.31*12*0.6049),2)</f>
        <v>118.39</v>
      </c>
    </row>
    <row r="33" spans="1:5" ht="79.5" customHeight="1" x14ac:dyDescent="0.25">
      <c r="A33" s="356"/>
      <c r="B33" s="354"/>
      <c r="C33" s="152" t="s">
        <v>1195</v>
      </c>
      <c r="D33" s="45">
        <f t="shared" si="1"/>
        <v>0.01</v>
      </c>
      <c r="E33" s="45">
        <f>ROUND((4.04*12*0.6049),2)</f>
        <v>29.33</v>
      </c>
    </row>
    <row r="34" spans="1:5" ht="61.5" customHeight="1" x14ac:dyDescent="0.25">
      <c r="A34" s="7">
        <v>1200</v>
      </c>
      <c r="B34" s="166" t="s">
        <v>11</v>
      </c>
      <c r="C34" s="101" t="s">
        <v>1196</v>
      </c>
      <c r="D34" s="92">
        <f t="shared" si="1"/>
        <v>0.14000000000000001</v>
      </c>
      <c r="E34" s="92">
        <f>ROUND((1545.76*0.2359),2)</f>
        <v>364.64</v>
      </c>
    </row>
    <row r="35" spans="1:5" ht="15.75" x14ac:dyDescent="0.25">
      <c r="A35" s="8">
        <v>2000</v>
      </c>
      <c r="B35" s="7" t="s">
        <v>12</v>
      </c>
      <c r="C35" s="98"/>
      <c r="D35" s="44">
        <f>SUM(D36:D45)</f>
        <v>2.66</v>
      </c>
      <c r="E35" s="44">
        <f>SUM(E36:E45)</f>
        <v>7138.4800000000005</v>
      </c>
    </row>
    <row r="36" spans="1:5" ht="31.5" x14ac:dyDescent="0.25">
      <c r="A36" s="4">
        <v>2221</v>
      </c>
      <c r="B36" s="5" t="s">
        <v>60</v>
      </c>
      <c r="C36" s="102" t="s">
        <v>1173</v>
      </c>
      <c r="D36" s="45">
        <f>ROUND((E36/2688),2)</f>
        <v>1.24</v>
      </c>
      <c r="E36" s="45">
        <f>ROUND((5527.2*0.6049),2)</f>
        <v>3343.4</v>
      </c>
    </row>
    <row r="37" spans="1:5" ht="30" customHeight="1" x14ac:dyDescent="0.25">
      <c r="A37" s="4">
        <v>2222</v>
      </c>
      <c r="B37" s="5" t="s">
        <v>61</v>
      </c>
      <c r="C37" s="176" t="s">
        <v>1174</v>
      </c>
      <c r="D37" s="45">
        <f t="shared" ref="D37:D45" si="2">ROUND((E37/2688),2)</f>
        <v>0.09</v>
      </c>
      <c r="E37" s="45">
        <f>ROUND((390.98*0.6049),2)</f>
        <v>236.5</v>
      </c>
    </row>
    <row r="38" spans="1:5" ht="31.5" x14ac:dyDescent="0.25">
      <c r="A38" s="4">
        <v>2223</v>
      </c>
      <c r="B38" s="5" t="s">
        <v>19</v>
      </c>
      <c r="C38" s="102" t="s">
        <v>1175</v>
      </c>
      <c r="D38" s="45">
        <f t="shared" si="2"/>
        <v>0.52</v>
      </c>
      <c r="E38" s="45">
        <f>ROUND((2316.15*0.6049),2)</f>
        <v>1401.04</v>
      </c>
    </row>
    <row r="39" spans="1:5" ht="78.75" customHeight="1" x14ac:dyDescent="0.25">
      <c r="A39" s="4">
        <v>2224</v>
      </c>
      <c r="B39" s="185" t="s">
        <v>62</v>
      </c>
      <c r="C39" s="185" t="s">
        <v>1176</v>
      </c>
      <c r="D39" s="45">
        <f t="shared" si="2"/>
        <v>0.08</v>
      </c>
      <c r="E39" s="45">
        <f>ROUND((352.26*0.6049),2)</f>
        <v>213.08</v>
      </c>
    </row>
    <row r="40" spans="1:5" ht="33.75" customHeight="1" x14ac:dyDescent="0.25">
      <c r="A40" s="174">
        <v>2229</v>
      </c>
      <c r="B40" s="5" t="s">
        <v>44</v>
      </c>
      <c r="C40" s="187" t="s">
        <v>1177</v>
      </c>
      <c r="D40" s="200">
        <f>ROUND((E40/2688),2)+0.01</f>
        <v>0.01</v>
      </c>
      <c r="E40" s="45">
        <f>ROUND((17.05*0.6049),2)</f>
        <v>10.31</v>
      </c>
    </row>
    <row r="41" spans="1:5" ht="34.5" customHeight="1" x14ac:dyDescent="0.25">
      <c r="A41" s="4">
        <v>2232</v>
      </c>
      <c r="B41" s="201" t="s">
        <v>45</v>
      </c>
      <c r="C41" s="186" t="s">
        <v>1178</v>
      </c>
      <c r="D41" s="45">
        <f>ROUND((E41/2688),2)+0.01</f>
        <v>0.01</v>
      </c>
      <c r="E41" s="45">
        <f>ROUND((21.78*0.6049),2)</f>
        <v>13.17</v>
      </c>
    </row>
    <row r="42" spans="1:5" ht="47.25" x14ac:dyDescent="0.25">
      <c r="A42" s="4">
        <v>2243</v>
      </c>
      <c r="B42" s="90" t="s">
        <v>21</v>
      </c>
      <c r="C42" s="124" t="s">
        <v>1179</v>
      </c>
      <c r="D42" s="45">
        <f t="shared" si="2"/>
        <v>0.02</v>
      </c>
      <c r="E42" s="45">
        <f>ROUND((102.57*0.6049),2)</f>
        <v>62.04</v>
      </c>
    </row>
    <row r="43" spans="1:5" ht="47.25" x14ac:dyDescent="0.25">
      <c r="A43" s="4">
        <v>2244</v>
      </c>
      <c r="B43" s="5" t="s">
        <v>22</v>
      </c>
      <c r="C43" s="101" t="s">
        <v>1180</v>
      </c>
      <c r="D43" s="45">
        <f t="shared" si="2"/>
        <v>0.62</v>
      </c>
      <c r="E43" s="45">
        <f>ROUND(2759.23*0.6049,2)</f>
        <v>1669.06</v>
      </c>
    </row>
    <row r="44" spans="1:5" ht="47.25" x14ac:dyDescent="0.25">
      <c r="A44" s="4">
        <v>2350</v>
      </c>
      <c r="B44" s="5" t="s">
        <v>236</v>
      </c>
      <c r="C44" s="101" t="s">
        <v>1181</v>
      </c>
      <c r="D44" s="45">
        <f t="shared" si="2"/>
        <v>0.02</v>
      </c>
      <c r="E44" s="114">
        <f>ROUND((86.08*0.6049),2)</f>
        <v>52.07</v>
      </c>
    </row>
    <row r="45" spans="1:5" ht="31.5" x14ac:dyDescent="0.25">
      <c r="A45" s="4">
        <v>2513</v>
      </c>
      <c r="B45" s="5" t="s">
        <v>63</v>
      </c>
      <c r="C45" s="101" t="s">
        <v>1182</v>
      </c>
      <c r="D45" s="45">
        <f t="shared" si="2"/>
        <v>0.05</v>
      </c>
      <c r="E45" s="45">
        <f>ROUND((227.82*0.6049),2)</f>
        <v>137.81</v>
      </c>
    </row>
    <row r="46" spans="1:5" ht="17.25" customHeight="1" x14ac:dyDescent="0.25">
      <c r="A46" s="10">
        <v>5000</v>
      </c>
      <c r="B46" s="166" t="s">
        <v>17</v>
      </c>
      <c r="C46" s="284"/>
      <c r="D46" s="41">
        <f>SUM(D47:D50)</f>
        <v>0.4</v>
      </c>
      <c r="E46" s="41">
        <f>SUM(E47:E50)</f>
        <v>1065.5999999999999</v>
      </c>
    </row>
    <row r="47" spans="1:5" ht="31.5" x14ac:dyDescent="0.25">
      <c r="A47" s="4">
        <v>5212</v>
      </c>
      <c r="B47" s="5" t="s">
        <v>31</v>
      </c>
      <c r="C47" s="101" t="s">
        <v>1183</v>
      </c>
      <c r="D47" s="45">
        <f>ROUND((E47/2688),2)</f>
        <v>0.14000000000000001</v>
      </c>
      <c r="E47" s="45">
        <f>ROUND((631.17*0.6049),2)</f>
        <v>381.79</v>
      </c>
    </row>
    <row r="48" spans="1:5" ht="31.5" x14ac:dyDescent="0.25">
      <c r="A48" s="4">
        <v>5213</v>
      </c>
      <c r="B48" s="5" t="s">
        <v>32</v>
      </c>
      <c r="C48" s="101" t="s">
        <v>1184</v>
      </c>
      <c r="D48" s="45">
        <f t="shared" ref="D48:D50" si="3">ROUND((E48/2688),2)</f>
        <v>0.1</v>
      </c>
      <c r="E48" s="45">
        <f>ROUND((451.25*0.6049),2)</f>
        <v>272.95999999999998</v>
      </c>
    </row>
    <row r="49" spans="1:5" ht="31.5" x14ac:dyDescent="0.25">
      <c r="A49" s="19">
        <v>5218</v>
      </c>
      <c r="B49" s="101" t="s">
        <v>33</v>
      </c>
      <c r="C49" s="101" t="s">
        <v>1197</v>
      </c>
      <c r="D49" s="45">
        <f t="shared" si="3"/>
        <v>7.0000000000000007E-2</v>
      </c>
      <c r="E49" s="45">
        <f>ROUND((297.62*0.6049),2)</f>
        <v>180.03</v>
      </c>
    </row>
    <row r="50" spans="1:5" ht="47.25" x14ac:dyDescent="0.25">
      <c r="A50" s="19">
        <v>5239</v>
      </c>
      <c r="B50" s="101" t="s">
        <v>18</v>
      </c>
      <c r="C50" s="101" t="s">
        <v>1185</v>
      </c>
      <c r="D50" s="45">
        <f t="shared" si="3"/>
        <v>0.09</v>
      </c>
      <c r="E50" s="45">
        <f>ROUND((381.58*0.6049),2)</f>
        <v>230.82</v>
      </c>
    </row>
    <row r="51" spans="1:5" ht="15.75" x14ac:dyDescent="0.25">
      <c r="A51" s="171"/>
      <c r="B51" s="166" t="s">
        <v>23</v>
      </c>
      <c r="C51" s="98"/>
      <c r="D51" s="44">
        <f>SUM(D21+D35+D46)</f>
        <v>3.7600000000000002</v>
      </c>
      <c r="E51" s="41">
        <f>SUM(E21+E35+E46)</f>
        <v>10114.480000000001</v>
      </c>
    </row>
    <row r="52" spans="1:5" ht="31.5" x14ac:dyDescent="0.25">
      <c r="A52" s="6"/>
      <c r="B52" s="11" t="s">
        <v>28</v>
      </c>
      <c r="C52" s="98"/>
      <c r="D52" s="93">
        <f>D19+D51</f>
        <v>4.62</v>
      </c>
      <c r="E52" s="42">
        <f>E19+E51</f>
        <v>12419.570000000002</v>
      </c>
    </row>
    <row r="53" spans="1:5" s="73" customFormat="1" ht="33" customHeight="1" x14ac:dyDescent="0.25">
      <c r="A53" s="351" t="s">
        <v>233</v>
      </c>
      <c r="B53" s="351"/>
      <c r="C53" s="351"/>
      <c r="D53" s="196">
        <f>4*4*168</f>
        <v>2688</v>
      </c>
      <c r="E53" s="211" t="s">
        <v>75</v>
      </c>
    </row>
    <row r="54" spans="1:5" s="73" customFormat="1" ht="33.75" customHeight="1" x14ac:dyDescent="0.25">
      <c r="A54" s="351" t="s">
        <v>823</v>
      </c>
      <c r="B54" s="351"/>
      <c r="C54" s="351"/>
      <c r="D54" s="192">
        <f>ROUND((E52/D53),2)</f>
        <v>4.62</v>
      </c>
      <c r="E54" s="205" t="s">
        <v>857</v>
      </c>
    </row>
    <row r="55" spans="1:5" ht="15.75" x14ac:dyDescent="0.25">
      <c r="A55" s="63"/>
      <c r="B55" s="63"/>
      <c r="C55" s="63"/>
      <c r="D55" s="214"/>
      <c r="E55" s="256"/>
    </row>
    <row r="56" spans="1:5" ht="30.75" customHeight="1" x14ac:dyDescent="0.25">
      <c r="A56" s="351" t="s">
        <v>234</v>
      </c>
      <c r="B56" s="351"/>
      <c r="C56" s="351"/>
      <c r="D56" s="196">
        <f>4*4*11</f>
        <v>176</v>
      </c>
      <c r="E56" s="192" t="s">
        <v>77</v>
      </c>
    </row>
    <row r="57" spans="1:5" ht="31.5" x14ac:dyDescent="0.25">
      <c r="A57" s="365" t="s">
        <v>820</v>
      </c>
      <c r="B57" s="365"/>
      <c r="C57" s="365"/>
      <c r="D57" s="192">
        <f>ROUND((E52/D56),2)</f>
        <v>70.569999999999993</v>
      </c>
      <c r="E57" s="205" t="s">
        <v>856</v>
      </c>
    </row>
  </sheetData>
  <mergeCells count="9">
    <mergeCell ref="A2:E2"/>
    <mergeCell ref="A54:C54"/>
    <mergeCell ref="A56:C56"/>
    <mergeCell ref="A57:C57"/>
    <mergeCell ref="A3:C3"/>
    <mergeCell ref="A4:B4"/>
    <mergeCell ref="A25:A33"/>
    <mergeCell ref="B25:B33"/>
    <mergeCell ref="A53:C53"/>
  </mergeCells>
  <pageMargins left="0.7" right="0.7" top="0.75" bottom="0.75" header="0.3" footer="0.3"/>
  <pageSetup paperSize="9" orientation="landscape" r:id="rId1"/>
  <rowBreaks count="1" manualBreakCount="1">
    <brk id="49"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2349F-ABA9-4816-A359-37CC105871C3}">
  <dimension ref="A1:I57"/>
  <sheetViews>
    <sheetView topLeftCell="A43" zoomScaleNormal="100" workbookViewId="0">
      <selection activeCell="B45" sqref="B45"/>
    </sheetView>
  </sheetViews>
  <sheetFormatPr defaultRowHeight="15" x14ac:dyDescent="0.25"/>
  <cols>
    <col min="1" max="1" width="12.28515625" customWidth="1"/>
    <col min="2" max="2" width="26.7109375" customWidth="1"/>
    <col min="3" max="3" width="62.5703125" customWidth="1"/>
    <col min="4" max="4" width="9.7109375" customWidth="1"/>
    <col min="5" max="5" width="17.85546875" customWidth="1"/>
  </cols>
  <sheetData>
    <row r="1" spans="1:5" ht="18.75" x14ac:dyDescent="0.3">
      <c r="A1" s="54" t="s">
        <v>78</v>
      </c>
      <c r="B1" s="54"/>
      <c r="C1" s="54"/>
      <c r="D1" s="175"/>
      <c r="E1" s="175"/>
    </row>
    <row r="2" spans="1:5" ht="18.75" x14ac:dyDescent="0.3">
      <c r="A2" s="368" t="s">
        <v>170</v>
      </c>
      <c r="B2" s="368"/>
      <c r="C2" s="368"/>
      <c r="D2" s="368"/>
      <c r="E2" s="368"/>
    </row>
    <row r="3" spans="1:5" ht="18.75" x14ac:dyDescent="0.25">
      <c r="A3" s="367" t="s">
        <v>172</v>
      </c>
      <c r="B3" s="367"/>
      <c r="C3" s="367"/>
    </row>
    <row r="4" spans="1:5" ht="18.75" x14ac:dyDescent="0.3">
      <c r="A4" s="359" t="s">
        <v>74</v>
      </c>
      <c r="B4" s="359"/>
      <c r="C4" s="54"/>
    </row>
    <row r="6" spans="1:5" ht="78.75" x14ac:dyDescent="0.25">
      <c r="A6" s="149" t="s">
        <v>0</v>
      </c>
      <c r="B6" s="149" t="s">
        <v>1</v>
      </c>
      <c r="C6" s="149" t="s">
        <v>2</v>
      </c>
      <c r="D6" s="162" t="s">
        <v>26</v>
      </c>
      <c r="E6" s="53" t="s">
        <v>27</v>
      </c>
    </row>
    <row r="7" spans="1:5" x14ac:dyDescent="0.25">
      <c r="A7" s="292">
        <v>1</v>
      </c>
      <c r="B7" s="292">
        <v>2</v>
      </c>
      <c r="C7" s="292">
        <v>3</v>
      </c>
      <c r="D7" s="292">
        <v>4</v>
      </c>
      <c r="E7" s="292">
        <v>5</v>
      </c>
    </row>
    <row r="8" spans="1:5" ht="15.75" x14ac:dyDescent="0.25">
      <c r="A8" s="4"/>
      <c r="B8" s="7" t="s">
        <v>7</v>
      </c>
      <c r="C8" s="98" t="s">
        <v>8</v>
      </c>
      <c r="D8" s="25"/>
      <c r="E8" s="23"/>
    </row>
    <row r="9" spans="1:5" ht="15.75" x14ac:dyDescent="0.25">
      <c r="A9" s="8">
        <v>1000</v>
      </c>
      <c r="B9" s="7" t="s">
        <v>9</v>
      </c>
      <c r="C9" s="284"/>
      <c r="D9" s="44">
        <f>D10+D16</f>
        <v>0.75000000000000011</v>
      </c>
      <c r="E9" s="44">
        <f>E10+E16</f>
        <v>1505.62</v>
      </c>
    </row>
    <row r="10" spans="1:5" ht="15.75" x14ac:dyDescent="0.25">
      <c r="A10" s="280">
        <v>1100</v>
      </c>
      <c r="B10" s="280" t="s">
        <v>10</v>
      </c>
      <c r="C10" s="284"/>
      <c r="D10" s="44">
        <f>SUM(D12:D15)</f>
        <v>0.58000000000000007</v>
      </c>
      <c r="E10" s="44">
        <f>SUM(E12:E15)</f>
        <v>1175.02</v>
      </c>
    </row>
    <row r="11" spans="1:5" ht="15.75" x14ac:dyDescent="0.25">
      <c r="A11" s="16">
        <v>1110</v>
      </c>
      <c r="B11" s="16" t="s">
        <v>240</v>
      </c>
      <c r="C11" s="300" t="s">
        <v>241</v>
      </c>
      <c r="D11" s="114">
        <f>SUM(D12:D14)</f>
        <v>0.53</v>
      </c>
      <c r="E11" s="114">
        <f>SUM(E12:E14)</f>
        <v>1068.2</v>
      </c>
    </row>
    <row r="12" spans="1:5" ht="78" customHeight="1" x14ac:dyDescent="0.25">
      <c r="A12" s="136"/>
      <c r="B12" s="139"/>
      <c r="C12" s="132" t="s">
        <v>1212</v>
      </c>
      <c r="D12" s="62">
        <f>ROUND((E12/2016),2)</f>
        <v>0.1</v>
      </c>
      <c r="E12" s="114">
        <f>ROUND((41.51*12*0.3951),2)</f>
        <v>196.81</v>
      </c>
    </row>
    <row r="13" spans="1:5" ht="78.599999999999994" customHeight="1" x14ac:dyDescent="0.25">
      <c r="A13" s="153"/>
      <c r="B13" s="154"/>
      <c r="C13" s="132" t="s">
        <v>1213</v>
      </c>
      <c r="D13" s="62">
        <f t="shared" ref="D13:D18" si="0">ROUND((E13/2016),2)</f>
        <v>0.3</v>
      </c>
      <c r="E13" s="114">
        <f>ROUND((129.02*12*0.3951),2)</f>
        <v>611.71</v>
      </c>
    </row>
    <row r="14" spans="1:5" ht="78.75" x14ac:dyDescent="0.25">
      <c r="A14" s="137"/>
      <c r="B14" s="140"/>
      <c r="C14" s="132" t="s">
        <v>1214</v>
      </c>
      <c r="D14" s="62">
        <f t="shared" si="0"/>
        <v>0.13</v>
      </c>
      <c r="E14" s="114">
        <f>ROUND((54.77*12*0.3951),2)</f>
        <v>259.68</v>
      </c>
    </row>
    <row r="15" spans="1:5" ht="63" x14ac:dyDescent="0.25">
      <c r="A15" s="131">
        <v>1140</v>
      </c>
      <c r="B15" s="5" t="s">
        <v>237</v>
      </c>
      <c r="C15" s="152" t="s">
        <v>1229</v>
      </c>
      <c r="D15" s="62">
        <f t="shared" si="0"/>
        <v>0.05</v>
      </c>
      <c r="E15" s="114">
        <f>ROUND((196.81*0.1+611.71*0.1+259.68*0.1),2)</f>
        <v>106.82</v>
      </c>
    </row>
    <row r="16" spans="1:5" ht="62.25" customHeight="1" x14ac:dyDescent="0.25">
      <c r="A16" s="7">
        <v>1200</v>
      </c>
      <c r="B16" s="304" t="s">
        <v>11</v>
      </c>
      <c r="C16" s="176" t="s">
        <v>1217</v>
      </c>
      <c r="D16" s="92">
        <f>ROUND((D17+D18),2)</f>
        <v>0.17</v>
      </c>
      <c r="E16" s="92">
        <f>ROUND((E17+E18),2)</f>
        <v>330.6</v>
      </c>
    </row>
    <row r="17" spans="1:9" ht="47.25" x14ac:dyDescent="0.25">
      <c r="A17" s="4">
        <v>1210</v>
      </c>
      <c r="B17" s="5" t="s">
        <v>239</v>
      </c>
      <c r="C17" s="176" t="s">
        <v>1216</v>
      </c>
      <c r="D17" s="62">
        <f t="shared" si="0"/>
        <v>0.14000000000000001</v>
      </c>
      <c r="E17" s="114">
        <f>ROUND((1175.02*0.2359),2)</f>
        <v>277.19</v>
      </c>
    </row>
    <row r="18" spans="1:9" ht="64.5" customHeight="1" x14ac:dyDescent="0.25">
      <c r="A18" s="4">
        <v>1227</v>
      </c>
      <c r="B18" s="5" t="s">
        <v>238</v>
      </c>
      <c r="C18" s="152" t="s">
        <v>1215</v>
      </c>
      <c r="D18" s="62">
        <f t="shared" si="0"/>
        <v>0.03</v>
      </c>
      <c r="E18" s="114">
        <f>ROUND((196.81*0.05+611.71*0.05+259.68*0.05),2)</f>
        <v>53.41</v>
      </c>
    </row>
    <row r="19" spans="1:9" ht="15.75" x14ac:dyDescent="0.25">
      <c r="A19" s="4"/>
      <c r="B19" s="9" t="s">
        <v>14</v>
      </c>
      <c r="C19" s="99" t="s">
        <v>16</v>
      </c>
      <c r="D19" s="26">
        <f>D9</f>
        <v>0.75000000000000011</v>
      </c>
      <c r="E19" s="44">
        <f>E9</f>
        <v>1505.62</v>
      </c>
    </row>
    <row r="20" spans="1:9" ht="15.75" x14ac:dyDescent="0.25">
      <c r="A20" s="4"/>
      <c r="B20" s="9" t="s">
        <v>15</v>
      </c>
      <c r="C20" s="98" t="s">
        <v>8</v>
      </c>
      <c r="D20" s="23"/>
      <c r="E20" s="43"/>
    </row>
    <row r="21" spans="1:9" ht="15.75" x14ac:dyDescent="0.25">
      <c r="A21" s="8">
        <v>1000</v>
      </c>
      <c r="B21" s="7" t="s">
        <v>9</v>
      </c>
      <c r="C21" s="98"/>
      <c r="D21" s="92">
        <f>SUM(D22+D34)</f>
        <v>0.62</v>
      </c>
      <c r="E21" s="92">
        <f>SUM(E22+E34)</f>
        <v>1247.81</v>
      </c>
    </row>
    <row r="22" spans="1:9" ht="15.75" x14ac:dyDescent="0.25">
      <c r="A22" s="4">
        <v>1100</v>
      </c>
      <c r="B22" s="4" t="s">
        <v>10</v>
      </c>
      <c r="C22" s="147" t="s">
        <v>243</v>
      </c>
      <c r="D22" s="92">
        <f>SUM(D23:D33)</f>
        <v>0.5</v>
      </c>
      <c r="E22" s="92">
        <f>SUM(E23:E33)</f>
        <v>1009.64</v>
      </c>
    </row>
    <row r="23" spans="1:9" ht="79.5" customHeight="1" x14ac:dyDescent="0.25">
      <c r="A23" s="237"/>
      <c r="B23" s="238"/>
      <c r="C23" s="100" t="s">
        <v>1218</v>
      </c>
      <c r="D23" s="45">
        <f>ROUND((E23/2016+0.01),2)</f>
        <v>0.04</v>
      </c>
      <c r="E23" s="45">
        <f>ROUND((14.68*12*0.3951),2)</f>
        <v>69.599999999999994</v>
      </c>
      <c r="I23" s="51"/>
    </row>
    <row r="24" spans="1:9" ht="78.75" x14ac:dyDescent="0.25">
      <c r="A24" s="242"/>
      <c r="B24" s="243"/>
      <c r="C24" s="152" t="s">
        <v>1219</v>
      </c>
      <c r="D24" s="45">
        <f>ROUND((E24/2016+0.01),2)</f>
        <v>0.01</v>
      </c>
      <c r="E24" s="45">
        <f>ROUND((2.02*12*0.3951),2)</f>
        <v>9.58</v>
      </c>
      <c r="I24" s="51"/>
    </row>
    <row r="25" spans="1:9" ht="78.75" x14ac:dyDescent="0.25">
      <c r="A25" s="355"/>
      <c r="B25" s="353"/>
      <c r="C25" s="152" t="s">
        <v>1220</v>
      </c>
      <c r="D25" s="45">
        <f t="shared" ref="D25:D31" si="1">ROUND((E25/2016),2)</f>
        <v>0</v>
      </c>
      <c r="E25" s="45">
        <f>ROUND((1.29*12*0.3951),2)</f>
        <v>6.12</v>
      </c>
    </row>
    <row r="26" spans="1:9" ht="78.75" x14ac:dyDescent="0.25">
      <c r="A26" s="355"/>
      <c r="B26" s="353"/>
      <c r="C26" s="100" t="s">
        <v>1221</v>
      </c>
      <c r="D26" s="45">
        <f t="shared" si="1"/>
        <v>0</v>
      </c>
      <c r="E26" s="45">
        <f>ROUND((1.91*12*0.3951),2)</f>
        <v>9.06</v>
      </c>
      <c r="I26" s="87"/>
    </row>
    <row r="27" spans="1:9" ht="78.75" x14ac:dyDescent="0.25">
      <c r="A27" s="355"/>
      <c r="B27" s="353"/>
      <c r="C27" s="152" t="s">
        <v>1222</v>
      </c>
      <c r="D27" s="45">
        <f t="shared" si="1"/>
        <v>0.01</v>
      </c>
      <c r="E27" s="45">
        <f>ROUND((4.96*12*0.3951),2)</f>
        <v>23.52</v>
      </c>
    </row>
    <row r="28" spans="1:9" ht="78.75" x14ac:dyDescent="0.25">
      <c r="A28" s="355"/>
      <c r="B28" s="353"/>
      <c r="C28" s="100" t="s">
        <v>1223</v>
      </c>
      <c r="D28" s="45">
        <f t="shared" si="1"/>
        <v>0</v>
      </c>
      <c r="E28" s="45">
        <f>ROUND((1.81*12*0.3951),2)</f>
        <v>8.58</v>
      </c>
    </row>
    <row r="29" spans="1:9" ht="78.75" x14ac:dyDescent="0.25">
      <c r="A29" s="355"/>
      <c r="B29" s="353"/>
      <c r="C29" s="100" t="s">
        <v>1224</v>
      </c>
      <c r="D29" s="45">
        <f t="shared" si="1"/>
        <v>0.11</v>
      </c>
      <c r="E29" s="45">
        <f>ROUND((48.33*12*0.3951),2)</f>
        <v>229.14</v>
      </c>
      <c r="I29" s="51"/>
    </row>
    <row r="30" spans="1:9" ht="78.75" x14ac:dyDescent="0.25">
      <c r="A30" s="355"/>
      <c r="B30" s="353"/>
      <c r="C30" s="100" t="s">
        <v>1225</v>
      </c>
      <c r="D30" s="45">
        <f t="shared" si="1"/>
        <v>0.12</v>
      </c>
      <c r="E30" s="45">
        <f>ROUND((49.29*12*0.3951),2)</f>
        <v>233.69</v>
      </c>
    </row>
    <row r="31" spans="1:9" ht="78.75" x14ac:dyDescent="0.25">
      <c r="A31" s="355"/>
      <c r="B31" s="353"/>
      <c r="C31" s="152" t="s">
        <v>1226</v>
      </c>
      <c r="D31" s="45">
        <f t="shared" si="1"/>
        <v>0.16</v>
      </c>
      <c r="E31" s="45">
        <f>ROUND((68.31*12*0.3951),2)</f>
        <v>323.87</v>
      </c>
    </row>
    <row r="32" spans="1:9" ht="94.5" x14ac:dyDescent="0.25">
      <c r="A32" s="355"/>
      <c r="B32" s="353"/>
      <c r="C32" s="132" t="s">
        <v>1227</v>
      </c>
      <c r="D32" s="45">
        <f t="shared" ref="D32:D34" si="2">ROUND((E32/2016),2)</f>
        <v>0.04</v>
      </c>
      <c r="E32" s="45">
        <f>ROUND((16.31*12*0.3951),2)</f>
        <v>77.33</v>
      </c>
    </row>
    <row r="33" spans="1:9" ht="78.75" x14ac:dyDescent="0.25">
      <c r="A33" s="356"/>
      <c r="B33" s="354"/>
      <c r="C33" s="152" t="s">
        <v>1291</v>
      </c>
      <c r="D33" s="45">
        <f t="shared" si="2"/>
        <v>0.01</v>
      </c>
      <c r="E33" s="45">
        <f>ROUND((4.04*12*0.3951),2)</f>
        <v>19.149999999999999</v>
      </c>
    </row>
    <row r="34" spans="1:9" ht="60" customHeight="1" x14ac:dyDescent="0.25">
      <c r="A34" s="7">
        <v>1200</v>
      </c>
      <c r="B34" s="166" t="s">
        <v>11</v>
      </c>
      <c r="C34" s="101" t="s">
        <v>1228</v>
      </c>
      <c r="D34" s="92">
        <f t="shared" si="2"/>
        <v>0.12</v>
      </c>
      <c r="E34" s="92">
        <f>ROUND((1009.64*0.2359),2)</f>
        <v>238.17</v>
      </c>
    </row>
    <row r="35" spans="1:9" ht="15.75" x14ac:dyDescent="0.25">
      <c r="A35" s="8">
        <v>2000</v>
      </c>
      <c r="B35" s="7" t="s">
        <v>12</v>
      </c>
      <c r="C35" s="98"/>
      <c r="D35" s="44">
        <f>SUM(D36:D45)</f>
        <v>2.31</v>
      </c>
      <c r="E35" s="44">
        <f>SUM(E36:E45)</f>
        <v>4662.6400000000012</v>
      </c>
    </row>
    <row r="36" spans="1:9" ht="31.5" x14ac:dyDescent="0.25">
      <c r="A36" s="4">
        <v>2221</v>
      </c>
      <c r="B36" s="5" t="s">
        <v>60</v>
      </c>
      <c r="C36" s="102" t="s">
        <v>1198</v>
      </c>
      <c r="D36" s="45">
        <f>ROUND((E36/2016),2)</f>
        <v>1.08</v>
      </c>
      <c r="E36" s="45">
        <f>ROUND((5527.2*0.3951),2)</f>
        <v>2183.8000000000002</v>
      </c>
    </row>
    <row r="37" spans="1:9" ht="31.5" x14ac:dyDescent="0.25">
      <c r="A37" s="4">
        <v>2222</v>
      </c>
      <c r="B37" s="5" t="s">
        <v>61</v>
      </c>
      <c r="C37" s="102" t="s">
        <v>1199</v>
      </c>
      <c r="D37" s="45">
        <f t="shared" ref="D37:D44" si="3">ROUND((E37/2016),2)</f>
        <v>0.08</v>
      </c>
      <c r="E37" s="45">
        <f>ROUND((390.98*0.3951),2)</f>
        <v>154.47999999999999</v>
      </c>
    </row>
    <row r="38" spans="1:9" ht="31.5" x14ac:dyDescent="0.25">
      <c r="A38" s="4">
        <v>2223</v>
      </c>
      <c r="B38" s="5" t="s">
        <v>19</v>
      </c>
      <c r="C38" s="102" t="s">
        <v>1200</v>
      </c>
      <c r="D38" s="45">
        <f t="shared" si="3"/>
        <v>0.45</v>
      </c>
      <c r="E38" s="45">
        <f>ROUND((2316.15*0.3951),2)</f>
        <v>915.11</v>
      </c>
    </row>
    <row r="39" spans="1:9" ht="78.75" customHeight="1" x14ac:dyDescent="0.25">
      <c r="A39" s="4">
        <v>2224</v>
      </c>
      <c r="B39" s="5" t="s">
        <v>62</v>
      </c>
      <c r="C39" s="5" t="s">
        <v>1201</v>
      </c>
      <c r="D39" s="45">
        <f t="shared" si="3"/>
        <v>7.0000000000000007E-2</v>
      </c>
      <c r="E39" s="45">
        <f>ROUND((352.26*0.3951),2)</f>
        <v>139.18</v>
      </c>
    </row>
    <row r="40" spans="1:9" ht="32.25" customHeight="1" x14ac:dyDescent="0.25">
      <c r="A40" s="4">
        <v>2229</v>
      </c>
      <c r="B40" s="5" t="s">
        <v>44</v>
      </c>
      <c r="C40" s="187" t="s">
        <v>1202</v>
      </c>
      <c r="D40" s="45">
        <f t="shared" si="3"/>
        <v>0</v>
      </c>
      <c r="E40" s="45">
        <f>ROUND((17.05*0.3951),2)</f>
        <v>6.74</v>
      </c>
    </row>
    <row r="41" spans="1:9" ht="31.5" x14ac:dyDescent="0.25">
      <c r="A41" s="4">
        <v>2232</v>
      </c>
      <c r="B41" s="188" t="s">
        <v>45</v>
      </c>
      <c r="C41" s="124" t="s">
        <v>1203</v>
      </c>
      <c r="D41" s="45">
        <f t="shared" si="3"/>
        <v>0</v>
      </c>
      <c r="E41" s="45">
        <f>ROUND((21.78*0.3951),2)</f>
        <v>8.61</v>
      </c>
    </row>
    <row r="42" spans="1:9" ht="47.25" x14ac:dyDescent="0.25">
      <c r="A42" s="4">
        <v>2243</v>
      </c>
      <c r="B42" s="126" t="s">
        <v>21</v>
      </c>
      <c r="C42" s="124" t="s">
        <v>1204</v>
      </c>
      <c r="D42" s="45">
        <f t="shared" si="3"/>
        <v>0.02</v>
      </c>
      <c r="E42" s="45">
        <f>ROUND((102.57*0.3951),2)</f>
        <v>40.53</v>
      </c>
    </row>
    <row r="43" spans="1:9" ht="47.25" x14ac:dyDescent="0.25">
      <c r="A43" s="4">
        <v>2244</v>
      </c>
      <c r="B43" s="5" t="s">
        <v>22</v>
      </c>
      <c r="C43" s="101" t="s">
        <v>1205</v>
      </c>
      <c r="D43" s="45">
        <f t="shared" si="3"/>
        <v>0.54</v>
      </c>
      <c r="E43" s="45">
        <f>ROUND(2759.23*0.3951,2)</f>
        <v>1090.17</v>
      </c>
    </row>
    <row r="44" spans="1:9" ht="47.25" customHeight="1" x14ac:dyDescent="0.25">
      <c r="A44" s="4">
        <v>2350</v>
      </c>
      <c r="B44" s="5" t="s">
        <v>236</v>
      </c>
      <c r="C44" s="101" t="s">
        <v>1206</v>
      </c>
      <c r="D44" s="45">
        <f t="shared" si="3"/>
        <v>0.02</v>
      </c>
      <c r="E44" s="114">
        <f>ROUND((86.08*0.3951),2)</f>
        <v>34.01</v>
      </c>
    </row>
    <row r="45" spans="1:9" ht="30.75" customHeight="1" x14ac:dyDescent="0.25">
      <c r="A45" s="4">
        <v>2513</v>
      </c>
      <c r="B45" s="5" t="s">
        <v>63</v>
      </c>
      <c r="C45" s="101" t="s">
        <v>1207</v>
      </c>
      <c r="D45" s="45">
        <f>ROUND((E45/2016+0.01),2)</f>
        <v>0.05</v>
      </c>
      <c r="E45" s="45">
        <f>ROUND((227.82*0.3951),2)</f>
        <v>90.01</v>
      </c>
      <c r="I45" s="51"/>
    </row>
    <row r="46" spans="1:9" ht="15.75" x14ac:dyDescent="0.25">
      <c r="A46" s="10">
        <v>5000</v>
      </c>
      <c r="B46" s="166" t="s">
        <v>17</v>
      </c>
      <c r="C46" s="284"/>
      <c r="D46" s="41">
        <f>SUM(D47:D50)</f>
        <v>0.34</v>
      </c>
      <c r="E46" s="41">
        <f>SUM(E47:E50)</f>
        <v>696.02</v>
      </c>
    </row>
    <row r="47" spans="1:9" ht="31.5" customHeight="1" x14ac:dyDescent="0.25">
      <c r="A47" s="4">
        <v>5212</v>
      </c>
      <c r="B47" s="5" t="s">
        <v>31</v>
      </c>
      <c r="C47" s="101" t="s">
        <v>1208</v>
      </c>
      <c r="D47" s="45">
        <f>ROUND((E47/2016),2)</f>
        <v>0.12</v>
      </c>
      <c r="E47" s="45">
        <f>ROUND((631.17*0.3951),2)</f>
        <v>249.38</v>
      </c>
    </row>
    <row r="48" spans="1:9" ht="31.5" customHeight="1" x14ac:dyDescent="0.25">
      <c r="A48" s="4">
        <v>5213</v>
      </c>
      <c r="B48" s="5" t="s">
        <v>32</v>
      </c>
      <c r="C48" s="101" t="s">
        <v>1209</v>
      </c>
      <c r="D48" s="45">
        <f t="shared" ref="D48:D50" si="4">ROUND((E48/2016),2)</f>
        <v>0.09</v>
      </c>
      <c r="E48" s="45">
        <f>ROUND((451.25*0.3951),2)</f>
        <v>178.29</v>
      </c>
    </row>
    <row r="49" spans="1:7" ht="31.5" customHeight="1" x14ac:dyDescent="0.25">
      <c r="A49" s="19">
        <v>5218</v>
      </c>
      <c r="B49" s="101" t="s">
        <v>33</v>
      </c>
      <c r="C49" s="101" t="s">
        <v>1210</v>
      </c>
      <c r="D49" s="45">
        <f t="shared" si="4"/>
        <v>0.06</v>
      </c>
      <c r="E49" s="45">
        <f>ROUND((297.62*0.3951),2)</f>
        <v>117.59</v>
      </c>
    </row>
    <row r="50" spans="1:7" ht="47.25" x14ac:dyDescent="0.25">
      <c r="A50" s="19">
        <v>5239</v>
      </c>
      <c r="B50" s="101" t="s">
        <v>18</v>
      </c>
      <c r="C50" s="101" t="s">
        <v>1211</v>
      </c>
      <c r="D50" s="45">
        <f t="shared" si="4"/>
        <v>7.0000000000000007E-2</v>
      </c>
      <c r="E50" s="45">
        <f>ROUND((381.58*0.3951),2)</f>
        <v>150.76</v>
      </c>
    </row>
    <row r="51" spans="1:7" ht="15.75" x14ac:dyDescent="0.25">
      <c r="A51" s="171"/>
      <c r="B51" s="166" t="s">
        <v>23</v>
      </c>
      <c r="C51" s="98"/>
      <c r="D51" s="44">
        <f>SUM(D21+D35+D46)</f>
        <v>3.27</v>
      </c>
      <c r="E51" s="41">
        <f>SUM(E21+E35+E46)</f>
        <v>6606.4700000000012</v>
      </c>
      <c r="F51" s="14"/>
      <c r="G51" s="14"/>
    </row>
    <row r="52" spans="1:7" ht="31.5" x14ac:dyDescent="0.25">
      <c r="A52" s="6"/>
      <c r="B52" s="11" t="s">
        <v>28</v>
      </c>
      <c r="C52" s="98"/>
      <c r="D52" s="93">
        <f>D19+D51</f>
        <v>4.0200000000000005</v>
      </c>
      <c r="E52" s="42">
        <f>E19+E51</f>
        <v>8112.0900000000011</v>
      </c>
    </row>
    <row r="53" spans="1:7" s="73" customFormat="1" ht="32.25" customHeight="1" x14ac:dyDescent="0.25">
      <c r="A53" s="351" t="s">
        <v>223</v>
      </c>
      <c r="B53" s="351"/>
      <c r="C53" s="351"/>
      <c r="D53" s="196">
        <f>2*6*168</f>
        <v>2016</v>
      </c>
      <c r="E53" s="211" t="s">
        <v>75</v>
      </c>
    </row>
    <row r="54" spans="1:7" s="73" customFormat="1" ht="34.5" customHeight="1" x14ac:dyDescent="0.25">
      <c r="A54" s="351" t="s">
        <v>823</v>
      </c>
      <c r="B54" s="351"/>
      <c r="C54" s="351"/>
      <c r="D54" s="192">
        <f>ROUND((E52/D53),2)</f>
        <v>4.0199999999999996</v>
      </c>
      <c r="E54" s="205" t="s">
        <v>1013</v>
      </c>
    </row>
    <row r="55" spans="1:7" ht="15.75" x14ac:dyDescent="0.25">
      <c r="A55" s="63"/>
      <c r="B55" s="63"/>
      <c r="C55" s="63"/>
      <c r="D55" s="199"/>
      <c r="E55" s="256"/>
    </row>
    <row r="56" spans="1:7" ht="18.75" customHeight="1" x14ac:dyDescent="0.25">
      <c r="A56" s="351" t="s">
        <v>224</v>
      </c>
      <c r="B56" s="351"/>
      <c r="C56" s="351"/>
      <c r="D56" s="196">
        <f>2*6*12</f>
        <v>144</v>
      </c>
      <c r="E56" s="192" t="s">
        <v>77</v>
      </c>
    </row>
    <row r="57" spans="1:7" ht="31.5" x14ac:dyDescent="0.25">
      <c r="A57" s="365" t="s">
        <v>820</v>
      </c>
      <c r="B57" s="365"/>
      <c r="C57" s="365"/>
      <c r="D57" s="192">
        <f>ROUND((E52/D56),2)</f>
        <v>56.33</v>
      </c>
      <c r="E57" s="205" t="s">
        <v>856</v>
      </c>
    </row>
  </sheetData>
  <mergeCells count="9">
    <mergeCell ref="A2:E2"/>
    <mergeCell ref="A54:C54"/>
    <mergeCell ref="A56:C56"/>
    <mergeCell ref="A57:C57"/>
    <mergeCell ref="A3:C3"/>
    <mergeCell ref="A4:B4"/>
    <mergeCell ref="A25:A33"/>
    <mergeCell ref="B25:B33"/>
    <mergeCell ref="A53:C53"/>
  </mergeCells>
  <pageMargins left="0.70866141732283472" right="0.70866141732283472" top="0.74803149606299213" bottom="0.74803149606299213" header="0.31496062992125984" footer="0.31496062992125984"/>
  <pageSetup paperSize="9" orientation="landscape" r:id="rId1"/>
  <rowBreaks count="1" manualBreakCount="1">
    <brk id="38" max="4" man="1"/>
  </rowBreaks>
  <ignoredErrors>
    <ignoredError sqref="D24" formula="1"/>
  </ignoredError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5C92-5D3A-4671-9AF6-FE3F0AB478CA}">
  <dimension ref="A1:J56"/>
  <sheetViews>
    <sheetView topLeftCell="A43" zoomScaleNormal="100" workbookViewId="0">
      <selection activeCell="B46" sqref="B46"/>
    </sheetView>
  </sheetViews>
  <sheetFormatPr defaultRowHeight="15" x14ac:dyDescent="0.25"/>
  <cols>
    <col min="1" max="1" width="12.140625" customWidth="1"/>
    <col min="2" max="2" width="26.7109375" customWidth="1"/>
    <col min="3" max="3" width="62.85546875" customWidth="1"/>
    <col min="4" max="4" width="10.140625" customWidth="1"/>
    <col min="5" max="5" width="17.85546875" customWidth="1"/>
  </cols>
  <sheetData>
    <row r="1" spans="1:10" ht="18.75" x14ac:dyDescent="0.3">
      <c r="A1" s="54" t="s">
        <v>79</v>
      </c>
      <c r="B1" s="54"/>
      <c r="C1" s="54"/>
    </row>
    <row r="2" spans="1:10" ht="18.75" x14ac:dyDescent="0.3">
      <c r="A2" s="368" t="s">
        <v>173</v>
      </c>
      <c r="B2" s="368"/>
      <c r="C2" s="368"/>
      <c r="D2" s="368"/>
      <c r="E2" s="368"/>
    </row>
    <row r="3" spans="1:10" ht="18.75" x14ac:dyDescent="0.3">
      <c r="A3" s="358" t="s">
        <v>1548</v>
      </c>
      <c r="B3" s="358"/>
      <c r="C3" s="358"/>
    </row>
    <row r="4" spans="1:10" ht="18.75" x14ac:dyDescent="0.3">
      <c r="A4" s="359" t="s">
        <v>74</v>
      </c>
      <c r="B4" s="359"/>
      <c r="C4" s="54"/>
    </row>
    <row r="6" spans="1:10" ht="78.75" x14ac:dyDescent="0.25">
      <c r="A6" s="149" t="s">
        <v>0</v>
      </c>
      <c r="B6" s="149" t="s">
        <v>1</v>
      </c>
      <c r="C6" s="149" t="s">
        <v>2</v>
      </c>
      <c r="D6" s="162" t="s">
        <v>26</v>
      </c>
      <c r="E6" s="53" t="s">
        <v>27</v>
      </c>
    </row>
    <row r="7" spans="1:10" ht="15.75" x14ac:dyDescent="0.25">
      <c r="A7" s="98">
        <v>1</v>
      </c>
      <c r="B7" s="98">
        <v>2</v>
      </c>
      <c r="C7" s="98">
        <v>3</v>
      </c>
      <c r="D7" s="28">
        <v>4</v>
      </c>
      <c r="E7" s="28">
        <v>5</v>
      </c>
    </row>
    <row r="8" spans="1:10" ht="15.75" x14ac:dyDescent="0.25">
      <c r="A8" s="4"/>
      <c r="B8" s="7" t="s">
        <v>7</v>
      </c>
      <c r="C8" s="98" t="s">
        <v>8</v>
      </c>
      <c r="D8" s="25"/>
      <c r="E8" s="23"/>
    </row>
    <row r="9" spans="1:10" ht="15.75" x14ac:dyDescent="0.25">
      <c r="A9" s="8">
        <v>1000</v>
      </c>
      <c r="B9" s="7" t="s">
        <v>9</v>
      </c>
      <c r="C9" s="284"/>
      <c r="D9" s="26">
        <f>D10+D16</f>
        <v>2.48</v>
      </c>
      <c r="E9" s="26">
        <f>E10+E16</f>
        <v>830.97</v>
      </c>
    </row>
    <row r="10" spans="1:10" ht="15.75" x14ac:dyDescent="0.25">
      <c r="A10" s="280">
        <v>1100</v>
      </c>
      <c r="B10" s="280" t="s">
        <v>10</v>
      </c>
      <c r="C10" s="284"/>
      <c r="D10" s="26">
        <f>SUM(D12:D15)</f>
        <v>1.94</v>
      </c>
      <c r="E10" s="26">
        <f>SUM(E12:E15)</f>
        <v>648.51</v>
      </c>
    </row>
    <row r="11" spans="1:10" ht="15.75" x14ac:dyDescent="0.25">
      <c r="A11" s="16">
        <v>1110</v>
      </c>
      <c r="B11" s="16" t="s">
        <v>240</v>
      </c>
      <c r="C11" s="300" t="s">
        <v>241</v>
      </c>
      <c r="D11" s="62">
        <f>SUM(D12:D14)</f>
        <v>1.76</v>
      </c>
      <c r="E11" s="62">
        <f>SUM(E12:E14)</f>
        <v>589.55999999999995</v>
      </c>
    </row>
    <row r="12" spans="1:10" ht="78.75" x14ac:dyDescent="0.25">
      <c r="A12" s="136"/>
      <c r="B12" s="139"/>
      <c r="C12" s="152" t="s">
        <v>1243</v>
      </c>
      <c r="D12" s="62">
        <f>ROUND((E12/336),2)</f>
        <v>0.33</v>
      </c>
      <c r="E12" s="114">
        <f>ROUND((65.12*12*0.1422),2)</f>
        <v>111.12</v>
      </c>
      <c r="J12" s="203"/>
    </row>
    <row r="13" spans="1:10" ht="78.599999999999994" customHeight="1" x14ac:dyDescent="0.25">
      <c r="A13" s="153"/>
      <c r="B13" s="154"/>
      <c r="C13" s="152" t="s">
        <v>1244</v>
      </c>
      <c r="D13" s="62">
        <f t="shared" ref="D13:D18" si="0">ROUND((E13/336),2)</f>
        <v>0.99</v>
      </c>
      <c r="E13" s="114">
        <f>ROUND((194.46*12*0.1422),2)</f>
        <v>331.83</v>
      </c>
      <c r="F13" s="40"/>
      <c r="J13" s="203"/>
    </row>
    <row r="14" spans="1:10" ht="80.099999999999994" customHeight="1" x14ac:dyDescent="0.25">
      <c r="A14" s="137"/>
      <c r="B14" s="140"/>
      <c r="C14" s="152" t="s">
        <v>1245</v>
      </c>
      <c r="D14" s="62">
        <f t="shared" si="0"/>
        <v>0.44</v>
      </c>
      <c r="E14" s="114">
        <f>ROUND((85.92*12*0.1422),2)</f>
        <v>146.61000000000001</v>
      </c>
      <c r="J14" s="203"/>
    </row>
    <row r="15" spans="1:10" ht="63" x14ac:dyDescent="0.25">
      <c r="A15" s="131">
        <v>1140</v>
      </c>
      <c r="B15" s="5" t="s">
        <v>237</v>
      </c>
      <c r="C15" s="152" t="s">
        <v>1246</v>
      </c>
      <c r="D15" s="62">
        <f t="shared" si="0"/>
        <v>0.18</v>
      </c>
      <c r="E15" s="114">
        <f>ROUND((111.12*0.1+331.83*0.1+146.61*0.1-0.01),2)</f>
        <v>58.95</v>
      </c>
      <c r="G15" s="40"/>
      <c r="H15" s="40"/>
      <c r="I15" s="40"/>
      <c r="J15" s="203"/>
    </row>
    <row r="16" spans="1:10" ht="63.75" customHeight="1" x14ac:dyDescent="0.25">
      <c r="A16" s="7">
        <v>1200</v>
      </c>
      <c r="B16" s="304" t="s">
        <v>11</v>
      </c>
      <c r="C16" s="176" t="s">
        <v>1277</v>
      </c>
      <c r="D16" s="88">
        <f>ROUND((D17+D18),2)</f>
        <v>0.54</v>
      </c>
      <c r="E16" s="88">
        <f>ROUND((E17+E18),2)</f>
        <v>182.46</v>
      </c>
      <c r="J16" s="203"/>
    </row>
    <row r="17" spans="1:10" ht="47.25" x14ac:dyDescent="0.25">
      <c r="A17" s="4">
        <v>1210</v>
      </c>
      <c r="B17" s="5" t="s">
        <v>239</v>
      </c>
      <c r="C17" s="176" t="s">
        <v>1278</v>
      </c>
      <c r="D17" s="62">
        <f>ROUND((E17/336)-0.01,2)</f>
        <v>0.45</v>
      </c>
      <c r="E17" s="114">
        <f>ROUND((648.51*0.2359),2)</f>
        <v>152.97999999999999</v>
      </c>
      <c r="J17" s="203"/>
    </row>
    <row r="18" spans="1:10" ht="63" x14ac:dyDescent="0.25">
      <c r="A18" s="4">
        <v>1227</v>
      </c>
      <c r="B18" s="5" t="s">
        <v>238</v>
      </c>
      <c r="C18" s="152" t="s">
        <v>1276</v>
      </c>
      <c r="D18" s="62">
        <f t="shared" si="0"/>
        <v>0.09</v>
      </c>
      <c r="E18" s="114">
        <f>ROUND((111.12*0.05+331.83*0.05+146.61*0.05),2)</f>
        <v>29.48</v>
      </c>
      <c r="F18" s="51"/>
      <c r="G18" s="51"/>
      <c r="H18" s="51"/>
      <c r="J18" s="203"/>
    </row>
    <row r="19" spans="1:10" ht="15.75" x14ac:dyDescent="0.25">
      <c r="A19" s="4"/>
      <c r="B19" s="9" t="s">
        <v>14</v>
      </c>
      <c r="C19" s="99" t="s">
        <v>16</v>
      </c>
      <c r="D19" s="26">
        <f>D9</f>
        <v>2.48</v>
      </c>
      <c r="E19" s="44">
        <f>E9</f>
        <v>830.97</v>
      </c>
      <c r="J19" s="203"/>
    </row>
    <row r="20" spans="1:10" ht="15.75" x14ac:dyDescent="0.25">
      <c r="A20" s="4"/>
      <c r="B20" s="9" t="s">
        <v>15</v>
      </c>
      <c r="C20" s="98" t="s">
        <v>8</v>
      </c>
      <c r="D20" s="23"/>
      <c r="E20" s="43"/>
      <c r="J20" s="203"/>
    </row>
    <row r="21" spans="1:10" ht="15.75" x14ac:dyDescent="0.25">
      <c r="A21" s="8">
        <v>1000</v>
      </c>
      <c r="B21" s="7" t="s">
        <v>9</v>
      </c>
      <c r="C21" s="98"/>
      <c r="D21" s="88">
        <f>SUM(D22+D34)</f>
        <v>1.8900000000000001</v>
      </c>
      <c r="E21" s="88">
        <f>SUM(E22+E34)</f>
        <v>632.97</v>
      </c>
      <c r="J21" s="203"/>
    </row>
    <row r="22" spans="1:10" ht="15.75" x14ac:dyDescent="0.25">
      <c r="A22" s="4">
        <v>1100</v>
      </c>
      <c r="B22" s="4" t="s">
        <v>10</v>
      </c>
      <c r="C22" s="147" t="s">
        <v>242</v>
      </c>
      <c r="D22" s="88">
        <f>SUM(D23:D33)</f>
        <v>1.53</v>
      </c>
      <c r="E22" s="88">
        <f>SUM(E23:E33)</f>
        <v>512.15</v>
      </c>
      <c r="J22" s="203"/>
    </row>
    <row r="23" spans="1:10" ht="77.45" customHeight="1" x14ac:dyDescent="0.25">
      <c r="A23" s="237"/>
      <c r="B23" s="238"/>
      <c r="C23" s="132" t="s">
        <v>1247</v>
      </c>
      <c r="D23" s="28">
        <f>ROUND((E23/336),2)</f>
        <v>0.12</v>
      </c>
      <c r="E23" s="46">
        <f>ROUND((22.94*12*0.1422),2)</f>
        <v>39.14</v>
      </c>
      <c r="F23" s="307"/>
      <c r="J23" s="203"/>
    </row>
    <row r="24" spans="1:10" ht="78.75" x14ac:dyDescent="0.25">
      <c r="A24" s="242"/>
      <c r="B24" s="243"/>
      <c r="C24" s="132" t="s">
        <v>1248</v>
      </c>
      <c r="D24" s="28">
        <f t="shared" ref="D24:D34" si="1">ROUND((E24/336),2)</f>
        <v>0.01</v>
      </c>
      <c r="E24" s="28">
        <f>ROUND((1.69*12*0.1422),2)</f>
        <v>2.88</v>
      </c>
      <c r="J24" s="203"/>
    </row>
    <row r="25" spans="1:10" ht="78.75" x14ac:dyDescent="0.25">
      <c r="A25" s="355"/>
      <c r="B25" s="353"/>
      <c r="C25" s="132" t="s">
        <v>1249</v>
      </c>
      <c r="D25" s="28">
        <f t="shared" si="1"/>
        <v>0.01</v>
      </c>
      <c r="E25" s="28">
        <f>ROUND((1.06*12*0.1422),2)</f>
        <v>1.81</v>
      </c>
      <c r="J25" s="203"/>
    </row>
    <row r="26" spans="1:10" ht="78.75" x14ac:dyDescent="0.25">
      <c r="A26" s="355"/>
      <c r="B26" s="353"/>
      <c r="C26" s="132" t="s">
        <v>1250</v>
      </c>
      <c r="D26" s="28">
        <f t="shared" si="1"/>
        <v>0.01</v>
      </c>
      <c r="E26" s="28">
        <f>ROUND((1.57*12*0.1422),2)</f>
        <v>2.68</v>
      </c>
      <c r="J26" s="203"/>
    </row>
    <row r="27" spans="1:10" ht="79.5" customHeight="1" x14ac:dyDescent="0.25">
      <c r="A27" s="355"/>
      <c r="B27" s="353"/>
      <c r="C27" s="152" t="s">
        <v>1251</v>
      </c>
      <c r="D27" s="28">
        <f t="shared" si="1"/>
        <v>0.04</v>
      </c>
      <c r="E27" s="28">
        <f>ROUND((7.82*12*0.1422),2)</f>
        <v>13.34</v>
      </c>
      <c r="F27" s="40"/>
      <c r="H27" s="40"/>
      <c r="J27" s="203"/>
    </row>
    <row r="28" spans="1:10" ht="78.75" x14ac:dyDescent="0.25">
      <c r="A28" s="355"/>
      <c r="B28" s="353"/>
      <c r="C28" s="100" t="s">
        <v>1252</v>
      </c>
      <c r="D28" s="28">
        <f t="shared" si="1"/>
        <v>0.01</v>
      </c>
      <c r="E28" s="28">
        <f>ROUND((1.57*12*0.1422),2)</f>
        <v>2.68</v>
      </c>
      <c r="J28" s="203"/>
    </row>
    <row r="29" spans="1:10" ht="78.95" customHeight="1" x14ac:dyDescent="0.25">
      <c r="A29" s="355"/>
      <c r="B29" s="353"/>
      <c r="C29" s="100" t="s">
        <v>1253</v>
      </c>
      <c r="D29" s="28">
        <f>ROUND((E29/336-0.01),2)</f>
        <v>0.38</v>
      </c>
      <c r="E29" s="28">
        <f>ROUND((75.87*12*0.1422),2)</f>
        <v>129.46</v>
      </c>
      <c r="J29" s="203"/>
    </row>
    <row r="30" spans="1:10" ht="78.75" x14ac:dyDescent="0.25">
      <c r="A30" s="355"/>
      <c r="B30" s="353"/>
      <c r="C30" s="100" t="s">
        <v>1254</v>
      </c>
      <c r="D30" s="28">
        <f t="shared" si="1"/>
        <v>0.27</v>
      </c>
      <c r="E30" s="28">
        <f>ROUND((54.02*12*0.1422),2)</f>
        <v>92.18</v>
      </c>
      <c r="J30" s="203"/>
    </row>
    <row r="31" spans="1:10" ht="78.75" x14ac:dyDescent="0.25">
      <c r="A31" s="355"/>
      <c r="B31" s="353"/>
      <c r="C31" s="152" t="s">
        <v>1255</v>
      </c>
      <c r="D31" s="28">
        <f t="shared" si="1"/>
        <v>0.56999999999999995</v>
      </c>
      <c r="E31" s="28">
        <f>ROUND((112.04*12*0.1422),2)</f>
        <v>191.19</v>
      </c>
      <c r="F31" s="40"/>
      <c r="H31" s="40"/>
      <c r="J31" s="203"/>
    </row>
    <row r="32" spans="1:10" ht="93.95" customHeight="1" x14ac:dyDescent="0.25">
      <c r="A32" s="355"/>
      <c r="B32" s="353"/>
      <c r="C32" s="152" t="s">
        <v>1292</v>
      </c>
      <c r="D32" s="28">
        <f t="shared" si="1"/>
        <v>0.09</v>
      </c>
      <c r="E32" s="46">
        <f>ROUND((17.52*12*0.1422),2)</f>
        <v>29.9</v>
      </c>
      <c r="F32" s="40"/>
      <c r="J32" s="203"/>
    </row>
    <row r="33" spans="1:10" ht="77.45" customHeight="1" x14ac:dyDescent="0.25">
      <c r="A33" s="356"/>
      <c r="B33" s="354"/>
      <c r="C33" s="152" t="s">
        <v>1256</v>
      </c>
      <c r="D33" s="28">
        <f t="shared" si="1"/>
        <v>0.02</v>
      </c>
      <c r="E33" s="28">
        <f>ROUND((4.04*12*0.1422),2)</f>
        <v>6.89</v>
      </c>
      <c r="H33" s="40"/>
      <c r="J33" s="203"/>
    </row>
    <row r="34" spans="1:10" ht="61.5" customHeight="1" x14ac:dyDescent="0.25">
      <c r="A34" s="7">
        <v>1200</v>
      </c>
      <c r="B34" s="166" t="s">
        <v>11</v>
      </c>
      <c r="C34" s="101" t="s">
        <v>1295</v>
      </c>
      <c r="D34" s="291">
        <f t="shared" si="1"/>
        <v>0.36</v>
      </c>
      <c r="E34" s="92">
        <f>ROUND((512.15*0.2359),2)</f>
        <v>120.82</v>
      </c>
      <c r="J34" s="203"/>
    </row>
    <row r="35" spans="1:10" ht="15.75" x14ac:dyDescent="0.25">
      <c r="A35" s="8">
        <v>2000</v>
      </c>
      <c r="B35" s="7" t="s">
        <v>12</v>
      </c>
      <c r="C35" s="98"/>
      <c r="D35" s="24">
        <f>SUM(D36:D46)</f>
        <v>4.51</v>
      </c>
      <c r="E35" s="44">
        <f>SUM(E36:E46)</f>
        <v>1520.47</v>
      </c>
      <c r="J35" s="203"/>
    </row>
    <row r="36" spans="1:10" ht="31.5" x14ac:dyDescent="0.25">
      <c r="A36" s="4">
        <v>2221</v>
      </c>
      <c r="B36" s="5" t="s">
        <v>60</v>
      </c>
      <c r="C36" s="102" t="s">
        <v>1230</v>
      </c>
      <c r="D36" s="28">
        <f>ROUND((E36/336),2)</f>
        <v>2.11</v>
      </c>
      <c r="E36" s="45">
        <f>ROUND((4986.54*0.1422),2)</f>
        <v>709.09</v>
      </c>
      <c r="J36" s="203"/>
    </row>
    <row r="37" spans="1:10" ht="31.5" x14ac:dyDescent="0.25">
      <c r="A37" s="4">
        <v>2222</v>
      </c>
      <c r="B37" s="5" t="s">
        <v>61</v>
      </c>
      <c r="C37" s="102" t="s">
        <v>1231</v>
      </c>
      <c r="D37" s="28">
        <f t="shared" ref="D37:D45" si="2">ROUND((E37/336),2)</f>
        <v>0.16</v>
      </c>
      <c r="E37" s="45">
        <f>ROUND((379.31*0.1422),2)</f>
        <v>53.94</v>
      </c>
      <c r="J37" s="203"/>
    </row>
    <row r="38" spans="1:10" ht="31.5" x14ac:dyDescent="0.25">
      <c r="A38" s="4">
        <v>2223</v>
      </c>
      <c r="B38" s="5" t="s">
        <v>19</v>
      </c>
      <c r="C38" s="102" t="s">
        <v>1232</v>
      </c>
      <c r="D38" s="28">
        <f t="shared" si="2"/>
        <v>0.67</v>
      </c>
      <c r="E38" s="45">
        <f>ROUND((1575.16*0.1422),2)</f>
        <v>223.99</v>
      </c>
      <c r="J38" s="203"/>
    </row>
    <row r="39" spans="1:10" ht="78" customHeight="1" x14ac:dyDescent="0.25">
      <c r="A39" s="4">
        <v>2224</v>
      </c>
      <c r="B39" s="5" t="s">
        <v>62</v>
      </c>
      <c r="C39" s="176" t="s">
        <v>1233</v>
      </c>
      <c r="D39" s="28">
        <f t="shared" si="2"/>
        <v>0.23</v>
      </c>
      <c r="E39" s="28">
        <f>ROUND((539.08*0.1422),2)</f>
        <v>76.66</v>
      </c>
      <c r="J39" s="203"/>
    </row>
    <row r="40" spans="1:10" ht="32.25" customHeight="1" x14ac:dyDescent="0.25">
      <c r="A40" s="4">
        <v>2241</v>
      </c>
      <c r="B40" s="176" t="s">
        <v>64</v>
      </c>
      <c r="C40" s="176" t="s">
        <v>1234</v>
      </c>
      <c r="D40" s="28">
        <f>ROUND((E40/336-0.01),2)</f>
        <v>0.03</v>
      </c>
      <c r="E40" s="28">
        <f>ROUND((83.31*0.1422),2)</f>
        <v>11.85</v>
      </c>
      <c r="J40" s="203"/>
    </row>
    <row r="41" spans="1:10" ht="47.25" x14ac:dyDescent="0.25">
      <c r="A41" s="4">
        <v>2243</v>
      </c>
      <c r="B41" s="5" t="s">
        <v>21</v>
      </c>
      <c r="C41" s="124" t="s">
        <v>1235</v>
      </c>
      <c r="D41" s="28">
        <f t="shared" si="2"/>
        <v>0.02</v>
      </c>
      <c r="E41" s="28">
        <f>ROUND((51.72*0.1422),2)</f>
        <v>7.35</v>
      </c>
      <c r="J41" s="203"/>
    </row>
    <row r="42" spans="1:10" ht="47.25" customHeight="1" x14ac:dyDescent="0.25">
      <c r="A42" s="4">
        <v>2244</v>
      </c>
      <c r="B42" s="5" t="s">
        <v>22</v>
      </c>
      <c r="C42" s="101" t="s">
        <v>1236</v>
      </c>
      <c r="D42" s="28">
        <f t="shared" si="2"/>
        <v>1.18</v>
      </c>
      <c r="E42" s="45">
        <f>ROUND(2795.43*0.1422,2)</f>
        <v>397.51</v>
      </c>
      <c r="J42" s="203"/>
    </row>
    <row r="43" spans="1:10" ht="47.25" x14ac:dyDescent="0.25">
      <c r="A43" s="4">
        <v>2249</v>
      </c>
      <c r="B43" s="101" t="s">
        <v>50</v>
      </c>
      <c r="C43" s="101" t="s">
        <v>1237</v>
      </c>
      <c r="D43" s="28">
        <f t="shared" si="2"/>
        <v>0.02</v>
      </c>
      <c r="E43" s="45">
        <f>ROUND(52.26*0.1422,2)</f>
        <v>7.43</v>
      </c>
      <c r="J43" s="203"/>
    </row>
    <row r="44" spans="1:10" ht="33" customHeight="1" x14ac:dyDescent="0.25">
      <c r="A44" s="4">
        <v>2312</v>
      </c>
      <c r="B44" s="4" t="s">
        <v>13</v>
      </c>
      <c r="C44" s="101" t="s">
        <v>1238</v>
      </c>
      <c r="D44" s="28">
        <f t="shared" si="2"/>
        <v>0.03</v>
      </c>
      <c r="E44" s="45">
        <f>ROUND(80.8*0.1422,2)</f>
        <v>11.49</v>
      </c>
      <c r="J44" s="203"/>
    </row>
    <row r="45" spans="1:10" ht="64.5" customHeight="1" x14ac:dyDescent="0.25">
      <c r="A45" s="4">
        <v>2350</v>
      </c>
      <c r="B45" s="5" t="s">
        <v>236</v>
      </c>
      <c r="C45" s="101" t="s">
        <v>1257</v>
      </c>
      <c r="D45" s="28">
        <f t="shared" si="2"/>
        <v>0.03</v>
      </c>
      <c r="E45" s="47">
        <f>ROUND((66.15*0.1422),2)</f>
        <v>9.41</v>
      </c>
      <c r="J45" s="203"/>
    </row>
    <row r="46" spans="1:10" ht="31.5" x14ac:dyDescent="0.25">
      <c r="A46" s="4">
        <v>2513</v>
      </c>
      <c r="B46" s="5" t="s">
        <v>63</v>
      </c>
      <c r="C46" s="101" t="s">
        <v>1239</v>
      </c>
      <c r="D46" s="28">
        <f>ROUND((E46/336),2)</f>
        <v>0.03</v>
      </c>
      <c r="E46" s="28">
        <f>ROUND((82.65*0.1422),2)</f>
        <v>11.75</v>
      </c>
      <c r="J46" s="203"/>
    </row>
    <row r="47" spans="1:10" ht="15.75" x14ac:dyDescent="0.25">
      <c r="A47" s="10">
        <v>5000</v>
      </c>
      <c r="B47" s="9" t="s">
        <v>17</v>
      </c>
      <c r="C47" s="98"/>
      <c r="D47" s="26">
        <f>SUM(D48:D49)</f>
        <v>0.19</v>
      </c>
      <c r="E47" s="26">
        <f>SUM(E48:E49)</f>
        <v>64.08</v>
      </c>
      <c r="J47" s="203"/>
    </row>
    <row r="48" spans="1:10" ht="31.5" customHeight="1" x14ac:dyDescent="0.25">
      <c r="A48" s="4">
        <v>5212</v>
      </c>
      <c r="B48" s="5" t="s">
        <v>31</v>
      </c>
      <c r="C48" s="101" t="s">
        <v>1240</v>
      </c>
      <c r="D48" s="46">
        <f>ROUND((E48/336),2)</f>
        <v>0.08</v>
      </c>
      <c r="E48" s="46">
        <f>ROUND((181.87*0.1422),2)</f>
        <v>25.86</v>
      </c>
      <c r="J48" s="203"/>
    </row>
    <row r="49" spans="1:10" ht="47.25" x14ac:dyDescent="0.25">
      <c r="A49" s="19">
        <v>5239</v>
      </c>
      <c r="B49" s="101" t="s">
        <v>18</v>
      </c>
      <c r="C49" s="101" t="s">
        <v>1241</v>
      </c>
      <c r="D49" s="46">
        <f>ROUND((E49/336),2)</f>
        <v>0.11</v>
      </c>
      <c r="E49" s="46">
        <f>ROUND((268.8*0.1422),2)</f>
        <v>38.22</v>
      </c>
      <c r="J49" s="203"/>
    </row>
    <row r="50" spans="1:10" ht="15.75" x14ac:dyDescent="0.25">
      <c r="A50" s="171"/>
      <c r="B50" s="9" t="s">
        <v>23</v>
      </c>
      <c r="C50" s="98"/>
      <c r="D50" s="26">
        <f>SUM(D21+D35+D47)</f>
        <v>6.5900000000000007</v>
      </c>
      <c r="E50" s="41">
        <f>SUM(E21+E35+E47)</f>
        <v>2217.52</v>
      </c>
      <c r="J50" s="203"/>
    </row>
    <row r="51" spans="1:10" ht="31.5" x14ac:dyDescent="0.25">
      <c r="A51" s="6"/>
      <c r="B51" s="11" t="s">
        <v>28</v>
      </c>
      <c r="C51" s="98"/>
      <c r="D51" s="27">
        <f>D19+D50</f>
        <v>9.07</v>
      </c>
      <c r="E51" s="42">
        <f>E19+E50</f>
        <v>3048.49</v>
      </c>
      <c r="F51" s="14"/>
      <c r="J51" s="203"/>
    </row>
    <row r="52" spans="1:10" s="73" customFormat="1" ht="18" customHeight="1" x14ac:dyDescent="0.25">
      <c r="A52" s="351" t="s">
        <v>1546</v>
      </c>
      <c r="B52" s="351"/>
      <c r="C52" s="351"/>
      <c r="D52" s="196">
        <f>2*1*168</f>
        <v>336</v>
      </c>
      <c r="E52" s="211" t="s">
        <v>75</v>
      </c>
      <c r="J52" s="203"/>
    </row>
    <row r="53" spans="1:10" s="73" customFormat="1" ht="33" customHeight="1" x14ac:dyDescent="0.25">
      <c r="A53" s="351" t="s">
        <v>757</v>
      </c>
      <c r="B53" s="351"/>
      <c r="C53" s="351"/>
      <c r="D53" s="192">
        <f>ROUND((E51/D52),2)</f>
        <v>9.07</v>
      </c>
      <c r="E53" s="205" t="s">
        <v>401</v>
      </c>
      <c r="J53" s="203"/>
    </row>
    <row r="54" spans="1:10" ht="15.75" x14ac:dyDescent="0.25">
      <c r="A54" s="63"/>
      <c r="B54" s="63"/>
      <c r="C54" s="63"/>
      <c r="D54" s="214"/>
      <c r="E54" s="256"/>
    </row>
    <row r="55" spans="1:10" ht="15.75" customHeight="1" x14ac:dyDescent="0.25">
      <c r="A55" s="360" t="s">
        <v>1547</v>
      </c>
      <c r="B55" s="360"/>
      <c r="C55" s="360"/>
      <c r="D55" s="196">
        <f>2*11</f>
        <v>22</v>
      </c>
      <c r="E55" s="192" t="s">
        <v>77</v>
      </c>
    </row>
    <row r="56" spans="1:10" ht="31.5" x14ac:dyDescent="0.25">
      <c r="A56" s="365" t="s">
        <v>759</v>
      </c>
      <c r="B56" s="365"/>
      <c r="C56" s="365"/>
      <c r="D56" s="192">
        <f>ROUND((E51/D55),2)</f>
        <v>138.57</v>
      </c>
      <c r="E56" s="205" t="s">
        <v>1242</v>
      </c>
      <c r="G56" s="14"/>
    </row>
  </sheetData>
  <mergeCells count="9">
    <mergeCell ref="A2:E2"/>
    <mergeCell ref="A53:C53"/>
    <mergeCell ref="A55:C55"/>
    <mergeCell ref="A56:C56"/>
    <mergeCell ref="A3:C3"/>
    <mergeCell ref="A4:B4"/>
    <mergeCell ref="A25:A33"/>
    <mergeCell ref="B25:B33"/>
    <mergeCell ref="A52:C52"/>
  </mergeCells>
  <pageMargins left="0.7" right="0.7" top="0.75" bottom="0.75" header="0.3" footer="0.3"/>
  <pageSetup paperSize="9" orientation="landscape" r:id="rId1"/>
  <rowBreaks count="3" manualBreakCount="3">
    <brk id="23" max="16383" man="1"/>
    <brk id="28" max="16383" man="1"/>
    <brk id="34" max="16383" man="1"/>
  </rowBreaks>
  <ignoredErrors>
    <ignoredError sqref="D16:E16 D40 D29 E27" formula="1"/>
  </ignoredError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23F68-CA02-4416-975D-3288B1A204B2}">
  <dimension ref="A1:I56"/>
  <sheetViews>
    <sheetView topLeftCell="A43" zoomScaleNormal="100" workbookViewId="0">
      <selection activeCell="B46" sqref="B46"/>
    </sheetView>
  </sheetViews>
  <sheetFormatPr defaultRowHeight="15" x14ac:dyDescent="0.25"/>
  <cols>
    <col min="1" max="1" width="12.42578125" customWidth="1"/>
    <col min="2" max="2" width="27" customWidth="1"/>
    <col min="3" max="3" width="60.85546875" customWidth="1"/>
    <col min="4" max="4" width="11.28515625" style="14" customWidth="1"/>
    <col min="5" max="5" width="18.140625" style="14" customWidth="1"/>
  </cols>
  <sheetData>
    <row r="1" spans="1:9" ht="18.75" x14ac:dyDescent="0.3">
      <c r="A1" s="54" t="s">
        <v>79</v>
      </c>
      <c r="B1" s="54"/>
      <c r="C1" s="54"/>
    </row>
    <row r="2" spans="1:9" ht="18.75" x14ac:dyDescent="0.3">
      <c r="A2" s="368" t="s">
        <v>173</v>
      </c>
      <c r="B2" s="368"/>
      <c r="C2" s="368"/>
      <c r="D2" s="368"/>
      <c r="E2" s="368"/>
    </row>
    <row r="3" spans="1:9" ht="18.75" x14ac:dyDescent="0.25">
      <c r="A3" s="352" t="s">
        <v>1551</v>
      </c>
      <c r="B3" s="352"/>
      <c r="C3" s="352"/>
    </row>
    <row r="4" spans="1:9" ht="18.75" x14ac:dyDescent="0.3">
      <c r="A4" s="359" t="s">
        <v>74</v>
      </c>
      <c r="B4" s="359"/>
      <c r="C4" s="54"/>
    </row>
    <row r="6" spans="1:9" ht="78.75" x14ac:dyDescent="0.25">
      <c r="A6" s="149" t="s">
        <v>0</v>
      </c>
      <c r="B6" s="149" t="s">
        <v>1</v>
      </c>
      <c r="C6" s="149" t="s">
        <v>2</v>
      </c>
      <c r="D6" s="168" t="s">
        <v>26</v>
      </c>
      <c r="E6" s="91" t="s">
        <v>27</v>
      </c>
    </row>
    <row r="7" spans="1:9" ht="15.75" x14ac:dyDescent="0.25">
      <c r="A7" s="103">
        <v>1</v>
      </c>
      <c r="B7" s="103">
        <v>2</v>
      </c>
      <c r="C7" s="103">
        <v>3</v>
      </c>
      <c r="D7" s="45">
        <v>4</v>
      </c>
      <c r="E7" s="45">
        <v>5</v>
      </c>
    </row>
    <row r="8" spans="1:9" ht="15.75" x14ac:dyDescent="0.25">
      <c r="A8" s="4"/>
      <c r="B8" s="7" t="s">
        <v>7</v>
      </c>
      <c r="C8" s="103" t="s">
        <v>8</v>
      </c>
      <c r="D8" s="43"/>
      <c r="E8" s="43"/>
    </row>
    <row r="9" spans="1:9" ht="15.75" x14ac:dyDescent="0.25">
      <c r="A9" s="8">
        <v>1000</v>
      </c>
      <c r="B9" s="7" t="s">
        <v>9</v>
      </c>
      <c r="C9" s="284"/>
      <c r="D9" s="44">
        <f>D10+D16</f>
        <v>1.29</v>
      </c>
      <c r="E9" s="44">
        <f>E10+E16</f>
        <v>5012.76</v>
      </c>
    </row>
    <row r="10" spans="1:9" ht="15.75" x14ac:dyDescent="0.25">
      <c r="A10" s="280">
        <v>1100</v>
      </c>
      <c r="B10" s="280" t="s">
        <v>10</v>
      </c>
      <c r="C10" s="284"/>
      <c r="D10" s="44">
        <f>SUM(D12:D15)</f>
        <v>1</v>
      </c>
      <c r="E10" s="44">
        <f>SUM(E12:E15)</f>
        <v>3912.08</v>
      </c>
    </row>
    <row r="11" spans="1:9" ht="15.75" x14ac:dyDescent="0.25">
      <c r="A11" s="16">
        <v>1110</v>
      </c>
      <c r="B11" s="16" t="s">
        <v>240</v>
      </c>
      <c r="C11" s="300" t="s">
        <v>241</v>
      </c>
      <c r="D11" s="114">
        <f>SUM(D12:D14)</f>
        <v>0.91</v>
      </c>
      <c r="E11" s="114">
        <f>SUM(E12:E14)</f>
        <v>3556.44</v>
      </c>
    </row>
    <row r="12" spans="1:9" ht="78" customHeight="1" x14ac:dyDescent="0.25">
      <c r="A12" s="136"/>
      <c r="B12" s="139"/>
      <c r="C12" s="152" t="s">
        <v>1271</v>
      </c>
      <c r="D12" s="114">
        <f>ROUND((E12/3888),2)</f>
        <v>0.17</v>
      </c>
      <c r="E12" s="114">
        <f>ROUND((65.12*12*0.8578),2)</f>
        <v>670.32</v>
      </c>
    </row>
    <row r="13" spans="1:9" ht="94.5" x14ac:dyDescent="0.25">
      <c r="A13" s="153"/>
      <c r="B13" s="154"/>
      <c r="C13" s="152" t="s">
        <v>1272</v>
      </c>
      <c r="D13" s="114">
        <f>ROUND((E13/3888),2)</f>
        <v>0.51</v>
      </c>
      <c r="E13" s="114">
        <f>ROUND((194.46*12*0.8578),2)</f>
        <v>2001.69</v>
      </c>
      <c r="I13" s="51"/>
    </row>
    <row r="14" spans="1:9" ht="78" customHeight="1" x14ac:dyDescent="0.25">
      <c r="A14" s="137"/>
      <c r="B14" s="140"/>
      <c r="C14" s="152" t="s">
        <v>1273</v>
      </c>
      <c r="D14" s="114">
        <f t="shared" ref="D14:D18" si="0">ROUND((E14/3888),2)</f>
        <v>0.23</v>
      </c>
      <c r="E14" s="114">
        <f>ROUND((85.92*12*0.8578),2)</f>
        <v>884.43</v>
      </c>
      <c r="I14" s="87"/>
    </row>
    <row r="15" spans="1:9" ht="63.6" customHeight="1" x14ac:dyDescent="0.25">
      <c r="A15" s="131">
        <v>1140</v>
      </c>
      <c r="B15" s="5" t="s">
        <v>237</v>
      </c>
      <c r="C15" s="152" t="s">
        <v>1289</v>
      </c>
      <c r="D15" s="114">
        <f t="shared" si="0"/>
        <v>0.09</v>
      </c>
      <c r="E15" s="114">
        <f>ROUND((670.32*0.1+2001.69*0.1+884.43*0.1),2)</f>
        <v>355.64</v>
      </c>
      <c r="I15" s="87"/>
    </row>
    <row r="16" spans="1:9" ht="63" customHeight="1" x14ac:dyDescent="0.25">
      <c r="A16" s="7">
        <v>1200</v>
      </c>
      <c r="B16" s="306" t="s">
        <v>11</v>
      </c>
      <c r="C16" s="176" t="s">
        <v>1290</v>
      </c>
      <c r="D16" s="92">
        <f>ROUND((D17+D18),2)</f>
        <v>0.28999999999999998</v>
      </c>
      <c r="E16" s="92">
        <f>ROUND((E17+E18),2)</f>
        <v>1100.68</v>
      </c>
      <c r="I16" s="87"/>
    </row>
    <row r="17" spans="1:9" ht="47.25" x14ac:dyDescent="0.25">
      <c r="A17" s="4">
        <v>1210</v>
      </c>
      <c r="B17" s="5" t="s">
        <v>239</v>
      </c>
      <c r="C17" s="176" t="s">
        <v>1275</v>
      </c>
      <c r="D17" s="114">
        <f t="shared" si="0"/>
        <v>0.24</v>
      </c>
      <c r="E17" s="45">
        <f>ROUND((3912.08*0.2359),2)</f>
        <v>922.86</v>
      </c>
      <c r="I17" s="87"/>
    </row>
    <row r="18" spans="1:9" ht="62.1" customHeight="1" x14ac:dyDescent="0.25">
      <c r="A18" s="4">
        <v>1227</v>
      </c>
      <c r="B18" s="5" t="s">
        <v>238</v>
      </c>
      <c r="C18" s="152" t="s">
        <v>1274</v>
      </c>
      <c r="D18" s="114">
        <f t="shared" si="0"/>
        <v>0.05</v>
      </c>
      <c r="E18" s="114">
        <f>ROUND((670.32*0.05+2001.69*0.05+884.43*0.05),2)</f>
        <v>177.82</v>
      </c>
      <c r="I18" s="87"/>
    </row>
    <row r="19" spans="1:9" ht="15.75" x14ac:dyDescent="0.25">
      <c r="A19" s="4"/>
      <c r="B19" s="9" t="s">
        <v>14</v>
      </c>
      <c r="C19" s="104" t="s">
        <v>16</v>
      </c>
      <c r="D19" s="44">
        <f>D9</f>
        <v>1.29</v>
      </c>
      <c r="E19" s="44">
        <f>E9</f>
        <v>5012.76</v>
      </c>
      <c r="I19" s="87"/>
    </row>
    <row r="20" spans="1:9" ht="15.75" x14ac:dyDescent="0.25">
      <c r="A20" s="4"/>
      <c r="B20" s="9" t="s">
        <v>15</v>
      </c>
      <c r="C20" s="103" t="s">
        <v>8</v>
      </c>
      <c r="D20" s="43"/>
      <c r="E20" s="43"/>
      <c r="I20" s="87"/>
    </row>
    <row r="21" spans="1:9" ht="15.75" x14ac:dyDescent="0.25">
      <c r="A21" s="8">
        <v>1000</v>
      </c>
      <c r="B21" s="7" t="s">
        <v>9</v>
      </c>
      <c r="C21" s="103"/>
      <c r="D21" s="92">
        <f>SUM(D22+D34)</f>
        <v>0.97</v>
      </c>
      <c r="E21" s="92">
        <f>SUM(E22+E34)</f>
        <v>3818.3500000000004</v>
      </c>
      <c r="I21" s="87"/>
    </row>
    <row r="22" spans="1:9" ht="15.75" x14ac:dyDescent="0.25">
      <c r="A22" s="4">
        <v>1100</v>
      </c>
      <c r="B22" s="4" t="s">
        <v>10</v>
      </c>
      <c r="C22" s="147" t="s">
        <v>242</v>
      </c>
      <c r="D22" s="92">
        <f>SUM(D23:D33)</f>
        <v>0.78</v>
      </c>
      <c r="E22" s="92">
        <f>SUM(E23:E33)</f>
        <v>3089.53</v>
      </c>
      <c r="I22" s="87"/>
    </row>
    <row r="23" spans="1:9" ht="94.5" x14ac:dyDescent="0.25">
      <c r="A23" s="237"/>
      <c r="B23" s="238"/>
      <c r="C23" s="152" t="s">
        <v>1279</v>
      </c>
      <c r="D23" s="45">
        <f>ROUND((E23/3888),2)</f>
        <v>0.06</v>
      </c>
      <c r="E23" s="45">
        <f>ROUND((22.94*12*0.8578),2)</f>
        <v>236.14</v>
      </c>
      <c r="I23" s="87"/>
    </row>
    <row r="24" spans="1:9" ht="78.95" customHeight="1" x14ac:dyDescent="0.25">
      <c r="A24" s="242"/>
      <c r="B24" s="243"/>
      <c r="C24" s="152" t="s">
        <v>1280</v>
      </c>
      <c r="D24" s="45">
        <f>ROUND((E24/3888),2)</f>
        <v>0</v>
      </c>
      <c r="E24" s="45">
        <f>ROUND((1.69*12*0.8578),2)</f>
        <v>17.399999999999999</v>
      </c>
      <c r="I24" s="87"/>
    </row>
    <row r="25" spans="1:9" ht="78.75" x14ac:dyDescent="0.25">
      <c r="A25" s="355"/>
      <c r="B25" s="353"/>
      <c r="C25" s="152" t="s">
        <v>1281</v>
      </c>
      <c r="D25" s="45">
        <f t="shared" ref="D25:D34" si="1">ROUND((E25/3888),2)</f>
        <v>0</v>
      </c>
      <c r="E25" s="45">
        <f>ROUND((1.06*12*0.8578),2)</f>
        <v>10.91</v>
      </c>
      <c r="I25" s="87"/>
    </row>
    <row r="26" spans="1:9" ht="78.75" x14ac:dyDescent="0.25">
      <c r="A26" s="355"/>
      <c r="B26" s="353"/>
      <c r="C26" s="152" t="s">
        <v>1282</v>
      </c>
      <c r="D26" s="45">
        <f t="shared" si="1"/>
        <v>0</v>
      </c>
      <c r="E26" s="45">
        <f>ROUND((1.57*12*0.8578),2)</f>
        <v>16.16</v>
      </c>
      <c r="I26" s="87"/>
    </row>
    <row r="27" spans="1:9" ht="78.75" customHeight="1" x14ac:dyDescent="0.25">
      <c r="A27" s="355"/>
      <c r="B27" s="353"/>
      <c r="C27" s="152" t="s">
        <v>1283</v>
      </c>
      <c r="D27" s="45">
        <f t="shared" si="1"/>
        <v>0.02</v>
      </c>
      <c r="E27" s="45">
        <f>ROUND((7.82*12*0.8578),2)</f>
        <v>80.5</v>
      </c>
      <c r="I27" s="87"/>
    </row>
    <row r="28" spans="1:9" ht="79.5" customHeight="1" x14ac:dyDescent="0.25">
      <c r="A28" s="355"/>
      <c r="B28" s="353"/>
      <c r="C28" s="152" t="s">
        <v>1284</v>
      </c>
      <c r="D28" s="45">
        <f t="shared" si="1"/>
        <v>0</v>
      </c>
      <c r="E28" s="45">
        <f>ROUND((1.57*12*0.8578),2)</f>
        <v>16.16</v>
      </c>
      <c r="I28" s="87"/>
    </row>
    <row r="29" spans="1:9" ht="78.75" x14ac:dyDescent="0.25">
      <c r="A29" s="355"/>
      <c r="B29" s="353"/>
      <c r="C29" s="105" t="s">
        <v>1285</v>
      </c>
      <c r="D29" s="45">
        <f>ROUND((E29/3888),2)</f>
        <v>0.2</v>
      </c>
      <c r="E29" s="45">
        <f>ROUND((75.87*12*0.8578),2)</f>
        <v>780.98</v>
      </c>
      <c r="I29" s="87"/>
    </row>
    <row r="30" spans="1:9" ht="78.75" x14ac:dyDescent="0.25">
      <c r="A30" s="355"/>
      <c r="B30" s="353"/>
      <c r="C30" s="105" t="s">
        <v>1286</v>
      </c>
      <c r="D30" s="45">
        <f t="shared" si="1"/>
        <v>0.14000000000000001</v>
      </c>
      <c r="E30" s="45">
        <f>ROUND((54.02*12*0.8578),2)</f>
        <v>556.05999999999995</v>
      </c>
      <c r="I30" s="87"/>
    </row>
    <row r="31" spans="1:9" ht="78.75" x14ac:dyDescent="0.25">
      <c r="A31" s="355"/>
      <c r="B31" s="353"/>
      <c r="C31" s="132" t="s">
        <v>1287</v>
      </c>
      <c r="D31" s="45">
        <f t="shared" si="1"/>
        <v>0.3</v>
      </c>
      <c r="E31" s="45">
        <f>ROUND((112.04*12*0.8578),2)</f>
        <v>1153.29</v>
      </c>
      <c r="I31" s="87"/>
    </row>
    <row r="32" spans="1:9" ht="93.95" customHeight="1" x14ac:dyDescent="0.25">
      <c r="A32" s="355"/>
      <c r="B32" s="353"/>
      <c r="C32" s="132" t="s">
        <v>1293</v>
      </c>
      <c r="D32" s="45">
        <f>ROUND((E32/3888),2)</f>
        <v>0.05</v>
      </c>
      <c r="E32" s="45">
        <f>ROUND((17.52*12*0.8578),2)</f>
        <v>180.34</v>
      </c>
      <c r="I32" s="51"/>
    </row>
    <row r="33" spans="1:9" ht="78.75" x14ac:dyDescent="0.25">
      <c r="A33" s="356"/>
      <c r="B33" s="354"/>
      <c r="C33" s="132" t="s">
        <v>1288</v>
      </c>
      <c r="D33" s="45">
        <f t="shared" si="1"/>
        <v>0.01</v>
      </c>
      <c r="E33" s="45">
        <f>ROUND((4.04*12*0.8578),2)</f>
        <v>41.59</v>
      </c>
      <c r="I33" s="87"/>
    </row>
    <row r="34" spans="1:9" ht="61.5" customHeight="1" x14ac:dyDescent="0.25">
      <c r="A34" s="7">
        <v>1200</v>
      </c>
      <c r="B34" s="166" t="s">
        <v>11</v>
      </c>
      <c r="C34" s="107" t="s">
        <v>1294</v>
      </c>
      <c r="D34" s="92">
        <f t="shared" si="1"/>
        <v>0.19</v>
      </c>
      <c r="E34" s="92">
        <f>ROUND((3089.53*0.2359),2)</f>
        <v>728.82</v>
      </c>
      <c r="I34" s="87"/>
    </row>
    <row r="35" spans="1:9" ht="15.75" x14ac:dyDescent="0.25">
      <c r="A35" s="8">
        <v>2000</v>
      </c>
      <c r="B35" s="7" t="s">
        <v>12</v>
      </c>
      <c r="C35" s="103"/>
      <c r="D35" s="44">
        <f>SUM(D36:D46)</f>
        <v>2.37</v>
      </c>
      <c r="E35" s="44">
        <f>SUM(E36:E46)</f>
        <v>9171.9399999999987</v>
      </c>
      <c r="I35" s="87"/>
    </row>
    <row r="36" spans="1:9" ht="30" customHeight="1" x14ac:dyDescent="0.25">
      <c r="A36" s="4">
        <v>2221</v>
      </c>
      <c r="B36" s="5" t="s">
        <v>60</v>
      </c>
      <c r="C36" s="106" t="s">
        <v>1258</v>
      </c>
      <c r="D36" s="45">
        <f>ROUND((E36/3888),2)</f>
        <v>1.1000000000000001</v>
      </c>
      <c r="E36" s="45">
        <f>ROUND((4986.54*0.8578),2)</f>
        <v>4277.45</v>
      </c>
      <c r="I36" s="87"/>
    </row>
    <row r="37" spans="1:9" ht="31.5" x14ac:dyDescent="0.25">
      <c r="A37" s="4">
        <v>2222</v>
      </c>
      <c r="B37" s="5" t="s">
        <v>61</v>
      </c>
      <c r="C37" s="106" t="s">
        <v>1259</v>
      </c>
      <c r="D37" s="45">
        <f t="shared" ref="D37:D46" si="2">ROUND((E37/3888),2)</f>
        <v>0.08</v>
      </c>
      <c r="E37" s="45">
        <f>ROUND((379.31*0.8578),2)</f>
        <v>325.37</v>
      </c>
      <c r="I37" s="87"/>
    </row>
    <row r="38" spans="1:9" ht="31.5" x14ac:dyDescent="0.25">
      <c r="A38" s="4">
        <v>2223</v>
      </c>
      <c r="B38" s="5" t="s">
        <v>19</v>
      </c>
      <c r="C38" s="106" t="s">
        <v>1260</v>
      </c>
      <c r="D38" s="45">
        <f t="shared" si="2"/>
        <v>0.35</v>
      </c>
      <c r="E38" s="45">
        <f>ROUND((1575.16*0.8578),2)</f>
        <v>1351.17</v>
      </c>
      <c r="I38" s="87"/>
    </row>
    <row r="39" spans="1:9" ht="79.5" customHeight="1" x14ac:dyDescent="0.25">
      <c r="A39" s="4">
        <v>2224</v>
      </c>
      <c r="B39" s="5" t="s">
        <v>62</v>
      </c>
      <c r="C39" s="5" t="s">
        <v>1261</v>
      </c>
      <c r="D39" s="45">
        <f t="shared" si="2"/>
        <v>0.12</v>
      </c>
      <c r="E39" s="45">
        <f>ROUND((539.08*0.8578),2)</f>
        <v>462.42</v>
      </c>
      <c r="I39" s="87"/>
    </row>
    <row r="40" spans="1:9" ht="31.5" x14ac:dyDescent="0.25">
      <c r="A40" s="4">
        <v>2241</v>
      </c>
      <c r="B40" s="1" t="s">
        <v>64</v>
      </c>
      <c r="C40" s="176" t="s">
        <v>1262</v>
      </c>
      <c r="D40" s="45">
        <f t="shared" si="2"/>
        <v>0.02</v>
      </c>
      <c r="E40" s="45">
        <f>ROUND((83.31*0.8578),2)</f>
        <v>71.459999999999994</v>
      </c>
      <c r="I40" s="87"/>
    </row>
    <row r="41" spans="1:9" ht="47.25" x14ac:dyDescent="0.25">
      <c r="A41" s="4">
        <v>2243</v>
      </c>
      <c r="B41" s="5" t="s">
        <v>21</v>
      </c>
      <c r="C41" s="90" t="s">
        <v>1263</v>
      </c>
      <c r="D41" s="45">
        <f t="shared" si="2"/>
        <v>0.01</v>
      </c>
      <c r="E41" s="45">
        <f>ROUND((51.72*0.8578),2)</f>
        <v>44.37</v>
      </c>
      <c r="I41" s="87"/>
    </row>
    <row r="42" spans="1:9" ht="47.25" x14ac:dyDescent="0.25">
      <c r="A42" s="4">
        <v>2244</v>
      </c>
      <c r="B42" s="5" t="s">
        <v>22</v>
      </c>
      <c r="C42" s="121" t="s">
        <v>1264</v>
      </c>
      <c r="D42" s="45">
        <f t="shared" si="2"/>
        <v>0.62</v>
      </c>
      <c r="E42" s="45">
        <f>ROUND(2795.43*0.8578,2)</f>
        <v>2397.92</v>
      </c>
      <c r="I42" s="87"/>
    </row>
    <row r="43" spans="1:9" ht="47.25" x14ac:dyDescent="0.25">
      <c r="A43" s="4">
        <v>2249</v>
      </c>
      <c r="B43" s="107" t="s">
        <v>50</v>
      </c>
      <c r="C43" s="121" t="s">
        <v>1265</v>
      </c>
      <c r="D43" s="45">
        <f t="shared" si="2"/>
        <v>0.01</v>
      </c>
      <c r="E43" s="45">
        <f>ROUND(52.26*0.8578,2)</f>
        <v>44.83</v>
      </c>
      <c r="I43" s="87"/>
    </row>
    <row r="44" spans="1:9" ht="33" customHeight="1" x14ac:dyDescent="0.25">
      <c r="A44" s="4">
        <v>2312</v>
      </c>
      <c r="B44" s="4" t="s">
        <v>13</v>
      </c>
      <c r="C44" s="121" t="s">
        <v>1266</v>
      </c>
      <c r="D44" s="45">
        <f t="shared" si="2"/>
        <v>0.02</v>
      </c>
      <c r="E44" s="45">
        <f>ROUND(80.8*0.8578,2)</f>
        <v>69.31</v>
      </c>
      <c r="I44" s="87"/>
    </row>
    <row r="45" spans="1:9" ht="62.25" customHeight="1" x14ac:dyDescent="0.25">
      <c r="A45" s="4">
        <v>2350</v>
      </c>
      <c r="B45" s="5" t="s">
        <v>236</v>
      </c>
      <c r="C45" s="121" t="s">
        <v>1267</v>
      </c>
      <c r="D45" s="45">
        <f>ROUND((E45/3888+0.01),2)</f>
        <v>0.02</v>
      </c>
      <c r="E45" s="114">
        <f>ROUND((66.15*0.8578),2)</f>
        <v>56.74</v>
      </c>
      <c r="I45" s="51"/>
    </row>
    <row r="46" spans="1:9" ht="31.5" x14ac:dyDescent="0.25">
      <c r="A46" s="4">
        <v>2513</v>
      </c>
      <c r="B46" s="5" t="s">
        <v>63</v>
      </c>
      <c r="C46" s="121" t="s">
        <v>1268</v>
      </c>
      <c r="D46" s="45">
        <f t="shared" si="2"/>
        <v>0.02</v>
      </c>
      <c r="E46" s="45">
        <f>ROUND((82.65*0.8578),2)</f>
        <v>70.900000000000006</v>
      </c>
      <c r="I46" s="87"/>
    </row>
    <row r="47" spans="1:9" ht="15.75" x14ac:dyDescent="0.25">
      <c r="A47" s="10">
        <v>5000</v>
      </c>
      <c r="B47" s="9" t="s">
        <v>17</v>
      </c>
      <c r="C47" s="103"/>
      <c r="D47" s="44">
        <f>SUM(D48:D49)</f>
        <v>0.1</v>
      </c>
      <c r="E47" s="44">
        <f>SUM(E48:E49)</f>
        <v>386.59000000000003</v>
      </c>
      <c r="I47" s="87"/>
    </row>
    <row r="48" spans="1:9" ht="31.5" x14ac:dyDescent="0.25">
      <c r="A48" s="4">
        <v>5212</v>
      </c>
      <c r="B48" s="5" t="s">
        <v>31</v>
      </c>
      <c r="C48" s="5" t="s">
        <v>1269</v>
      </c>
      <c r="D48" s="45">
        <f>ROUND((E48/3888),2)</f>
        <v>0.04</v>
      </c>
      <c r="E48" s="45">
        <f>ROUND((181.87*0.8578),2)</f>
        <v>156.01</v>
      </c>
      <c r="I48" s="87"/>
    </row>
    <row r="49" spans="1:9" ht="47.25" x14ac:dyDescent="0.25">
      <c r="A49" s="19">
        <v>5239</v>
      </c>
      <c r="B49" s="107" t="s">
        <v>18</v>
      </c>
      <c r="C49" s="5" t="s">
        <v>1270</v>
      </c>
      <c r="D49" s="45">
        <f>ROUND((E49/3888),2)</f>
        <v>0.06</v>
      </c>
      <c r="E49" s="45">
        <f>ROUND((268.8*0.8578),2)</f>
        <v>230.58</v>
      </c>
      <c r="I49" s="87"/>
    </row>
    <row r="50" spans="1:9" ht="15.75" x14ac:dyDescent="0.25">
      <c r="A50" s="171"/>
      <c r="B50" s="9" t="s">
        <v>23</v>
      </c>
      <c r="C50" s="103"/>
      <c r="D50" s="44">
        <f>SUM(D21+D35+D47)</f>
        <v>3.44</v>
      </c>
      <c r="E50" s="41">
        <f>SUM(E21+E35+E47)</f>
        <v>13376.88</v>
      </c>
      <c r="I50" s="87"/>
    </row>
    <row r="51" spans="1:9" ht="31.5" x14ac:dyDescent="0.25">
      <c r="A51" s="6"/>
      <c r="B51" s="11" t="s">
        <v>28</v>
      </c>
      <c r="C51" s="103"/>
      <c r="D51" s="93">
        <f>D19+D50</f>
        <v>4.7300000000000004</v>
      </c>
      <c r="E51" s="42">
        <f>E19+E50</f>
        <v>18389.64</v>
      </c>
      <c r="I51" s="87"/>
    </row>
    <row r="52" spans="1:9" s="73" customFormat="1" ht="30.75" customHeight="1" x14ac:dyDescent="0.25">
      <c r="A52" s="351" t="s">
        <v>1549</v>
      </c>
      <c r="B52" s="351"/>
      <c r="C52" s="351"/>
      <c r="D52" s="196">
        <f>12*3*108</f>
        <v>3888</v>
      </c>
      <c r="E52" s="211" t="s">
        <v>75</v>
      </c>
    </row>
    <row r="53" spans="1:9" s="73" customFormat="1" ht="33" customHeight="1" x14ac:dyDescent="0.25">
      <c r="A53" s="351" t="s">
        <v>823</v>
      </c>
      <c r="B53" s="351"/>
      <c r="C53" s="351"/>
      <c r="D53" s="192">
        <f>ROUND((E51/D52),2)</f>
        <v>4.7300000000000004</v>
      </c>
      <c r="E53" s="205" t="s">
        <v>857</v>
      </c>
    </row>
    <row r="54" spans="1:9" ht="15.75" x14ac:dyDescent="0.25">
      <c r="A54" s="1"/>
      <c r="B54" s="1"/>
      <c r="C54" s="1"/>
      <c r="D54" s="215"/>
      <c r="E54" s="257"/>
    </row>
    <row r="55" spans="1:9" ht="15.75" x14ac:dyDescent="0.25">
      <c r="A55" s="351" t="s">
        <v>1550</v>
      </c>
      <c r="B55" s="351"/>
      <c r="C55" s="351"/>
      <c r="D55" s="196">
        <f>12*3*8</f>
        <v>288</v>
      </c>
      <c r="E55" s="192" t="s">
        <v>59</v>
      </c>
    </row>
    <row r="56" spans="1:9" ht="31.5" x14ac:dyDescent="0.25">
      <c r="A56" s="365" t="s">
        <v>820</v>
      </c>
      <c r="B56" s="365"/>
      <c r="C56" s="365"/>
      <c r="D56" s="192">
        <f>ROUND((E51/D55),2)</f>
        <v>63.85</v>
      </c>
      <c r="E56" s="205" t="s">
        <v>980</v>
      </c>
    </row>
  </sheetData>
  <mergeCells count="9">
    <mergeCell ref="A2:E2"/>
    <mergeCell ref="A53:C53"/>
    <mergeCell ref="A55:C55"/>
    <mergeCell ref="A56:C56"/>
    <mergeCell ref="A3:C3"/>
    <mergeCell ref="A4:B4"/>
    <mergeCell ref="A25:A33"/>
    <mergeCell ref="B25:B33"/>
    <mergeCell ref="A52:C52"/>
  </mergeCells>
  <pageMargins left="0.70866141732283472" right="0.70866141732283472" top="0.74803149606299213" bottom="0.74803149606299213" header="0.31496062992125984" footer="0.31496062992125984"/>
  <pageSetup paperSize="9" scale="99" orientation="landscape" r:id="rId1"/>
  <rowBreaks count="5" manualBreakCount="5">
    <brk id="13" max="4" man="1"/>
    <brk id="23" max="16383" man="1"/>
    <brk id="28" max="16383" man="1"/>
    <brk id="34" max="16383" man="1"/>
    <brk id="46" max="16383" man="1"/>
  </rowBreaks>
  <ignoredErrors>
    <ignoredError sqref="D16 D45"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39</vt:i4>
      </vt:variant>
      <vt:variant>
        <vt:lpstr>Named Ranges</vt:lpstr>
      </vt:variant>
      <vt:variant>
        <vt:i4>2</vt:i4>
      </vt:variant>
    </vt:vector>
  </HeadingPairs>
  <TitlesOfParts>
    <vt:vector size="41" baseType="lpstr">
      <vt:lpstr>Saturs</vt:lpstr>
      <vt:lpstr>1.1.1.</vt:lpstr>
      <vt:lpstr>1.1.2.</vt:lpstr>
      <vt:lpstr>1.2.1.</vt:lpstr>
      <vt:lpstr>1.2.2.</vt:lpstr>
      <vt:lpstr>1.3.</vt:lpstr>
      <vt:lpstr>1.4.1.</vt:lpstr>
      <vt:lpstr>1.4.2.</vt:lpstr>
      <vt:lpstr>1.5.</vt:lpstr>
      <vt:lpstr>1.6.</vt:lpstr>
      <vt:lpstr>1.7.1.</vt:lpstr>
      <vt:lpstr>1.7.2.</vt:lpstr>
      <vt:lpstr>2.1.1.</vt:lpstr>
      <vt:lpstr>2.1.2.</vt:lpstr>
      <vt:lpstr>2.1.3.</vt:lpstr>
      <vt:lpstr>2.1.4.</vt:lpstr>
      <vt:lpstr>2.1.5.</vt:lpstr>
      <vt:lpstr>2.2.1.</vt:lpstr>
      <vt:lpstr>2.2.2.</vt:lpstr>
      <vt:lpstr>2.2.3.</vt:lpstr>
      <vt:lpstr>2.3.1.</vt:lpstr>
      <vt:lpstr>2.3.2.</vt:lpstr>
      <vt:lpstr>2.3.3.</vt:lpstr>
      <vt:lpstr>2.4.1.</vt:lpstr>
      <vt:lpstr>2.4.2.</vt:lpstr>
      <vt:lpstr>2.5.</vt:lpstr>
      <vt:lpstr>2.6.1.</vt:lpstr>
      <vt:lpstr>2.6.2.</vt:lpstr>
      <vt:lpstr>2.6.3.</vt:lpstr>
      <vt:lpstr>2.6.4.</vt:lpstr>
      <vt:lpstr>2.6.5.</vt:lpstr>
      <vt:lpstr>2.6.6.</vt:lpstr>
      <vt:lpstr>2.6.7.</vt:lpstr>
      <vt:lpstr>2.6.8.</vt:lpstr>
      <vt:lpstr>2.6.9.</vt:lpstr>
      <vt:lpstr>2.7.1.</vt:lpstr>
      <vt:lpstr>2.7.2.</vt:lpstr>
      <vt:lpstr>2.8.1.</vt:lpstr>
      <vt:lpstr>2.8.2.</vt:lpstr>
      <vt:lpstr>'1.4.1.'!Print_Area</vt:lpstr>
      <vt:lpstr>'2.3.1.'!Print_Area</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Gita Grīnfelde-Funka</dc:creator>
  <cp:lastModifiedBy>Gita Grīnfelde-Funka</cp:lastModifiedBy>
  <cp:lastPrinted>2024-04-16T11:12:43Z</cp:lastPrinted>
  <dcterms:created xsi:type="dcterms:W3CDTF">2023-12-15T07:15:39Z</dcterms:created>
  <dcterms:modified xsi:type="dcterms:W3CDTF">2024-04-22T07:10:57Z</dcterms:modified>
</cp:coreProperties>
</file>