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24226"/>
  <mc:AlternateContent xmlns:mc="http://schemas.openxmlformats.org/markup-compatibility/2006">
    <mc:Choice Requires="x15">
      <x15ac:absPath xmlns:x15ac="http://schemas.microsoft.com/office/spreadsheetml/2010/11/ac" url="https://veselibasministrija-my.sharepoint.com/personal/liene_abola_vm_gov_lv/Documents/Documents/ANOTACIJA_MK/Groz_MK_330_vakc_26gadi_010425/"/>
    </mc:Choice>
  </mc:AlternateContent>
  <xr:revisionPtr revIDLastSave="9" documentId="8_{113597B0-E4B2-47D7-8173-BB78334EA923}" xr6:coauthVersionLast="47" xr6:coauthVersionMax="47" xr10:uidLastSave="{92B92220-7020-4ABF-A170-DC909EC56F26}"/>
  <bookViews>
    <workbookView xWindow="-120" yWindow="-120" windowWidth="29040" windowHeight="15720" xr2:uid="{981F39CC-7B89-4276-BB14-038EF9AE3A48}"/>
  </bookViews>
  <sheets>
    <sheet name="KOPSAVILKUMS" sheetId="43" r:id="rId1"/>
    <sheet name="Kalend_vakc_neizpilde" sheetId="51" r:id="rId2"/>
    <sheet name="CPV-riska.gr_25g" sheetId="49" r:id="rId3"/>
    <sheet name="Paplašin_no_18_lidz_25" sheetId="50"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43" l="1"/>
  <c r="C31" i="43" l="1"/>
  <c r="C32" i="43" s="1"/>
  <c r="B31" i="43"/>
  <c r="G14" i="49"/>
  <c r="K8" i="50"/>
  <c r="K7" i="50"/>
  <c r="K6" i="50"/>
  <c r="J6" i="50"/>
  <c r="K9" i="50" l="1"/>
  <c r="J9" i="50"/>
  <c r="H7" i="51"/>
  <c r="I7" i="51" s="1"/>
  <c r="H8" i="51"/>
  <c r="I8" i="51" s="1"/>
  <c r="J8" i="51" s="1"/>
  <c r="H9" i="51"/>
  <c r="I9" i="51" s="1"/>
  <c r="H6" i="51"/>
  <c r="E7" i="51"/>
  <c r="F7" i="51" s="1"/>
  <c r="E8" i="51"/>
  <c r="F8" i="51" s="1"/>
  <c r="E9" i="51"/>
  <c r="F9" i="51" s="1"/>
  <c r="E6" i="51"/>
  <c r="F6" i="51" s="1"/>
  <c r="B23" i="43"/>
  <c r="I7" i="50"/>
  <c r="I8" i="50"/>
  <c r="I6" i="50"/>
  <c r="C30" i="43"/>
  <c r="J8" i="50"/>
  <c r="J7" i="50"/>
  <c r="H10" i="51" l="1"/>
  <c r="J9" i="51"/>
  <c r="J7" i="51"/>
  <c r="I6" i="51"/>
  <c r="F10" i="51"/>
  <c r="C17" i="43"/>
  <c r="B17" i="43"/>
  <c r="E11" i="49"/>
  <c r="E10" i="49"/>
  <c r="F10" i="49" s="1"/>
  <c r="G10" i="49" s="1"/>
  <c r="E8" i="49"/>
  <c r="E7" i="49"/>
  <c r="F7" i="49" s="1"/>
  <c r="G7" i="49" s="1"/>
  <c r="H7" i="49"/>
  <c r="E6" i="49"/>
  <c r="F6" i="49" s="1"/>
  <c r="G6" i="49" s="1"/>
  <c r="F8" i="49" l="1"/>
  <c r="G8" i="49" s="1"/>
  <c r="H8" i="49" s="1"/>
  <c r="F11" i="49"/>
  <c r="G11" i="49" s="1"/>
  <c r="H11" i="49" s="1"/>
  <c r="I10" i="51"/>
  <c r="J6" i="51"/>
  <c r="J10" i="51" s="1"/>
  <c r="H10" i="49"/>
  <c r="H6" i="49"/>
  <c r="G9" i="49"/>
  <c r="G12" i="49" l="1"/>
  <c r="H12" i="49"/>
  <c r="H9" i="49"/>
  <c r="H14" i="49"/>
  <c r="B30" i="43"/>
  <c r="B32" i="43" s="1"/>
</calcChain>
</file>

<file path=xl/sharedStrings.xml><?xml version="1.0" encoding="utf-8"?>
<sst xmlns="http://schemas.openxmlformats.org/spreadsheetml/2006/main" count="97" uniqueCount="93">
  <si>
    <t>Pozīcija</t>
  </si>
  <si>
    <r>
      <t>Plānotais finansējums (līgumi)</t>
    </r>
    <r>
      <rPr>
        <b/>
        <sz val="11"/>
        <rFont val="Times New Roman"/>
        <family val="1"/>
        <charset val="186"/>
      </rPr>
      <t xml:space="preserve"> 2025.gadam </t>
    </r>
  </si>
  <si>
    <r>
      <t xml:space="preserve">Izpildes prognoze </t>
    </r>
    <r>
      <rPr>
        <b/>
        <sz val="11"/>
        <rFont val="Times New Roman"/>
        <family val="1"/>
        <charset val="186"/>
      </rPr>
      <t>2025.gadam (EUR) 
ar PVN</t>
    </r>
  </si>
  <si>
    <t>1. Vakcīnas, šļirces</t>
  </si>
  <si>
    <t>2. Vakcīna pret gripu</t>
  </si>
  <si>
    <t>3. Standarta tuberkulīns</t>
  </si>
  <si>
    <t xml:space="preserve">4. Peritoneālās dialīzes ārstniecības līdzekļi </t>
  </si>
  <si>
    <t>5. Imūnbioloģiskie preparāti</t>
  </si>
  <si>
    <t xml:space="preserve">6. Fenilketonūrijas korekcijas preparāti un ārstnieciskā uztura produkti </t>
  </si>
  <si>
    <t xml:space="preserve">7. Redzes korekcijas līdzekļi bērniem </t>
  </si>
  <si>
    <t>8. Mākslīgie maisījumi un mākslīgo papildu ēdināšanas maisījumi zīdaiņiem</t>
  </si>
  <si>
    <t>9. Enterālās un parenterālās barošanas līdzekļi</t>
  </si>
  <si>
    <t>10. Parenterāli ievadāmo zāļu iegāde onkoloģisko saslimšanu ārstēšanai</t>
  </si>
  <si>
    <t>No apakšprogrammas 33.19. "Krievijas Federācijas militāro pensionāru veselības aprūpe"</t>
  </si>
  <si>
    <t xml:space="preserve">B hepatīts (HepB), masalas, masaliņas, epidēmiskais parotīts (MPR) un Vējbakas (Varicella) vakcinējamo grupu paplašināšanai no 18 līdz 25 gadiem (ieskaitot) nepieciešamais finansējums </t>
  </si>
  <si>
    <t xml:space="preserve">Cena ar PVN, EUR </t>
  </si>
  <si>
    <t>Vakcinācijas pret cilvēka papilomas vīrusu (CPV) vakcinējamo grupu paplašināšanai nepieciešamais finansējums no 2025.gada 1.jūlija</t>
  </si>
  <si>
    <t>Vakcinējamo grupa</t>
  </si>
  <si>
    <t>Aptvere</t>
  </si>
  <si>
    <t>Indikatīvā cena bez PVN, EUR ar 10% pieaugumu</t>
  </si>
  <si>
    <t xml:space="preserve">riska grupas sievietēm (ar imūnsupresiju); </t>
  </si>
  <si>
    <t>sievietēm pēc dzemdes kakla ķirurģiskās ārstēšanas</t>
  </si>
  <si>
    <t>HIV pacienti līdz 45 gadiem</t>
  </si>
  <si>
    <t>25 gadi (vīr.)</t>
  </si>
  <si>
    <t>25 gadi (siev.)</t>
  </si>
  <si>
    <t xml:space="preserve">KOPĀ </t>
  </si>
  <si>
    <t>Infekcijas slimība un vakcīna</t>
  </si>
  <si>
    <t>Izmantojamā vakcīna</t>
  </si>
  <si>
    <t>Personu vecums (SPKC)</t>
  </si>
  <si>
    <t>Vecums (pēc jaunajiem MK noteikumiem)</t>
  </si>
  <si>
    <t>Vakcināciju skaits</t>
  </si>
  <si>
    <t>Piezīmes </t>
  </si>
  <si>
    <t>Nepieciešamo vakcīnu skaits</t>
  </si>
  <si>
    <t>Iepirkto devu skaits 2025. gadam</t>
  </si>
  <si>
    <t>% palielinājums esošajiem līgumiem</t>
  </si>
  <si>
    <t>B hepatīts (HepB)</t>
  </si>
  <si>
    <t>EngerixB 20mkg</t>
  </si>
  <si>
    <t>Cilvēki, kuri dzimuši 1992. gada un vēlāk un nepārslimoja B hepatītu </t>
  </si>
  <si>
    <t>No 18 līdz 25 gadiem (ieskaitot)</t>
  </si>
  <si>
    <t>3 potes </t>
  </si>
  <si>
    <t>2006. gadā papildu uzsākta 14 gadus vecu pusaudžu vakcinācija </t>
  </si>
  <si>
    <t>Masalas, masaliņas, epidēmiskais parotīts (MPR) </t>
  </si>
  <si>
    <t>M-M-RVAXPRO</t>
  </si>
  <si>
    <t>Cilvēki, kuri dzimuši 1963. gadā un vēlāk </t>
  </si>
  <si>
    <t>2 potes</t>
  </si>
  <si>
    <t>Vakcinācija pret masalām uzsākta 1968. gadā, vakcinējot bērnus līdz 5 gadu vecumam </t>
  </si>
  <si>
    <t>Vējbakas (Varicella) </t>
  </si>
  <si>
    <t>Varivax</t>
  </si>
  <si>
    <t>Cilvēki, kuri dzimuši 2007. gadā un vēlāk un nepārslimoja vējbakas </t>
  </si>
  <si>
    <t>Vakcinācija pret vējbakām uzsākta 2008. gadā, vakcinējot bērnus 12-15 mēnešu vecumā </t>
  </si>
  <si>
    <t>KOPĀ:</t>
  </si>
  <si>
    <t>Vakcīnu/ šļirču nosaukums/ starptautiskais nosaukums</t>
  </si>
  <si>
    <r>
      <t>Piedāvātās vienības</t>
    </r>
    <r>
      <rPr>
        <sz val="12"/>
        <color rgb="FF000000"/>
        <rFont val="Times New Roman"/>
        <family val="1"/>
        <charset val="186"/>
      </rPr>
      <t xml:space="preserve"> (</t>
    </r>
    <r>
      <rPr>
        <i/>
        <sz val="12"/>
        <color rgb="FF000000"/>
        <rFont val="Times New Roman"/>
        <family val="1"/>
        <charset val="186"/>
      </rPr>
      <t>vienas vienības</t>
    </r>
    <r>
      <rPr>
        <sz val="12"/>
        <color rgb="FF000000"/>
        <rFont val="Times New Roman"/>
        <family val="1"/>
        <charset val="186"/>
      </rPr>
      <t xml:space="preserve">) </t>
    </r>
    <r>
      <rPr>
        <b/>
        <sz val="12"/>
        <color rgb="FF000000"/>
        <rFont val="Times New Roman"/>
        <family val="1"/>
        <charset val="186"/>
      </rPr>
      <t>cena</t>
    </r>
    <r>
      <rPr>
        <sz val="12"/>
        <color rgb="FF000000"/>
        <rFont val="Times New Roman"/>
        <family val="1"/>
        <charset val="186"/>
      </rPr>
      <t xml:space="preserve"> EUR bez PVN</t>
    </r>
  </si>
  <si>
    <t>Indikatīvā izpildes prognoze (EUR)
ar PVN</t>
  </si>
  <si>
    <t>Līguma pārstrāde + / neizpilde -</t>
  </si>
  <si>
    <t>Vakcīna pret vējbakām (Varicella) Vaccinum varicellae vivum</t>
  </si>
  <si>
    <t>Vakcīna pret difteriju un stingumkrampjiem (Td) Tetanus toxoid, combinations with diphteria toxoid vaccine</t>
  </si>
  <si>
    <t>Baltijas iepirkums</t>
  </si>
  <si>
    <t>Vakcīna pret rotavīrusu</t>
  </si>
  <si>
    <t>13 333</t>
  </si>
  <si>
    <r>
      <t xml:space="preserve">Vakcīna pret difteriju, stingumkrampjiem, bezšūnu </t>
    </r>
    <r>
      <rPr>
        <sz val="8"/>
        <color rgb="FF000000"/>
        <rFont val="Times New Roman"/>
        <family val="1"/>
        <charset val="186"/>
      </rPr>
      <t> </t>
    </r>
    <r>
      <rPr>
        <sz val="12"/>
        <color rgb="FF000000"/>
        <rFont val="Times New Roman"/>
        <family val="1"/>
        <charset val="186"/>
      </rPr>
      <t>garo klepu, poliomielītu, b tipa Haemophilus influnzae un hepatītu B (DTaP – IPV – Hib-HN)</t>
    </r>
  </si>
  <si>
    <t>50 000</t>
  </si>
  <si>
    <t>Kopā ar PVN</t>
  </si>
  <si>
    <t> </t>
  </si>
  <si>
    <t>Apakšprogrammā 33.04.00 "Centralizēta medikamentu un materiālu iegāde" plānotais finansējums 2025.gadam (un turpmāk ik gadu)</t>
  </si>
  <si>
    <t>KOPĀ IZDEVUMI</t>
  </si>
  <si>
    <t>IZDEVUMI:</t>
  </si>
  <si>
    <t>RESURSI:</t>
  </si>
  <si>
    <t xml:space="preserve">Apakšprogrammā 33.04.00 "Centralizēta medikamentu un materiālu iegāde" </t>
  </si>
  <si>
    <t>KOPĀ plānotie resursi izdevumu segšanai:</t>
  </si>
  <si>
    <t>Deficīts (-)/ atlikums (+) atbilstoši plānotajai izpildes prognozei</t>
  </si>
  <si>
    <t>Papildus nepieciešamais finansējums CPV  vakcīnām un vakcinējmās grupas vecuma palielināšanai no 18 līdz 25 gadiem</t>
  </si>
  <si>
    <t>KOPĀ *</t>
  </si>
  <si>
    <t>* Atlikušais finansējums no indikatīvi plānotās neizpildes primāri tiks novirzīts gripas vakcīnu nodrošināšanai iekpriekšējā gada līmenī</t>
  </si>
  <si>
    <t>1. Pielikums noteikumu projekta "Grozījumi Ministru kabineta 2000. gada 26. septembra noteikumos Nr. 330 "Vakcinācijas noteikumi"" anotācijai</t>
  </si>
  <si>
    <t>2025.gada kopējie izdevumi EUR bez PVN</t>
  </si>
  <si>
    <t>2025.gada kopējie izdevumi, EUR ar PVN</t>
  </si>
  <si>
    <t>Indikatīvā izpildes prognoze (vienības)</t>
  </si>
  <si>
    <t>Indikatīvā izpildes prognoze (EUR)
bez PVN</t>
  </si>
  <si>
    <t>2. Pielikums noteikumu projekta "Grozījumi Ministru kabineta 2000. gada 26. septembra noteikumos Nr. 330 "Vakcinācijas noteikumi"" anotācijai</t>
  </si>
  <si>
    <t>Vakcinācijas pret cilvēka papilomas vīrusu (CPV) vakcinējamo grupu paplašināšanai nepieciešamais finansējums no 2025.gada 1.jūlija un turpmāk ik gadu</t>
  </si>
  <si>
    <t xml:space="preserve">Skaits </t>
  </si>
  <si>
    <t>3. Pielikums noteikumu projekta "Grozījumi Ministru kabineta 2000. gada 26. septembra noteikumos Nr. 330 "Vakcinācijas noteikumi"" anotācijai</t>
  </si>
  <si>
    <t>2025.gads</t>
  </si>
  <si>
    <t>2026. gads un turpmāk ik gadu</t>
  </si>
  <si>
    <r>
      <t>Nepieciešamais finansējums GADAM,</t>
    </r>
    <r>
      <rPr>
        <i/>
        <sz val="10"/>
        <color theme="1"/>
        <rFont val="Times New Roman"/>
        <family val="1"/>
        <charset val="186"/>
      </rPr>
      <t xml:space="preserve"> EUR</t>
    </r>
  </si>
  <si>
    <r>
      <t>Nepieciešamais finansējums 2025. gada 2.pusgadam,</t>
    </r>
    <r>
      <rPr>
        <i/>
        <sz val="10"/>
        <color theme="1"/>
        <rFont val="Times New Roman"/>
        <family val="1"/>
        <charset val="186"/>
      </rPr>
      <t xml:space="preserve"> EUR</t>
    </r>
  </si>
  <si>
    <t xml:space="preserve">Indikatīvais nepieciešamais finansējuma apjoms GADAM, EUR </t>
  </si>
  <si>
    <r>
      <t xml:space="preserve">Indikatīvais nepieciešamais finansējuma apjoms, EUR   </t>
    </r>
    <r>
      <rPr>
        <u/>
        <sz val="10"/>
        <rFont val="Times New Roman"/>
        <family val="1"/>
        <charset val="186"/>
      </rPr>
      <t>2025.gada 2.pusgadam</t>
    </r>
  </si>
  <si>
    <r>
      <t xml:space="preserve">Vienību skaits </t>
    </r>
    <r>
      <rPr>
        <b/>
        <sz val="12"/>
        <color rgb="FF000000"/>
        <rFont val="Times New Roman"/>
        <family val="1"/>
        <charset val="186"/>
      </rPr>
      <t>2025.gadam</t>
    </r>
  </si>
  <si>
    <t>4. Pielikums noteikumu projekta "Grozījumi Ministru kabineta 2000. gada 26. septembra noteikumos Nr. 330 "Vakcinācijas noteikumi"" anotācijai</t>
  </si>
  <si>
    <t>Plānotā pārdale atbilstoši MK 08.10.2024 sēdes protokolam Nr.41  25.§. uz budžeta apakšprogrammu 33.03.00 "Kompensējamo medikamentu un materiālu apmaksāšana", lai palielinātu valsts kompensācijas apmēru zāļu un medicīnisko ierīču apmaksai individuālās kompensācijas gadījumos</t>
  </si>
  <si>
    <r>
      <t xml:space="preserve">Plānotās neizpildes </t>
    </r>
    <r>
      <rPr>
        <b/>
        <u/>
        <sz val="14"/>
        <rFont val="Times New Roman"/>
        <family val="1"/>
        <charset val="186"/>
      </rPr>
      <t>atbilstoši noslēgtajiem līgumiem</t>
    </r>
    <r>
      <rPr>
        <b/>
        <sz val="14"/>
        <rFont val="Times New Roman"/>
        <family val="1"/>
        <charset val="186"/>
      </rPr>
      <t xml:space="preserve"> kalendārajām vakcīnām 2025.gadam un turpmāk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</si>
</sst>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4" x14ac:knownFonts="1">
    <font>
      <sz val="10"/>
      <name val="Arial"/>
      <charset val="186"/>
    </font>
    <font>
      <sz val="10"/>
      <name val="Times New Roman"/>
      <family val="1"/>
      <charset val="186"/>
    </font>
    <font>
      <b/>
      <sz val="12"/>
      <name val="Times New Roman"/>
      <family val="1"/>
      <charset val="186"/>
    </font>
    <font>
      <sz val="10"/>
      <name val="Arial"/>
      <family val="2"/>
      <charset val="186"/>
    </font>
    <font>
      <i/>
      <sz val="10"/>
      <name val="Times New Roman"/>
      <family val="1"/>
      <charset val="186"/>
    </font>
    <font>
      <sz val="11"/>
      <name val="Times New Roman"/>
      <family val="1"/>
      <charset val="186"/>
    </font>
    <font>
      <b/>
      <sz val="11"/>
      <name val="Times New Roman"/>
      <family val="1"/>
      <charset val="186"/>
    </font>
    <font>
      <i/>
      <sz val="11"/>
      <name val="Times New Roman"/>
      <family val="1"/>
      <charset val="186"/>
    </font>
    <font>
      <sz val="10"/>
      <name val="Arial"/>
      <family val="2"/>
      <charset val="186"/>
    </font>
    <font>
      <b/>
      <sz val="10"/>
      <name val="Times New Roman"/>
      <family val="1"/>
      <charset val="186"/>
    </font>
    <font>
      <b/>
      <i/>
      <sz val="11"/>
      <name val="Times New Roman"/>
      <family val="1"/>
      <charset val="186"/>
    </font>
    <font>
      <sz val="9"/>
      <name val="Times New Roman"/>
      <family val="1"/>
      <charset val="186"/>
    </font>
    <font>
      <u/>
      <sz val="10"/>
      <name val="Times New Roman"/>
      <family val="1"/>
      <charset val="186"/>
    </font>
    <font>
      <sz val="10"/>
      <color theme="1"/>
      <name val="Times New Roman"/>
      <family val="1"/>
      <charset val="186"/>
    </font>
    <font>
      <i/>
      <sz val="10"/>
      <color theme="1"/>
      <name val="Times New Roman"/>
      <family val="1"/>
      <charset val="186"/>
    </font>
    <font>
      <sz val="10"/>
      <color rgb="FF000000"/>
      <name val="Times New Roman"/>
      <family val="1"/>
      <charset val="186"/>
    </font>
    <font>
      <b/>
      <sz val="10"/>
      <name val="Arial"/>
      <family val="2"/>
      <charset val="186"/>
    </font>
    <font>
      <sz val="12"/>
      <color rgb="FF000000"/>
      <name val="Times New Roman"/>
      <family val="1"/>
      <charset val="186"/>
    </font>
    <font>
      <i/>
      <sz val="12"/>
      <color rgb="FF000000"/>
      <name val="Times New Roman"/>
      <family val="1"/>
      <charset val="186"/>
    </font>
    <font>
      <b/>
      <sz val="12"/>
      <color rgb="FF000000"/>
      <name val="Times New Roman"/>
      <family val="1"/>
      <charset val="186"/>
    </font>
    <font>
      <sz val="8"/>
      <color rgb="FF000000"/>
      <name val="Times New Roman"/>
      <family val="1"/>
      <charset val="186"/>
    </font>
    <font>
      <b/>
      <sz val="14"/>
      <name val="Times New Roman"/>
      <family val="1"/>
      <charset val="186"/>
    </font>
    <font>
      <sz val="11"/>
      <color indexed="8"/>
      <name val="Times New Roman"/>
      <family val="1"/>
      <charset val="186"/>
    </font>
    <font>
      <b/>
      <u/>
      <sz val="14"/>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s>
  <cellStyleXfs count="4">
    <xf numFmtId="0" fontId="0" fillId="0" borderId="0"/>
    <xf numFmtId="0" fontId="3" fillId="0" borderId="0"/>
    <xf numFmtId="0" fontId="8" fillId="0" borderId="0"/>
    <xf numFmtId="0" fontId="3" fillId="0" borderId="0"/>
  </cellStyleXfs>
  <cellXfs count="91">
    <xf numFmtId="0" fontId="0" fillId="0" borderId="0" xfId="0"/>
    <xf numFmtId="0" fontId="1" fillId="0" borderId="0" xfId="0" applyFont="1" applyAlignment="1">
      <alignment vertical="center"/>
    </xf>
    <xf numFmtId="4" fontId="1" fillId="0" borderId="0" xfId="0" applyNumberFormat="1" applyFont="1" applyAlignment="1">
      <alignment vertical="center"/>
    </xf>
    <xf numFmtId="0" fontId="4" fillId="0" borderId="0" xfId="0" applyFont="1" applyAlignment="1">
      <alignment vertical="center"/>
    </xf>
    <xf numFmtId="0" fontId="2" fillId="0" borderId="0" xfId="0" applyFont="1" applyAlignment="1">
      <alignment vertical="center"/>
    </xf>
    <xf numFmtId="4" fontId="5" fillId="0" borderId="1" xfId="0" applyNumberFormat="1" applyFont="1" applyBorder="1" applyAlignment="1">
      <alignment vertical="center" wrapText="1"/>
    </xf>
    <xf numFmtId="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3" fontId="5" fillId="0" borderId="1" xfId="0" applyNumberFormat="1" applyFont="1" applyBorder="1" applyAlignment="1">
      <alignment vertical="center"/>
    </xf>
    <xf numFmtId="3" fontId="5" fillId="0" borderId="1" xfId="0" applyNumberFormat="1" applyFont="1" applyBorder="1" applyAlignment="1">
      <alignment horizontal="right" vertical="center"/>
    </xf>
    <xf numFmtId="0" fontId="6" fillId="0" borderId="0" xfId="0" applyFont="1" applyAlignment="1">
      <alignment horizontal="center"/>
    </xf>
    <xf numFmtId="0" fontId="1" fillId="0" borderId="1" xfId="0" applyFont="1" applyBorder="1" applyAlignment="1">
      <alignment horizontal="left" vertical="center"/>
    </xf>
    <xf numFmtId="3" fontId="1" fillId="0" borderId="0" xfId="0" applyNumberFormat="1" applyFont="1" applyAlignment="1">
      <alignment vertical="center"/>
    </xf>
    <xf numFmtId="0" fontId="6" fillId="0" borderId="1" xfId="0" applyFont="1" applyBorder="1" applyAlignment="1">
      <alignment horizontal="right" wrapText="1"/>
    </xf>
    <xf numFmtId="3" fontId="5" fillId="0" borderId="1" xfId="0" applyNumberFormat="1" applyFont="1" applyBorder="1" applyAlignment="1">
      <alignment horizontal="right" vertical="center" wrapText="1"/>
    </xf>
    <xf numFmtId="3" fontId="5" fillId="0" borderId="1" xfId="0" applyNumberFormat="1" applyFont="1" applyBorder="1" applyAlignment="1">
      <alignment vertical="center" wrapText="1"/>
    </xf>
    <xf numFmtId="3" fontId="5" fillId="0" borderId="1" xfId="1" applyNumberFormat="1" applyFont="1" applyBorder="1" applyAlignment="1">
      <alignment vertical="center" wrapText="1"/>
    </xf>
    <xf numFmtId="3" fontId="11" fillId="0" borderId="1" xfId="1" applyNumberFormat="1" applyFont="1" applyBorder="1" applyAlignment="1">
      <alignment vertical="center" wrapText="1"/>
    </xf>
    <xf numFmtId="0" fontId="1" fillId="0" borderId="1" xfId="0" applyFont="1" applyBorder="1" applyAlignment="1">
      <alignment horizontal="center" vertical="center" wrapText="1"/>
    </xf>
    <xf numFmtId="0" fontId="1" fillId="0" borderId="0" xfId="0" applyFont="1"/>
    <xf numFmtId="0" fontId="1" fillId="0" borderId="1" xfId="0" applyFont="1" applyBorder="1"/>
    <xf numFmtId="0" fontId="1" fillId="0" borderId="1" xfId="0" applyFont="1" applyBorder="1" applyAlignment="1">
      <alignment horizontal="center" vertical="center"/>
    </xf>
    <xf numFmtId="9" fontId="1" fillId="0" borderId="1" xfId="0" applyNumberFormat="1" applyFont="1" applyBorder="1" applyAlignment="1">
      <alignment horizontal="center" vertical="center"/>
    </xf>
    <xf numFmtId="0" fontId="1" fillId="2" borderId="1" xfId="0" applyFont="1" applyFill="1" applyBorder="1"/>
    <xf numFmtId="9" fontId="1" fillId="0" borderId="1" xfId="0" applyNumberFormat="1" applyFont="1" applyBorder="1"/>
    <xf numFmtId="3" fontId="1" fillId="0" borderId="1" xfId="0" applyNumberFormat="1" applyFont="1" applyBorder="1"/>
    <xf numFmtId="0" fontId="1" fillId="0" borderId="0" xfId="0" applyFont="1" applyAlignment="1">
      <alignment horizontal="center" vertical="center"/>
    </xf>
    <xf numFmtId="2" fontId="1" fillId="0" borderId="0" xfId="0" applyNumberFormat="1" applyFont="1" applyAlignment="1">
      <alignment horizontal="center" vertical="center"/>
    </xf>
    <xf numFmtId="3" fontId="1" fillId="0" borderId="0" xfId="0" applyNumberFormat="1" applyFont="1"/>
    <xf numFmtId="2" fontId="1" fillId="0" borderId="1" xfId="0" applyNumberFormat="1" applyFont="1" applyBorder="1" applyAlignment="1">
      <alignment wrapText="1"/>
    </xf>
    <xf numFmtId="4" fontId="11" fillId="0" borderId="1" xfId="1" applyNumberFormat="1" applyFont="1" applyBorder="1" applyAlignment="1">
      <alignment wrapText="1"/>
    </xf>
    <xf numFmtId="2" fontId="1" fillId="0" borderId="2" xfId="0" applyNumberFormat="1" applyFont="1" applyBorder="1" applyAlignment="1">
      <alignment horizontal="center" wrapText="1"/>
    </xf>
    <xf numFmtId="0" fontId="1" fillId="0" borderId="2" xfId="0" applyFont="1" applyBorder="1" applyAlignment="1">
      <alignment horizontal="center" wrapText="1"/>
    </xf>
    <xf numFmtId="3" fontId="2" fillId="3" borderId="1" xfId="0" applyNumberFormat="1" applyFont="1" applyFill="1" applyBorder="1"/>
    <xf numFmtId="0" fontId="1" fillId="0" borderId="1" xfId="0" applyFont="1" applyBorder="1" applyAlignment="1">
      <alignment horizontal="left" wrapText="1"/>
    </xf>
    <xf numFmtId="3" fontId="5" fillId="0" borderId="1" xfId="1" applyNumberFormat="1" applyFont="1" applyBorder="1" applyAlignment="1">
      <alignment horizontal="right" vertical="center" wrapText="1"/>
    </xf>
    <xf numFmtId="3" fontId="6" fillId="0" borderId="0" xfId="0" applyNumberFormat="1" applyFont="1" applyAlignment="1">
      <alignment vertical="center"/>
    </xf>
    <xf numFmtId="3" fontId="7" fillId="0" borderId="1" xfId="0" applyNumberFormat="1" applyFont="1" applyBorder="1" applyAlignment="1">
      <alignment vertical="center"/>
    </xf>
    <xf numFmtId="3" fontId="9" fillId="0" borderId="1" xfId="0" applyNumberFormat="1" applyFont="1" applyBorder="1" applyAlignment="1">
      <alignment vertical="center"/>
    </xf>
    <xf numFmtId="3" fontId="1" fillId="0" borderId="1" xfId="0" applyNumberFormat="1" applyFont="1" applyBorder="1" applyAlignment="1">
      <alignment vertical="center"/>
    </xf>
    <xf numFmtId="4" fontId="5" fillId="0" borderId="1" xfId="0" applyNumberFormat="1" applyFont="1" applyBorder="1" applyAlignment="1">
      <alignment horizontal="center" vertical="center" wrapText="1"/>
    </xf>
    <xf numFmtId="0" fontId="1" fillId="2" borderId="0" xfId="0" applyFont="1" applyFill="1"/>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3"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4" fillId="0" borderId="1" xfId="0" applyFont="1" applyBorder="1" applyAlignment="1">
      <alignment horizontal="left" vertical="center" wrapText="1"/>
    </xf>
    <xf numFmtId="3" fontId="15" fillId="2" borderId="1" xfId="0" applyNumberFormat="1" applyFont="1" applyFill="1" applyBorder="1" applyAlignment="1">
      <alignment horizontal="center" vertical="center" wrapText="1"/>
    </xf>
    <xf numFmtId="3" fontId="13" fillId="2" borderId="1" xfId="0" applyNumberFormat="1" applyFont="1" applyFill="1" applyBorder="1" applyAlignment="1">
      <alignment horizontal="center" vertical="center" wrapText="1"/>
    </xf>
    <xf numFmtId="4" fontId="1" fillId="0" borderId="1" xfId="0" applyNumberFormat="1" applyFont="1" applyBorder="1" applyAlignment="1">
      <alignment horizontal="right" vertical="center"/>
    </xf>
    <xf numFmtId="0" fontId="9" fillId="0" borderId="0" xfId="0" applyFont="1"/>
    <xf numFmtId="0" fontId="9" fillId="2" borderId="0" xfId="0" applyFont="1" applyFill="1"/>
    <xf numFmtId="164" fontId="15" fillId="2" borderId="1" xfId="0" applyNumberFormat="1" applyFont="1" applyFill="1" applyBorder="1" applyAlignment="1">
      <alignment horizontal="center" vertical="center" wrapText="1"/>
    </xf>
    <xf numFmtId="0" fontId="5" fillId="0" borderId="1" xfId="0" applyFont="1" applyBorder="1" applyAlignment="1">
      <alignment horizontal="left" vertical="center"/>
    </xf>
    <xf numFmtId="0" fontId="2" fillId="0" borderId="0" xfId="0" applyFont="1"/>
    <xf numFmtId="0" fontId="3" fillId="0" borderId="0" xfId="0" applyFont="1"/>
    <xf numFmtId="0" fontId="16" fillId="0" borderId="0" xfId="0" applyFont="1"/>
    <xf numFmtId="0" fontId="17" fillId="0" borderId="3" xfId="0" applyFont="1" applyBorder="1" applyAlignment="1">
      <alignment wrapText="1"/>
    </xf>
    <xf numFmtId="0" fontId="17" fillId="0" borderId="4" xfId="0" applyFont="1" applyBorder="1" applyAlignment="1">
      <alignment wrapText="1"/>
    </xf>
    <xf numFmtId="0" fontId="3" fillId="0" borderId="0" xfId="0" applyFont="1" applyAlignment="1">
      <alignment wrapText="1"/>
    </xf>
    <xf numFmtId="0" fontId="19" fillId="0" borderId="0" xfId="0" applyFont="1"/>
    <xf numFmtId="0" fontId="19" fillId="0" borderId="0" xfId="0" applyFont="1" applyAlignment="1">
      <alignment wrapText="1"/>
    </xf>
    <xf numFmtId="0" fontId="21" fillId="0" borderId="0" xfId="0" applyFont="1"/>
    <xf numFmtId="4" fontId="5" fillId="0" borderId="1" xfId="0" applyNumberFormat="1" applyFont="1" applyBorder="1" applyAlignment="1">
      <alignment horizontal="right" vertical="center"/>
    </xf>
    <xf numFmtId="3" fontId="6" fillId="4" borderId="1" xfId="0" applyNumberFormat="1" applyFont="1" applyFill="1" applyBorder="1" applyAlignment="1">
      <alignment vertical="center"/>
    </xf>
    <xf numFmtId="0" fontId="6" fillId="4" borderId="1" xfId="0" applyFont="1" applyFill="1" applyBorder="1" applyAlignment="1">
      <alignment horizontal="right"/>
    </xf>
    <xf numFmtId="0" fontId="2" fillId="0" borderId="0" xfId="0" applyFont="1" applyAlignment="1">
      <alignment horizontal="left"/>
    </xf>
    <xf numFmtId="0" fontId="22" fillId="0" borderId="1" xfId="0" applyFont="1" applyBorder="1" applyAlignment="1">
      <alignment horizontal="left" wrapText="1"/>
    </xf>
    <xf numFmtId="0" fontId="6" fillId="0" borderId="0" xfId="0" applyFont="1" applyAlignment="1">
      <alignment horizontal="right" vertical="center" wrapText="1"/>
    </xf>
    <xf numFmtId="3" fontId="6" fillId="0" borderId="0" xfId="0" applyNumberFormat="1" applyFont="1" applyAlignment="1">
      <alignment vertical="center" wrapText="1"/>
    </xf>
    <xf numFmtId="0" fontId="5" fillId="0" borderId="1" xfId="0" applyFont="1" applyBorder="1" applyAlignment="1">
      <alignment horizontal="left" wrapText="1"/>
    </xf>
    <xf numFmtId="0" fontId="6" fillId="5" borderId="1" xfId="0" applyFont="1" applyFill="1" applyBorder="1" applyAlignment="1">
      <alignment horizontal="right" vertical="center" wrapText="1"/>
    </xf>
    <xf numFmtId="3" fontId="6" fillId="5" borderId="1" xfId="0" applyNumberFormat="1" applyFont="1" applyFill="1" applyBorder="1" applyAlignment="1">
      <alignment vertical="center" wrapText="1"/>
    </xf>
    <xf numFmtId="0" fontId="9" fillId="0" borderId="1" xfId="0" applyFont="1" applyBorder="1" applyAlignment="1">
      <alignment horizontal="right" vertical="center"/>
    </xf>
    <xf numFmtId="4" fontId="6" fillId="0" borderId="1" xfId="0" applyNumberFormat="1" applyFont="1" applyBorder="1" applyAlignment="1">
      <alignment horizontal="right" vertical="center"/>
    </xf>
    <xf numFmtId="4" fontId="6" fillId="5" borderId="1" xfId="0" applyNumberFormat="1" applyFont="1" applyFill="1" applyBorder="1" applyAlignment="1">
      <alignment horizontal="right" vertical="center"/>
    </xf>
    <xf numFmtId="3" fontId="6" fillId="6" borderId="1" xfId="0" applyNumberFormat="1" applyFont="1" applyFill="1" applyBorder="1" applyAlignment="1">
      <alignment horizontal="right" vertical="center"/>
    </xf>
    <xf numFmtId="3" fontId="2" fillId="6" borderId="1" xfId="0" applyNumberFormat="1" applyFont="1" applyFill="1" applyBorder="1" applyAlignment="1">
      <alignment horizontal="right"/>
    </xf>
    <xf numFmtId="3" fontId="9" fillId="6" borderId="1" xfId="0" applyNumberFormat="1" applyFont="1" applyFill="1" applyBorder="1" applyAlignment="1">
      <alignment horizontal="right" vertical="center"/>
    </xf>
    <xf numFmtId="4" fontId="9" fillId="0" borderId="0" xfId="0" applyNumberFormat="1" applyFont="1" applyAlignment="1">
      <alignment horizontal="center" vertical="center" wrapText="1"/>
    </xf>
    <xf numFmtId="4" fontId="9" fillId="0" borderId="0" xfId="0" applyNumberFormat="1" applyFont="1" applyAlignment="1">
      <alignment horizontal="center" wrapText="1"/>
    </xf>
    <xf numFmtId="4" fontId="4" fillId="0" borderId="0" xfId="0" applyNumberFormat="1" applyFont="1" applyAlignment="1">
      <alignment horizontal="right" vertical="center" wrapText="1"/>
    </xf>
    <xf numFmtId="4" fontId="5" fillId="0" borderId="1" xfId="0" applyNumberFormat="1" applyFont="1" applyBorder="1" applyAlignment="1">
      <alignment horizontal="center" vertical="center" wrapText="1"/>
    </xf>
    <xf numFmtId="4" fontId="5" fillId="0" borderId="2"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0" fontId="19" fillId="0" borderId="6" xfId="0" applyFont="1" applyBorder="1" applyAlignment="1">
      <alignment textRotation="90" wrapText="1"/>
    </xf>
    <xf numFmtId="0" fontId="19" fillId="0" borderId="5" xfId="0" applyFont="1" applyBorder="1" applyAlignment="1">
      <alignment textRotation="90" wrapText="1"/>
    </xf>
    <xf numFmtId="0" fontId="7" fillId="0" borderId="0" xfId="0" applyFont="1" applyAlignment="1">
      <alignment horizontal="right" wrapText="1"/>
    </xf>
    <xf numFmtId="0" fontId="10" fillId="0" borderId="0" xfId="0" applyFont="1" applyAlignment="1">
      <alignment horizontal="left" wrapText="1"/>
    </xf>
    <xf numFmtId="0" fontId="4" fillId="0" borderId="0" xfId="0" applyFont="1" applyAlignment="1">
      <alignment horizontal="right" wrapText="1"/>
    </xf>
    <xf numFmtId="2" fontId="9" fillId="6" borderId="1" xfId="0" applyNumberFormat="1" applyFont="1" applyFill="1" applyBorder="1" applyAlignment="1">
      <alignment horizontal="right"/>
    </xf>
  </cellXfs>
  <cellStyles count="4">
    <cellStyle name="Normal" xfId="0" builtinId="0"/>
    <cellStyle name="Normal 2" xfId="1" xr:uid="{C767123C-2E29-4B38-B1B2-42823D6DAE5E}"/>
    <cellStyle name="Normal 3" xfId="2" xr:uid="{EAF03363-89E3-4B1B-A766-38470A0BCF1E}"/>
    <cellStyle name="Normal 3 2" xfId="3" xr:uid="{99FA78A6-1F01-4366-BE98-488F576E474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FA202-5075-4603-B66A-D6A2D2F08F72}">
  <dimension ref="A1:E34"/>
  <sheetViews>
    <sheetView tabSelected="1" zoomScaleNormal="100" workbookViewId="0">
      <selection activeCell="K10" sqref="K10"/>
    </sheetView>
  </sheetViews>
  <sheetFormatPr defaultColWidth="9.140625" defaultRowHeight="12.75" x14ac:dyDescent="0.2"/>
  <cols>
    <col min="1" max="1" width="73.28515625" style="1" customWidth="1"/>
    <col min="2" max="2" width="16.42578125" style="2" customWidth="1"/>
    <col min="3" max="3" width="16.7109375" style="2" customWidth="1"/>
    <col min="4" max="4" width="16" style="1" customWidth="1"/>
    <col min="5" max="5" width="13.140625" style="1" customWidth="1"/>
    <col min="6" max="16384" width="9.140625" style="1"/>
  </cols>
  <sheetData>
    <row r="1" spans="1:5" ht="32.25" customHeight="1" x14ac:dyDescent="0.2">
      <c r="B1" s="81" t="s">
        <v>74</v>
      </c>
      <c r="C1" s="81"/>
      <c r="D1" s="81"/>
      <c r="E1" s="81"/>
    </row>
    <row r="3" spans="1:5" ht="39.75" customHeight="1" x14ac:dyDescent="0.2">
      <c r="A3" s="4" t="s">
        <v>64</v>
      </c>
    </row>
    <row r="4" spans="1:5" ht="15.75" x14ac:dyDescent="0.2">
      <c r="A4" s="4" t="s">
        <v>66</v>
      </c>
    </row>
    <row r="5" spans="1:5" ht="21" customHeight="1" x14ac:dyDescent="0.2">
      <c r="A5" s="82" t="s">
        <v>0</v>
      </c>
      <c r="B5" s="82" t="s">
        <v>1</v>
      </c>
      <c r="C5" s="83" t="s">
        <v>2</v>
      </c>
      <c r="E5" s="12"/>
    </row>
    <row r="6" spans="1:5" ht="52.5" customHeight="1" x14ac:dyDescent="0.2">
      <c r="A6" s="82"/>
      <c r="B6" s="82"/>
      <c r="C6" s="84"/>
    </row>
    <row r="7" spans="1:5" ht="15" x14ac:dyDescent="0.2">
      <c r="A7" s="5" t="s">
        <v>3</v>
      </c>
      <c r="B7" s="15">
        <v>10813430.84</v>
      </c>
      <c r="C7" s="9">
        <v>9903603.7699999996</v>
      </c>
      <c r="D7" s="12"/>
      <c r="E7" s="12"/>
    </row>
    <row r="8" spans="1:5" s="3" customFormat="1" ht="15" x14ac:dyDescent="0.2">
      <c r="A8" s="53" t="s">
        <v>4</v>
      </c>
      <c r="B8" s="9">
        <v>2402897</v>
      </c>
      <c r="C8" s="9">
        <v>2402897</v>
      </c>
      <c r="D8" s="12"/>
    </row>
    <row r="9" spans="1:5" ht="15" x14ac:dyDescent="0.2">
      <c r="A9" s="5" t="s">
        <v>5</v>
      </c>
      <c r="B9" s="9">
        <v>27742.63</v>
      </c>
      <c r="C9" s="9">
        <v>27742.63</v>
      </c>
      <c r="D9" s="12"/>
    </row>
    <row r="10" spans="1:5" ht="15" x14ac:dyDescent="0.2">
      <c r="A10" s="5" t="s">
        <v>6</v>
      </c>
      <c r="B10" s="15">
        <v>2718085.92</v>
      </c>
      <c r="C10" s="9">
        <v>2718085.92</v>
      </c>
      <c r="D10" s="12"/>
      <c r="E10" s="12"/>
    </row>
    <row r="11" spans="1:5" ht="15" x14ac:dyDescent="0.2">
      <c r="A11" s="5" t="s">
        <v>7</v>
      </c>
      <c r="B11" s="15">
        <v>191520.00000000003</v>
      </c>
      <c r="C11" s="9">
        <v>88593.12000000001</v>
      </c>
      <c r="D11" s="12"/>
    </row>
    <row r="12" spans="1:5" ht="15" x14ac:dyDescent="0.2">
      <c r="A12" s="6" t="s">
        <v>8</v>
      </c>
      <c r="B12" s="14">
        <v>1510971.42</v>
      </c>
      <c r="C12" s="9">
        <v>1510971</v>
      </c>
      <c r="D12" s="12"/>
      <c r="E12" s="12"/>
    </row>
    <row r="13" spans="1:5" ht="15" x14ac:dyDescent="0.2">
      <c r="A13" s="5" t="s">
        <v>9</v>
      </c>
      <c r="B13" s="9">
        <v>112572.88</v>
      </c>
      <c r="C13" s="9">
        <v>112573</v>
      </c>
      <c r="D13" s="12"/>
    </row>
    <row r="14" spans="1:5" ht="15" x14ac:dyDescent="0.2">
      <c r="A14" s="7" t="s">
        <v>10</v>
      </c>
      <c r="B14" s="8">
        <v>26628.2</v>
      </c>
      <c r="C14" s="8">
        <v>10706.65</v>
      </c>
      <c r="D14" s="12"/>
    </row>
    <row r="15" spans="1:5" ht="15" x14ac:dyDescent="0.2">
      <c r="A15" s="6" t="s">
        <v>11</v>
      </c>
      <c r="B15" s="16">
        <v>3635988</v>
      </c>
      <c r="C15" s="16">
        <v>2740974.63</v>
      </c>
      <c r="D15" s="12"/>
      <c r="E15" s="12"/>
    </row>
    <row r="16" spans="1:5" ht="15" x14ac:dyDescent="0.2">
      <c r="A16" s="7" t="s">
        <v>12</v>
      </c>
      <c r="B16" s="35">
        <v>2938559</v>
      </c>
      <c r="C16" s="35">
        <v>3613729</v>
      </c>
      <c r="D16" s="12"/>
    </row>
    <row r="17" spans="1:5" ht="14.25" x14ac:dyDescent="0.2">
      <c r="A17" s="65" t="s">
        <v>65</v>
      </c>
      <c r="B17" s="64">
        <f>SUM(B7:B16)</f>
        <v>24378395.890000001</v>
      </c>
      <c r="C17" s="64">
        <f>SUM(C7:C16)</f>
        <v>23129876.719999999</v>
      </c>
      <c r="D17" s="12"/>
      <c r="E17" s="12"/>
    </row>
    <row r="18" spans="1:5" ht="18" customHeight="1" x14ac:dyDescent="0.2">
      <c r="A18" s="10"/>
      <c r="B18" s="36"/>
      <c r="C18" s="36"/>
    </row>
    <row r="19" spans="1:5" ht="18" customHeight="1" x14ac:dyDescent="0.25">
      <c r="A19" s="66" t="s">
        <v>67</v>
      </c>
      <c r="B19" s="36"/>
      <c r="C19" s="36"/>
    </row>
    <row r="20" spans="1:5" ht="14.25" customHeight="1" x14ac:dyDescent="0.25">
      <c r="A20" s="67" t="s">
        <v>68</v>
      </c>
      <c r="B20" s="8">
        <v>24562406</v>
      </c>
      <c r="C20" s="1"/>
    </row>
    <row r="21" spans="1:5" ht="12" customHeight="1" x14ac:dyDescent="0.2">
      <c r="A21" s="7" t="s">
        <v>13</v>
      </c>
      <c r="B21" s="8">
        <v>23958</v>
      </c>
      <c r="C21" s="1"/>
    </row>
    <row r="22" spans="1:5" ht="57" customHeight="1" x14ac:dyDescent="0.25">
      <c r="A22" s="70" t="s">
        <v>91</v>
      </c>
      <c r="B22" s="37">
        <v>-600012</v>
      </c>
      <c r="C22" s="1"/>
      <c r="D22" s="12"/>
    </row>
    <row r="23" spans="1:5" ht="14.25" x14ac:dyDescent="0.2">
      <c r="A23" s="71" t="s">
        <v>69</v>
      </c>
      <c r="B23" s="72">
        <f>B20+B21+B22</f>
        <v>23986352</v>
      </c>
      <c r="C23" s="12"/>
      <c r="D23" s="12"/>
    </row>
    <row r="24" spans="1:5" ht="14.25" x14ac:dyDescent="0.2">
      <c r="A24" s="68"/>
      <c r="B24" s="69"/>
      <c r="C24" s="12"/>
      <c r="D24" s="12"/>
    </row>
    <row r="25" spans="1:5" ht="14.25" x14ac:dyDescent="0.2">
      <c r="A25" s="13" t="s">
        <v>70</v>
      </c>
      <c r="B25" s="38">
        <f>B23-C17</f>
        <v>856475.28000000119</v>
      </c>
      <c r="C25" s="1"/>
    </row>
    <row r="28" spans="1:5" ht="21.75" customHeight="1" x14ac:dyDescent="0.2">
      <c r="A28" s="4" t="s">
        <v>71</v>
      </c>
      <c r="E28" s="12"/>
    </row>
    <row r="29" spans="1:5" ht="24.75" customHeight="1" x14ac:dyDescent="0.2">
      <c r="A29" s="4"/>
      <c r="B29" s="79" t="s">
        <v>83</v>
      </c>
      <c r="C29" s="80" t="s">
        <v>84</v>
      </c>
      <c r="E29" s="12"/>
    </row>
    <row r="30" spans="1:5" ht="27" customHeight="1" x14ac:dyDescent="0.2">
      <c r="A30" s="34" t="s">
        <v>16</v>
      </c>
      <c r="B30" s="39">
        <f>'CPV-riska.gr_25g'!H14</f>
        <v>340810</v>
      </c>
      <c r="C30" s="39">
        <f>'CPV-riska.gr_25g'!G14</f>
        <v>681617</v>
      </c>
    </row>
    <row r="31" spans="1:5" ht="38.25" x14ac:dyDescent="0.2">
      <c r="A31" s="34" t="s">
        <v>14</v>
      </c>
      <c r="B31" s="39">
        <f>Paplašin_no_18_lidz_25!K9</f>
        <v>6511</v>
      </c>
      <c r="C31" s="39">
        <f>Paplašin_no_18_lidz_25!J9</f>
        <v>13022</v>
      </c>
    </row>
    <row r="32" spans="1:5" x14ac:dyDescent="0.2">
      <c r="A32" s="73" t="s">
        <v>72</v>
      </c>
      <c r="B32" s="38">
        <f>B30+B31</f>
        <v>347321</v>
      </c>
      <c r="C32" s="38">
        <f>C30+C31</f>
        <v>694639</v>
      </c>
    </row>
    <row r="34" spans="1:1" x14ac:dyDescent="0.2">
      <c r="A34" s="1" t="s">
        <v>73</v>
      </c>
    </row>
  </sheetData>
  <mergeCells count="4">
    <mergeCell ref="B1:E1"/>
    <mergeCell ref="A5:A6"/>
    <mergeCell ref="B5:B6"/>
    <mergeCell ref="C5:C6"/>
  </mergeCells>
  <pageMargins left="0.39370078740157483" right="0.35433070866141736" top="0.19685039370078741" bottom="0.39370078740157483" header="0.51181102362204722" footer="0.51181102362204722"/>
  <pageSetup paperSize="9" scale="6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BF7BF-710A-44A9-A3BD-80A14E6B7F08}">
  <dimension ref="A1:J16"/>
  <sheetViews>
    <sheetView zoomScale="90" zoomScaleNormal="90" workbookViewId="0">
      <selection activeCell="S10" sqref="S10"/>
    </sheetView>
  </sheetViews>
  <sheetFormatPr defaultRowHeight="12.75" x14ac:dyDescent="0.2"/>
  <cols>
    <col min="1" max="1" width="7" customWidth="1"/>
    <col min="2" max="2" width="81.5703125" customWidth="1"/>
    <col min="3" max="3" width="15.28515625" customWidth="1"/>
    <col min="4" max="4" width="15" customWidth="1"/>
    <col min="5" max="5" width="14.28515625" customWidth="1"/>
    <col min="6" max="6" width="13.85546875" customWidth="1"/>
    <col min="7" max="8" width="12.7109375" customWidth="1"/>
    <col min="9" max="9" width="14" customWidth="1"/>
    <col min="10" max="10" width="13.85546875" customWidth="1"/>
  </cols>
  <sheetData>
    <row r="1" spans="1:10" ht="35.25" customHeight="1" x14ac:dyDescent="0.25">
      <c r="F1" s="87" t="s">
        <v>79</v>
      </c>
      <c r="G1" s="87"/>
      <c r="H1" s="87"/>
      <c r="I1" s="87"/>
      <c r="J1" s="87"/>
    </row>
    <row r="3" spans="1:10" ht="18.75" customHeight="1" x14ac:dyDescent="0.3">
      <c r="A3" s="62" t="s">
        <v>92</v>
      </c>
      <c r="B3" s="54"/>
      <c r="C3" s="55"/>
      <c r="D3" s="55"/>
      <c r="E3" s="55"/>
      <c r="F3" s="55"/>
      <c r="G3" s="55"/>
      <c r="H3" s="55"/>
      <c r="I3" s="55"/>
      <c r="J3" s="55"/>
    </row>
    <row r="4" spans="1:10" x14ac:dyDescent="0.2">
      <c r="A4" s="56"/>
      <c r="B4" s="56"/>
      <c r="C4" s="55"/>
      <c r="D4" s="55"/>
      <c r="E4" s="55"/>
      <c r="F4" s="55"/>
      <c r="G4" s="55"/>
      <c r="H4" s="55"/>
      <c r="I4" s="55"/>
      <c r="J4" s="55"/>
    </row>
    <row r="5" spans="1:10" ht="111" customHeight="1" x14ac:dyDescent="0.2">
      <c r="A5" s="40"/>
      <c r="B5" s="40" t="s">
        <v>51</v>
      </c>
      <c r="C5" s="40" t="s">
        <v>52</v>
      </c>
      <c r="D5" s="40" t="s">
        <v>89</v>
      </c>
      <c r="E5" s="40" t="s">
        <v>75</v>
      </c>
      <c r="F5" s="40" t="s">
        <v>76</v>
      </c>
      <c r="G5" s="40" t="s">
        <v>77</v>
      </c>
      <c r="H5" s="40" t="s">
        <v>78</v>
      </c>
      <c r="I5" s="40" t="s">
        <v>53</v>
      </c>
      <c r="J5" s="40" t="s">
        <v>54</v>
      </c>
    </row>
    <row r="6" spans="1:10" ht="15.75" x14ac:dyDescent="0.25">
      <c r="A6" s="57">
        <v>1</v>
      </c>
      <c r="B6" s="58" t="s">
        <v>55</v>
      </c>
      <c r="C6" s="63">
        <v>24.04</v>
      </c>
      <c r="D6" s="9">
        <v>38731</v>
      </c>
      <c r="E6" s="63">
        <f>C6*D6</f>
        <v>931093.24</v>
      </c>
      <c r="F6" s="63">
        <f>ROUND(E6*1.12,2)</f>
        <v>1042824.43</v>
      </c>
      <c r="G6" s="9">
        <v>32316</v>
      </c>
      <c r="H6" s="63">
        <f>C6*G6</f>
        <v>776876.64</v>
      </c>
      <c r="I6" s="63">
        <f>ROUND(H6*1.12,2)</f>
        <v>870101.84</v>
      </c>
      <c r="J6" s="63">
        <f>I6-F6</f>
        <v>-172722.59000000008</v>
      </c>
    </row>
    <row r="7" spans="1:10" ht="31.5" x14ac:dyDescent="0.25">
      <c r="A7" s="57">
        <v>2</v>
      </c>
      <c r="B7" s="58" t="s">
        <v>56</v>
      </c>
      <c r="C7" s="63">
        <v>12.5</v>
      </c>
      <c r="D7" s="9">
        <v>130500</v>
      </c>
      <c r="E7" s="63">
        <f t="shared" ref="E7:E9" si="0">C7*D7</f>
        <v>1631250</v>
      </c>
      <c r="F7" s="63">
        <f>ROUND(E7*1.12,2)</f>
        <v>1827000</v>
      </c>
      <c r="G7" s="9">
        <v>110761</v>
      </c>
      <c r="H7" s="63">
        <f t="shared" ref="H7:H9" si="1">C7*G7</f>
        <v>1384512.5</v>
      </c>
      <c r="I7" s="63">
        <f t="shared" ref="I7:I9" si="2">ROUND(H7*1.12,2)</f>
        <v>1550654</v>
      </c>
      <c r="J7" s="63">
        <f t="shared" ref="J7:J9" si="3">I7-F7</f>
        <v>-276346</v>
      </c>
    </row>
    <row r="8" spans="1:10" ht="15.75" x14ac:dyDescent="0.25">
      <c r="A8" s="85" t="s">
        <v>57</v>
      </c>
      <c r="B8" s="58" t="s">
        <v>58</v>
      </c>
      <c r="C8" s="63">
        <v>28.725999999999999</v>
      </c>
      <c r="D8" s="9">
        <v>15502</v>
      </c>
      <c r="E8" s="63">
        <f t="shared" si="0"/>
        <v>445310.45199999999</v>
      </c>
      <c r="F8" s="63">
        <f>ROUND(E8*1.12,2)</f>
        <v>498747.71</v>
      </c>
      <c r="G8" s="9" t="s">
        <v>59</v>
      </c>
      <c r="H8" s="63">
        <f t="shared" si="1"/>
        <v>383003.75799999997</v>
      </c>
      <c r="I8" s="63">
        <f t="shared" si="2"/>
        <v>428964.21</v>
      </c>
      <c r="J8" s="63">
        <f t="shared" si="3"/>
        <v>-69783.5</v>
      </c>
    </row>
    <row r="9" spans="1:10" ht="48" customHeight="1" x14ac:dyDescent="0.25">
      <c r="A9" s="86"/>
      <c r="B9" s="58" t="s">
        <v>60</v>
      </c>
      <c r="C9" s="63">
        <v>20.399999999999999</v>
      </c>
      <c r="D9" s="9">
        <v>67112</v>
      </c>
      <c r="E9" s="63">
        <f t="shared" si="0"/>
        <v>1369084.7999999998</v>
      </c>
      <c r="F9" s="63">
        <f>ROUND(E9*1.12,2)</f>
        <v>1533374.98</v>
      </c>
      <c r="G9" s="9" t="s">
        <v>61</v>
      </c>
      <c r="H9" s="63">
        <f t="shared" si="1"/>
        <v>1019999.9999999999</v>
      </c>
      <c r="I9" s="63">
        <f t="shared" si="2"/>
        <v>1142400</v>
      </c>
      <c r="J9" s="63">
        <f t="shared" si="3"/>
        <v>-390974.98</v>
      </c>
    </row>
    <row r="10" spans="1:10" ht="15" x14ac:dyDescent="0.2">
      <c r="A10" s="55"/>
      <c r="B10" s="59"/>
      <c r="C10" s="9"/>
      <c r="D10" s="9"/>
      <c r="E10" s="74" t="s">
        <v>62</v>
      </c>
      <c r="F10" s="75">
        <f>SUM(F6:F9)</f>
        <v>4901947.12</v>
      </c>
      <c r="G10" s="63" t="s">
        <v>63</v>
      </c>
      <c r="H10" s="63">
        <f>SUM(H6:H9)</f>
        <v>3564392.898</v>
      </c>
      <c r="I10" s="75">
        <f>SUM(I6:I9)</f>
        <v>3992120.05</v>
      </c>
      <c r="J10" s="76">
        <f>ROUND(SUM(J6:J9),0)</f>
        <v>-909827</v>
      </c>
    </row>
    <row r="11" spans="1:10" ht="15.75" x14ac:dyDescent="0.25">
      <c r="A11" s="55"/>
      <c r="B11" s="59"/>
      <c r="C11" s="55"/>
      <c r="D11" s="55"/>
      <c r="E11" s="60"/>
      <c r="F11" s="54"/>
      <c r="G11" s="55"/>
      <c r="H11" s="55"/>
      <c r="I11" s="54"/>
      <c r="J11" s="54"/>
    </row>
    <row r="12" spans="1:10" x14ac:dyDescent="0.2">
      <c r="A12" s="55"/>
      <c r="B12" s="59"/>
      <c r="C12" s="55"/>
      <c r="D12" s="55"/>
      <c r="E12" s="55"/>
      <c r="F12" s="55"/>
      <c r="G12" s="55"/>
      <c r="H12" s="55"/>
      <c r="I12" s="55"/>
      <c r="J12" s="55"/>
    </row>
    <row r="13" spans="1:10" x14ac:dyDescent="0.2">
      <c r="A13" s="55"/>
      <c r="B13" s="59"/>
      <c r="C13" s="55"/>
      <c r="D13" s="55"/>
      <c r="E13" s="55"/>
      <c r="F13" s="55"/>
      <c r="G13" s="55"/>
      <c r="H13" s="55"/>
      <c r="I13" s="55"/>
      <c r="J13" s="55"/>
    </row>
    <row r="14" spans="1:10" ht="15.75" x14ac:dyDescent="0.25">
      <c r="A14" s="55"/>
      <c r="B14" s="59"/>
      <c r="C14" s="61"/>
      <c r="D14" s="55"/>
      <c r="E14" s="55"/>
      <c r="F14" s="55"/>
      <c r="G14" s="55"/>
      <c r="H14" s="55"/>
      <c r="I14" s="55"/>
      <c r="J14" s="55"/>
    </row>
    <row r="15" spans="1:10" x14ac:dyDescent="0.2">
      <c r="A15" s="55"/>
      <c r="B15" s="59"/>
      <c r="C15" s="55"/>
      <c r="D15" s="55"/>
      <c r="E15" s="55"/>
      <c r="F15" s="55"/>
      <c r="G15" s="55"/>
      <c r="H15" s="55"/>
      <c r="I15" s="55"/>
      <c r="J15" s="55"/>
    </row>
    <row r="16" spans="1:10" x14ac:dyDescent="0.2">
      <c r="A16" s="55"/>
      <c r="B16" s="59"/>
      <c r="C16" s="55"/>
      <c r="D16" s="55"/>
      <c r="E16" s="55"/>
      <c r="F16" s="55"/>
      <c r="G16" s="55"/>
      <c r="H16" s="55"/>
      <c r="I16" s="55"/>
      <c r="J16" s="55"/>
    </row>
  </sheetData>
  <mergeCells count="2">
    <mergeCell ref="A8:A9"/>
    <mergeCell ref="F1:J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2586E-E396-47AE-9A95-E4FDAEB129BF}">
  <dimension ref="A1:H21"/>
  <sheetViews>
    <sheetView zoomScale="120" zoomScaleNormal="120" workbookViewId="0">
      <selection activeCell="N18" sqref="N18"/>
    </sheetView>
  </sheetViews>
  <sheetFormatPr defaultColWidth="9.140625" defaultRowHeight="12.75" x14ac:dyDescent="0.2"/>
  <cols>
    <col min="1" max="1" width="3.7109375" style="19" customWidth="1"/>
    <col min="2" max="2" width="39.5703125" style="19" customWidth="1"/>
    <col min="3" max="3" width="9.140625" style="19"/>
    <col min="4" max="4" width="7.42578125" style="19" customWidth="1"/>
    <col min="5" max="5" width="11.5703125" style="19" customWidth="1"/>
    <col min="6" max="6" width="9.42578125" style="19" customWidth="1"/>
    <col min="7" max="7" width="13.7109375" style="19" customWidth="1"/>
    <col min="8" max="8" width="14.28515625" style="19" customWidth="1"/>
    <col min="9" max="16384" width="9.140625" style="19"/>
  </cols>
  <sheetData>
    <row r="1" spans="1:8" ht="38.25" customHeight="1" x14ac:dyDescent="0.2">
      <c r="E1" s="89" t="s">
        <v>82</v>
      </c>
      <c r="F1" s="89"/>
      <c r="G1" s="89"/>
      <c r="H1" s="89"/>
    </row>
    <row r="3" spans="1:8" ht="30.75" customHeight="1" x14ac:dyDescent="0.25">
      <c r="A3" s="88" t="s">
        <v>80</v>
      </c>
      <c r="B3" s="88"/>
      <c r="C3" s="88"/>
      <c r="D3" s="88"/>
      <c r="E3" s="88"/>
      <c r="F3" s="88"/>
      <c r="G3" s="88"/>
      <c r="H3" s="88"/>
    </row>
    <row r="5" spans="1:8" ht="84.75" customHeight="1" x14ac:dyDescent="0.2">
      <c r="A5" s="20"/>
      <c r="B5" s="11" t="s">
        <v>17</v>
      </c>
      <c r="C5" s="21" t="s">
        <v>18</v>
      </c>
      <c r="D5" s="21" t="s">
        <v>81</v>
      </c>
      <c r="E5" s="18" t="s">
        <v>19</v>
      </c>
      <c r="F5" s="18" t="s">
        <v>15</v>
      </c>
      <c r="G5" s="18" t="s">
        <v>87</v>
      </c>
      <c r="H5" s="18" t="s">
        <v>88</v>
      </c>
    </row>
    <row r="6" spans="1:8" ht="14.25" customHeight="1" x14ac:dyDescent="0.2">
      <c r="A6" s="20">
        <v>1</v>
      </c>
      <c r="B6" s="20" t="s">
        <v>20</v>
      </c>
      <c r="C6" s="22">
        <v>0.3</v>
      </c>
      <c r="D6" s="21">
        <v>720</v>
      </c>
      <c r="E6" s="29">
        <f>53.04*1.1</f>
        <v>58.344000000000001</v>
      </c>
      <c r="F6" s="30">
        <f>E6*1.12</f>
        <v>65.345280000000002</v>
      </c>
      <c r="G6" s="17">
        <f>ROUND(D6*F6,0)</f>
        <v>47049</v>
      </c>
      <c r="H6" s="25">
        <f>ROUND(G6/2,0)</f>
        <v>23525</v>
      </c>
    </row>
    <row r="7" spans="1:8" ht="14.25" customHeight="1" x14ac:dyDescent="0.2">
      <c r="A7" s="20">
        <v>2</v>
      </c>
      <c r="B7" s="20" t="s">
        <v>21</v>
      </c>
      <c r="C7" s="22">
        <v>0.3</v>
      </c>
      <c r="D7" s="21">
        <v>600</v>
      </c>
      <c r="E7" s="29">
        <f>53.04*1.1</f>
        <v>58.344000000000001</v>
      </c>
      <c r="F7" s="30">
        <f>E7*1.12</f>
        <v>65.345280000000002</v>
      </c>
      <c r="G7" s="17">
        <f>ROUND(D7*F7,0)</f>
        <v>39207</v>
      </c>
      <c r="H7" s="25">
        <f>ROUND(G7/2,0)</f>
        <v>19604</v>
      </c>
    </row>
    <row r="8" spans="1:8" ht="14.25" customHeight="1" x14ac:dyDescent="0.2">
      <c r="A8" s="20">
        <v>3</v>
      </c>
      <c r="B8" s="23" t="s">
        <v>22</v>
      </c>
      <c r="C8" s="22">
        <v>0.3</v>
      </c>
      <c r="D8" s="21">
        <v>3172</v>
      </c>
      <c r="E8" s="29">
        <f>53.04*1.1</f>
        <v>58.344000000000001</v>
      </c>
      <c r="F8" s="30">
        <f>E8*1.12</f>
        <v>65.345280000000002</v>
      </c>
      <c r="G8" s="17">
        <f>ROUND(D8*F8,0)</f>
        <v>207275</v>
      </c>
      <c r="H8" s="25">
        <f>ROUND(G8/2,0)</f>
        <v>103638</v>
      </c>
    </row>
    <row r="9" spans="1:8" ht="14.25" customHeight="1" x14ac:dyDescent="0.25">
      <c r="A9" s="20"/>
      <c r="B9" s="20"/>
      <c r="C9" s="24"/>
      <c r="D9" s="20"/>
      <c r="E9" s="31"/>
      <c r="F9" s="32"/>
      <c r="G9" s="33">
        <f>SUM(G6:G8)</f>
        <v>293531</v>
      </c>
      <c r="H9" s="33">
        <f>SUM(H6:H8)</f>
        <v>146767</v>
      </c>
    </row>
    <row r="10" spans="1:8" ht="14.25" customHeight="1" x14ac:dyDescent="0.2">
      <c r="A10" s="20">
        <v>4</v>
      </c>
      <c r="B10" s="20" t="s">
        <v>23</v>
      </c>
      <c r="C10" s="22">
        <v>0.3</v>
      </c>
      <c r="D10" s="21">
        <v>5138</v>
      </c>
      <c r="E10" s="29">
        <f>53.04*1.1</f>
        <v>58.344000000000001</v>
      </c>
      <c r="F10" s="30">
        <f>E10*1.12</f>
        <v>65.345280000000002</v>
      </c>
      <c r="G10" s="17">
        <f>ROUND(D10*F10,0)</f>
        <v>335744</v>
      </c>
      <c r="H10" s="25">
        <f>ROUND(G10/2,0)</f>
        <v>167872</v>
      </c>
    </row>
    <row r="11" spans="1:8" ht="14.25" customHeight="1" x14ac:dyDescent="0.2">
      <c r="A11" s="20">
        <v>5</v>
      </c>
      <c r="B11" s="20" t="s">
        <v>24</v>
      </c>
      <c r="C11" s="22">
        <v>0.05</v>
      </c>
      <c r="D11" s="21">
        <v>801</v>
      </c>
      <c r="E11" s="29">
        <f>53.04*1.1</f>
        <v>58.344000000000001</v>
      </c>
      <c r="F11" s="30">
        <f>E11*1.12</f>
        <v>65.345280000000002</v>
      </c>
      <c r="G11" s="17">
        <f>ROUND(D11*F11,0)</f>
        <v>52342</v>
      </c>
      <c r="H11" s="25">
        <f>ROUND(G11/2,0)</f>
        <v>26171</v>
      </c>
    </row>
    <row r="12" spans="1:8" ht="14.25" customHeight="1" x14ac:dyDescent="0.25">
      <c r="E12" s="26"/>
      <c r="F12" s="27"/>
      <c r="G12" s="33">
        <f>SUM(G10:G11)</f>
        <v>388086</v>
      </c>
      <c r="H12" s="33">
        <f>SUM(H10:H11)</f>
        <v>194043</v>
      </c>
    </row>
    <row r="13" spans="1:8" x14ac:dyDescent="0.2">
      <c r="G13" s="28"/>
    </row>
    <row r="14" spans="1:8" ht="16.5" customHeight="1" x14ac:dyDescent="0.25">
      <c r="D14" s="28"/>
      <c r="F14" s="77" t="s">
        <v>25</v>
      </c>
      <c r="G14" s="77">
        <f>G9+G12</f>
        <v>681617</v>
      </c>
      <c r="H14" s="77">
        <f>H9+H12</f>
        <v>340810</v>
      </c>
    </row>
    <row r="15" spans="1:8" x14ac:dyDescent="0.2">
      <c r="D15" s="28"/>
    </row>
    <row r="16" spans="1:8" x14ac:dyDescent="0.2">
      <c r="D16" s="28"/>
    </row>
    <row r="17" spans="4:7" x14ac:dyDescent="0.2">
      <c r="D17" s="28"/>
    </row>
    <row r="18" spans="4:7" x14ac:dyDescent="0.2">
      <c r="D18" s="28"/>
      <c r="G18" s="28"/>
    </row>
    <row r="21" spans="4:7" x14ac:dyDescent="0.2">
      <c r="F21" s="28"/>
    </row>
  </sheetData>
  <mergeCells count="2">
    <mergeCell ref="A3:H3"/>
    <mergeCell ref="E1:H1"/>
  </mergeCells>
  <pageMargins left="0.70866141732283472" right="0.51181102362204722" top="0.74803149606299213" bottom="0.74803149606299213" header="0.31496062992125984" footer="0.31496062992125984"/>
  <pageSetup paperSize="9" scale="80" orientation="portrait" r:id="rId1"/>
  <ignoredErrors>
    <ignoredError sqref="G9:H9"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F171D-FD6C-441D-8118-0821757D111F}">
  <dimension ref="A1:K9"/>
  <sheetViews>
    <sheetView workbookViewId="0">
      <selection activeCell="P8" sqref="P8"/>
    </sheetView>
  </sheetViews>
  <sheetFormatPr defaultColWidth="8.7109375" defaultRowHeight="12.75" x14ac:dyDescent="0.2"/>
  <cols>
    <col min="1" max="1" width="12.7109375" style="19" customWidth="1"/>
    <col min="2" max="2" width="10.85546875" style="19" customWidth="1"/>
    <col min="3" max="3" width="14.5703125" style="19" customWidth="1"/>
    <col min="4" max="4" width="14.42578125" style="19" customWidth="1"/>
    <col min="5" max="5" width="11.42578125" style="19" customWidth="1"/>
    <col min="6" max="6" width="13.7109375" style="19" customWidth="1"/>
    <col min="7" max="8" width="12.42578125" style="41" customWidth="1"/>
    <col min="9" max="9" width="10.5703125" style="41" customWidth="1"/>
    <col min="10" max="10" width="15.5703125" style="19" customWidth="1"/>
    <col min="11" max="11" width="14.5703125" style="19" customWidth="1"/>
    <col min="12" max="16384" width="8.7109375" style="19"/>
  </cols>
  <sheetData>
    <row r="1" spans="1:11" ht="47.25" customHeight="1" x14ac:dyDescent="0.25">
      <c r="F1" s="87" t="s">
        <v>90</v>
      </c>
      <c r="G1" s="87"/>
      <c r="H1" s="87"/>
      <c r="I1" s="87"/>
      <c r="J1" s="87"/>
    </row>
    <row r="3" spans="1:11" s="50" customFormat="1" x14ac:dyDescent="0.2">
      <c r="A3" s="50" t="s">
        <v>14</v>
      </c>
      <c r="G3" s="51"/>
      <c r="H3" s="51"/>
      <c r="I3" s="51"/>
    </row>
    <row r="5" spans="1:11" ht="63.75" x14ac:dyDescent="0.2">
      <c r="A5" s="42" t="s">
        <v>26</v>
      </c>
      <c r="B5" s="43" t="s">
        <v>27</v>
      </c>
      <c r="C5" s="42" t="s">
        <v>28</v>
      </c>
      <c r="D5" s="42" t="s">
        <v>29</v>
      </c>
      <c r="E5" s="42" t="s">
        <v>30</v>
      </c>
      <c r="F5" s="42" t="s">
        <v>31</v>
      </c>
      <c r="G5" s="44" t="s">
        <v>32</v>
      </c>
      <c r="H5" s="44" t="s">
        <v>33</v>
      </c>
      <c r="I5" s="44" t="s">
        <v>34</v>
      </c>
      <c r="J5" s="42" t="s">
        <v>85</v>
      </c>
      <c r="K5" s="42" t="s">
        <v>86</v>
      </c>
    </row>
    <row r="6" spans="1:11" ht="63.75" x14ac:dyDescent="0.2">
      <c r="A6" s="45" t="s">
        <v>35</v>
      </c>
      <c r="B6" s="46" t="s">
        <v>36</v>
      </c>
      <c r="C6" s="45" t="s">
        <v>37</v>
      </c>
      <c r="D6" s="45" t="s">
        <v>38</v>
      </c>
      <c r="E6" s="42" t="s">
        <v>39</v>
      </c>
      <c r="F6" s="45" t="s">
        <v>40</v>
      </c>
      <c r="G6" s="47">
        <v>400</v>
      </c>
      <c r="H6" s="48">
        <v>436</v>
      </c>
      <c r="I6" s="52">
        <f>SUM(G6/H6)</f>
        <v>0.91743119266055051</v>
      </c>
      <c r="J6" s="49">
        <f>ROUND(G6*(21.05*1.12),2)</f>
        <v>9430.4</v>
      </c>
      <c r="K6" s="49">
        <f>ROUND(G6/2*(21.05*1.12),2)</f>
        <v>4715.2</v>
      </c>
    </row>
    <row r="7" spans="1:11" ht="89.25" x14ac:dyDescent="0.2">
      <c r="A7" s="45" t="s">
        <v>41</v>
      </c>
      <c r="B7" s="46" t="s">
        <v>42</v>
      </c>
      <c r="C7" s="45" t="s">
        <v>43</v>
      </c>
      <c r="D7" s="45" t="s">
        <v>38</v>
      </c>
      <c r="E7" s="42" t="s">
        <v>44</v>
      </c>
      <c r="F7" s="45" t="s">
        <v>45</v>
      </c>
      <c r="G7" s="47">
        <v>200</v>
      </c>
      <c r="H7" s="48">
        <v>37528</v>
      </c>
      <c r="I7" s="52">
        <f t="shared" ref="I7:I8" si="0">SUM(G7/H7)</f>
        <v>5.3293540822852269E-3</v>
      </c>
      <c r="J7" s="49">
        <f>ROUND(G7*(10.02*1.12),2)</f>
        <v>2244.48</v>
      </c>
      <c r="K7" s="49">
        <f>ROUND(G7/2*(10.02*1.12),2)</f>
        <v>1122.24</v>
      </c>
    </row>
    <row r="8" spans="1:11" ht="89.25" x14ac:dyDescent="0.2">
      <c r="A8" s="45" t="s">
        <v>46</v>
      </c>
      <c r="B8" s="46" t="s">
        <v>47</v>
      </c>
      <c r="C8" s="45" t="s">
        <v>48</v>
      </c>
      <c r="D8" s="45" t="s">
        <v>38</v>
      </c>
      <c r="E8" s="42" t="s">
        <v>44</v>
      </c>
      <c r="F8" s="45" t="s">
        <v>49</v>
      </c>
      <c r="G8" s="47">
        <v>50</v>
      </c>
      <c r="H8" s="48">
        <v>38731</v>
      </c>
      <c r="I8" s="52">
        <f t="shared" si="0"/>
        <v>1.2909555653094422E-3</v>
      </c>
      <c r="J8" s="49">
        <f>ROUND(G8*(24.04*1.12),2)</f>
        <v>1346.24</v>
      </c>
      <c r="K8" s="49">
        <f>ROUND(G8/2*(24.04*1.12),2)</f>
        <v>673.12</v>
      </c>
    </row>
    <row r="9" spans="1:11" s="50" customFormat="1" x14ac:dyDescent="0.2">
      <c r="A9" s="90" t="s">
        <v>50</v>
      </c>
      <c r="B9" s="90"/>
      <c r="C9" s="90"/>
      <c r="D9" s="90"/>
      <c r="E9" s="90"/>
      <c r="F9" s="90"/>
      <c r="G9" s="90"/>
      <c r="H9" s="90"/>
      <c r="I9" s="90"/>
      <c r="J9" s="78">
        <f>ROUNDUP(SUM(J6:J8),0)</f>
        <v>13022</v>
      </c>
      <c r="K9" s="78">
        <f>ROUNDUP(SUM(K6:K8),0)</f>
        <v>6511</v>
      </c>
    </row>
  </sheetData>
  <mergeCells count="2">
    <mergeCell ref="A9:I9"/>
    <mergeCell ref="F1:J1"/>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c33203ee-eafc-4adc-a6e2-2be29446da9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B1C17614AA4674CA7E860D250A12E2A" ma:contentTypeVersion="14" ma:contentTypeDescription="Create a new document." ma:contentTypeScope="" ma:versionID="8464e2f1f4563dc351099d3e2ffc6787">
  <xsd:schema xmlns:xsd="http://www.w3.org/2001/XMLSchema" xmlns:xs="http://www.w3.org/2001/XMLSchema" xmlns:p="http://schemas.microsoft.com/office/2006/metadata/properties" xmlns:ns3="c33203ee-eafc-4adc-a6e2-2be29446da9a" xmlns:ns4="28d8ba18-9071-4eee-aaee-6216c2f2d144" targetNamespace="http://schemas.microsoft.com/office/2006/metadata/properties" ma:root="true" ma:fieldsID="3db50e53ff04fb38bcda17434d943983" ns3:_="" ns4:_="">
    <xsd:import namespace="c33203ee-eafc-4adc-a6e2-2be29446da9a"/>
    <xsd:import namespace="28d8ba18-9071-4eee-aaee-6216c2f2d144"/>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AutoTags" minOccurs="0"/>
                <xsd:element ref="ns3:MediaServiceObjectDetectorVersions" minOccurs="0"/>
                <xsd:element ref="ns3:MediaServiceSearchProperties" minOccurs="0"/>
                <xsd:element ref="ns3:MediaServiceSystemTag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3203ee-eafc-4adc-a6e2-2be29446da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_activity" ma:index="15" nillable="true" ma:displayName="_activity" ma:hidden="true" ma:internalName="_activity">
      <xsd:simpleType>
        <xsd:restriction base="dms:Note"/>
      </xsd:simpleType>
    </xsd:element>
    <xsd:element name="MediaServiceAutoTags" ma:index="16" nillable="true" ma:displayName="Tags" ma:internalName="MediaServiceAutoTags"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d8ba18-9071-4eee-aaee-6216c2f2d14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A75BF2-694E-46C0-AFAD-33F1553EA372}">
  <ds:schemaRefs>
    <ds:schemaRef ds:uri="http://schemas.microsoft.com/office/2006/metadata/properties"/>
    <ds:schemaRef ds:uri="http://schemas.microsoft.com/office/infopath/2007/PartnerControls"/>
    <ds:schemaRef ds:uri="c33203ee-eafc-4adc-a6e2-2be29446da9a"/>
  </ds:schemaRefs>
</ds:datastoreItem>
</file>

<file path=customXml/itemProps2.xml><?xml version="1.0" encoding="utf-8"?>
<ds:datastoreItem xmlns:ds="http://schemas.openxmlformats.org/officeDocument/2006/customXml" ds:itemID="{D5D0EBF2-34E3-4294-8599-58E6DFD51A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3203ee-eafc-4adc-a6e2-2be29446da9a"/>
    <ds:schemaRef ds:uri="28d8ba18-9071-4eee-aaee-6216c2f2d1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185843-D80D-48E7-97D2-3514034E9F12}">
  <ds:schemaRefs>
    <ds:schemaRef ds:uri="http://schemas.microsoft.com/sharepoint/v3/contenttype/forms"/>
  </ds:schemaRefs>
</ds:datastoreItem>
</file>

<file path=docMetadata/LabelInfo.xml><?xml version="1.0" encoding="utf-8"?>
<clbl:labelList xmlns:clbl="http://schemas.microsoft.com/office/2020/mipLabelMetadata">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KOPSAVILKUMS</vt:lpstr>
      <vt:lpstr>Kalend_vakc_neizpilde</vt:lpstr>
      <vt:lpstr>CPV-riska.gr_25g</vt:lpstr>
      <vt:lpstr>Paplašin_no_18_lidz_25</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Liene Ābola</cp:lastModifiedBy>
  <cp:revision/>
  <dcterms:created xsi:type="dcterms:W3CDTF">2002-04-08T13:35:00Z</dcterms:created>
  <dcterms:modified xsi:type="dcterms:W3CDTF">2025-06-05T11:25:27Z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0x0101002B1C17614AA4674CA7E860D250A12E2A</vt:lpwstr>
  </property>
</Properties>
</file>