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vnozare.pri\vm\Redirect_profiles\lzandberga\Desktop\LZ\DARBAM_MATERIALI\budzets 2019\2025\pārdales\"/>
    </mc:Choice>
  </mc:AlternateContent>
  <xr:revisionPtr revIDLastSave="0" documentId="8_{501B96CA-271E-4741-9C29-BA88A51C731D}" xr6:coauthVersionLast="47" xr6:coauthVersionMax="47" xr10:uidLastSave="{00000000-0000-0000-0000-000000000000}"/>
  <bookViews>
    <workbookView xWindow="-120" yWindow="-120" windowWidth="29040" windowHeight="15840" activeTab="1" xr2:uid="{00000000-000D-0000-FFFF-FFFF00000000}"/>
  </bookViews>
  <sheets>
    <sheet name="Kopsavilkums" sheetId="9" r:id="rId1"/>
    <sheet name="aprēķini" sheetId="4" r:id="rId2"/>
  </sheets>
  <definedNames>
    <definedName name="_xlnm._FilterDatabase" localSheetId="1" hidden="1">aprēķini!$A$1:$I$351</definedName>
    <definedName name="_xlnm.Print_Area" localSheetId="1">aprēķini!$A$1:$I$350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3" i="4" l="1"/>
  <c r="C71" i="9" l="1"/>
  <c r="B74" i="9"/>
  <c r="B75" i="9"/>
  <c r="B76" i="9"/>
  <c r="B73" i="9"/>
  <c r="B72" i="9"/>
  <c r="B47" i="9"/>
  <c r="B49" i="9"/>
  <c r="B51" i="9"/>
  <c r="B56" i="9"/>
  <c r="B58" i="9"/>
  <c r="B60" i="9"/>
  <c r="B62" i="9"/>
  <c r="B41" i="9"/>
  <c r="B40" i="9" s="1"/>
  <c r="B30" i="9"/>
  <c r="B31" i="9"/>
  <c r="B32" i="9"/>
  <c r="B33" i="9"/>
  <c r="B34" i="9"/>
  <c r="B35" i="9"/>
  <c r="B36" i="9"/>
  <c r="B37" i="9"/>
  <c r="B29" i="9"/>
  <c r="B25" i="9"/>
  <c r="B26" i="9"/>
  <c r="B20" i="9"/>
  <c r="B18" i="9"/>
  <c r="C14" i="9"/>
  <c r="C13" i="9"/>
  <c r="B153" i="4"/>
  <c r="B52" i="4"/>
  <c r="B71" i="9" l="1"/>
  <c r="B28" i="9"/>
  <c r="C11" i="9"/>
  <c r="E85" i="4" l="1"/>
  <c r="G85" i="4" s="1"/>
  <c r="G86" i="4" s="1"/>
  <c r="C77" i="4"/>
  <c r="B77" i="4"/>
  <c r="F85" i="4" l="1"/>
  <c r="D146" i="4" l="1"/>
  <c r="C146" i="4"/>
  <c r="H78" i="4" l="1"/>
  <c r="E77" i="4"/>
  <c r="E249" i="4"/>
  <c r="F249" i="4" s="1"/>
  <c r="H249" i="4"/>
  <c r="B44" i="9" s="1"/>
  <c r="H85" i="4" l="1"/>
  <c r="G77" i="4"/>
  <c r="G78" i="4" s="1"/>
  <c r="F77" i="4"/>
  <c r="H81" i="4"/>
  <c r="G249" i="4"/>
  <c r="H86" i="4" l="1"/>
  <c r="C66" i="9"/>
  <c r="C43" i="9" s="1"/>
  <c r="E53" i="4"/>
  <c r="G53" i="4" s="1"/>
  <c r="E153" i="4" l="1"/>
  <c r="H267" i="4" l="1"/>
  <c r="H253" i="4"/>
  <c r="B53" i="9" s="1"/>
  <c r="B43" i="9" s="1"/>
  <c r="H265" i="4"/>
  <c r="G297" i="4" l="1"/>
  <c r="G326" i="4" l="1"/>
  <c r="G63" i="4"/>
  <c r="G169" i="4"/>
  <c r="E319" i="4"/>
  <c r="G350" i="4" l="1"/>
  <c r="H344" i="4"/>
  <c r="D343" i="4"/>
  <c r="E343" i="4" s="1"/>
  <c r="H337" i="4"/>
  <c r="H339" i="4" s="1"/>
  <c r="D336" i="4"/>
  <c r="E336" i="4" s="1"/>
  <c r="G336" i="4" s="1"/>
  <c r="E335" i="4"/>
  <c r="G335" i="4" s="1"/>
  <c r="E334" i="4"/>
  <c r="G334" i="4" s="1"/>
  <c r="D333" i="4"/>
  <c r="E333" i="4" s="1"/>
  <c r="H313" i="4"/>
  <c r="C312" i="4"/>
  <c r="D312" i="4" s="1"/>
  <c r="G305" i="4"/>
  <c r="G301" i="4"/>
  <c r="G293" i="4"/>
  <c r="G289" i="4"/>
  <c r="G285" i="4"/>
  <c r="G281" i="4"/>
  <c r="E270" i="4"/>
  <c r="F270" i="4" s="1"/>
  <c r="E269" i="4"/>
  <c r="G269" i="4" s="1"/>
  <c r="E268" i="4"/>
  <c r="G268" i="4" s="1"/>
  <c r="E267" i="4"/>
  <c r="G267" i="4" s="1"/>
  <c r="E266" i="4"/>
  <c r="F266" i="4" s="1"/>
  <c r="H320" i="4" l="1"/>
  <c r="C39" i="9" s="1"/>
  <c r="H315" i="4"/>
  <c r="F334" i="4"/>
  <c r="G343" i="4"/>
  <c r="G344" i="4" s="1"/>
  <c r="F343" i="4"/>
  <c r="G333" i="4"/>
  <c r="F333" i="4"/>
  <c r="F335" i="4"/>
  <c r="F336" i="4"/>
  <c r="E312" i="4"/>
  <c r="G312" i="4" s="1"/>
  <c r="G319" i="4"/>
  <c r="G320" i="4" s="1"/>
  <c r="F319" i="4"/>
  <c r="F269" i="4"/>
  <c r="F268" i="4"/>
  <c r="F267" i="4"/>
  <c r="G270" i="4"/>
  <c r="G266" i="4"/>
  <c r="G337" i="4" l="1"/>
  <c r="G313" i="4"/>
  <c r="F312" i="4"/>
  <c r="H271" i="4" l="1"/>
  <c r="E256" i="4"/>
  <c r="G256" i="4" s="1"/>
  <c r="F256" i="4" l="1"/>
  <c r="G70" i="4"/>
  <c r="E255" i="4"/>
  <c r="G255" i="4" s="1"/>
  <c r="E254" i="4"/>
  <c r="F254" i="4" s="1"/>
  <c r="F255" i="4" l="1"/>
  <c r="G254" i="4"/>
  <c r="E253" i="4"/>
  <c r="H258" i="4"/>
  <c r="H260" i="4" s="1"/>
  <c r="E6" i="4"/>
  <c r="F6" i="4" s="1"/>
  <c r="E7" i="4"/>
  <c r="F7" i="4" s="1"/>
  <c r="F253" i="4" l="1"/>
  <c r="G253" i="4"/>
  <c r="G7" i="4"/>
  <c r="H7" i="4" s="1"/>
  <c r="B9" i="9" s="1"/>
  <c r="G6" i="4"/>
  <c r="H6" i="4" s="1"/>
  <c r="B8" i="9" s="1"/>
  <c r="E257" i="4" l="1"/>
  <c r="F257" i="4" s="1"/>
  <c r="E252" i="4"/>
  <c r="E251" i="4"/>
  <c r="E250" i="4"/>
  <c r="F250" i="4" l="1"/>
  <c r="G250" i="4"/>
  <c r="G257" i="4"/>
  <c r="F251" i="4"/>
  <c r="G251" i="4"/>
  <c r="G252" i="4"/>
  <c r="F252" i="4"/>
  <c r="G277" i="4" l="1"/>
  <c r="E265" i="4"/>
  <c r="G265" i="4" s="1"/>
  <c r="G271" i="4" s="1"/>
  <c r="G258" i="4" l="1"/>
  <c r="F265" i="4"/>
  <c r="G242" i="4" l="1"/>
  <c r="E235" i="4"/>
  <c r="E228" i="4"/>
  <c r="G220" i="4"/>
  <c r="G235" i="4" l="1"/>
  <c r="G236" i="4" s="1"/>
  <c r="F235" i="4"/>
  <c r="F228" i="4"/>
  <c r="G228" i="4"/>
  <c r="E214" i="4"/>
  <c r="G214" i="4" s="1"/>
  <c r="G215" i="4" s="1"/>
  <c r="E207" i="4"/>
  <c r="F207" i="4" s="1"/>
  <c r="E206" i="4"/>
  <c r="F206" i="4" s="1"/>
  <c r="E205" i="4"/>
  <c r="F205" i="4" s="1"/>
  <c r="E204" i="4"/>
  <c r="F204" i="4" s="1"/>
  <c r="E203" i="4"/>
  <c r="F203" i="4" s="1"/>
  <c r="E202" i="4"/>
  <c r="F202" i="4" s="1"/>
  <c r="E201" i="4"/>
  <c r="E200" i="4"/>
  <c r="G200" i="4" s="1"/>
  <c r="E199" i="4"/>
  <c r="H208" i="4"/>
  <c r="H210" i="4" s="1"/>
  <c r="G221" i="4"/>
  <c r="E178" i="4"/>
  <c r="G178" i="4" s="1"/>
  <c r="E177" i="4"/>
  <c r="G192" i="4"/>
  <c r="E185" i="4"/>
  <c r="G185" i="4" s="1"/>
  <c r="G186" i="4" s="1"/>
  <c r="E176" i="4"/>
  <c r="G229" i="4" l="1"/>
  <c r="H229" i="4"/>
  <c r="G203" i="4"/>
  <c r="G207" i="4"/>
  <c r="G204" i="4"/>
  <c r="G206" i="4"/>
  <c r="G205" i="4"/>
  <c r="G202" i="4"/>
  <c r="G177" i="4"/>
  <c r="F177" i="4"/>
  <c r="G199" i="4"/>
  <c r="F199" i="4"/>
  <c r="F201" i="4"/>
  <c r="G201" i="4"/>
  <c r="F200" i="4"/>
  <c r="F214" i="4"/>
  <c r="F178" i="4"/>
  <c r="F176" i="4"/>
  <c r="G176" i="4"/>
  <c r="F185" i="4"/>
  <c r="H235" i="4" l="1"/>
  <c r="H231" i="4"/>
  <c r="G179" i="4"/>
  <c r="G208" i="4"/>
  <c r="H214" i="4"/>
  <c r="H176" i="4"/>
  <c r="B24" i="9" s="1"/>
  <c r="F53" i="4"/>
  <c r="H215" i="4" l="1"/>
  <c r="C38" i="9"/>
  <c r="C28" i="9" s="1"/>
  <c r="H236" i="4"/>
  <c r="C42" i="9"/>
  <c r="C40" i="9" s="1"/>
  <c r="H179" i="4"/>
  <c r="H181" i="4" s="1"/>
  <c r="H185" i="4" l="1"/>
  <c r="E35" i="4"/>
  <c r="G35" i="4" s="1"/>
  <c r="H186" i="4" l="1"/>
  <c r="C27" i="9"/>
  <c r="C22" i="9" s="1"/>
  <c r="F35" i="4"/>
  <c r="G44" i="4" l="1"/>
  <c r="E28" i="4" l="1"/>
  <c r="G28" i="4" s="1"/>
  <c r="E5" i="4" l="1"/>
  <c r="E14" i="4"/>
  <c r="G14" i="4" s="1"/>
  <c r="E36" i="4"/>
  <c r="E162" i="4"/>
  <c r="F162" i="4" l="1"/>
  <c r="G162" i="4"/>
  <c r="G163" i="4" s="1"/>
  <c r="H37" i="4" l="1"/>
  <c r="F36" i="4"/>
  <c r="G36" i="4"/>
  <c r="G37" i="4" s="1"/>
  <c r="F28" i="4" l="1"/>
  <c r="E51" i="4" l="1"/>
  <c r="G153" i="4" l="1"/>
  <c r="H153" i="4" s="1"/>
  <c r="F153" i="4"/>
  <c r="G29" i="4"/>
  <c r="H28" i="4"/>
  <c r="G51" i="4"/>
  <c r="F51" i="4"/>
  <c r="H29" i="4" l="1"/>
  <c r="H31" i="4" s="1"/>
  <c r="B12" i="9"/>
  <c r="B11" i="9" s="1"/>
  <c r="H154" i="4"/>
  <c r="B23" i="9"/>
  <c r="B22" i="9" s="1"/>
  <c r="H162" i="4"/>
  <c r="H158" i="4"/>
  <c r="H51" i="4"/>
  <c r="B16" i="9" s="1"/>
  <c r="G154" i="4"/>
  <c r="H163" i="4" l="1"/>
  <c r="C21" i="9"/>
  <c r="F5" i="4"/>
  <c r="F14" i="4" l="1"/>
  <c r="G21" i="4"/>
  <c r="G5" i="4"/>
  <c r="H5" i="4" l="1"/>
  <c r="B7" i="9" s="1"/>
  <c r="B6" i="9" s="1"/>
  <c r="H8" i="4" l="1"/>
  <c r="H14" i="4" l="1"/>
  <c r="H10" i="4"/>
  <c r="E52" i="4"/>
  <c r="G52" i="4" s="1"/>
  <c r="H15" i="4" l="1"/>
  <c r="C10" i="9"/>
  <c r="C6" i="9" s="1"/>
  <c r="F52" i="4"/>
  <c r="G54" i="4"/>
  <c r="H52" i="4"/>
  <c r="B17" i="9" s="1"/>
  <c r="B15" i="9" s="1"/>
  <c r="B77" i="9" s="1"/>
  <c r="H54" i="4" l="1"/>
  <c r="H58" i="4" s="1"/>
  <c r="H62" i="4" l="1"/>
  <c r="H63" i="4" l="1"/>
  <c r="C19" i="9"/>
  <c r="C15" i="9" s="1"/>
  <c r="C77" i="9" s="1"/>
</calcChain>
</file>

<file path=xl/sharedStrings.xml><?xml version="1.0" encoding="utf-8"?>
<sst xmlns="http://schemas.openxmlformats.org/spreadsheetml/2006/main" count="662" uniqueCount="253">
  <si>
    <t>Finanšu līdzekļu neizpilde apakšprogrammā 33.03.00 "Kompensējamo medikamentu un materiālu apmaksāšana" pārdalei apakšprogrammas 33.03.00 "Kompensējamo medikamentu un materiālu apmaksāšana" ietvaros</t>
  </si>
  <si>
    <t>Pasākums</t>
  </si>
  <si>
    <t xml:space="preserve"> % izpilde 2025.gads pret plānoto finansējumu </t>
  </si>
  <si>
    <t xml:space="preserve"> Līdzekļu neizpilde (+), euro  </t>
  </si>
  <si>
    <t xml:space="preserve"> Līdzekļu neizpilde (+), kura tiek pārdalīta, euro  </t>
  </si>
  <si>
    <t>Skaidrojumi par neizpildēm un līdzekļu deficītiem</t>
  </si>
  <si>
    <t>apakšpasākuma "Veselības aprūpes pakalpojumu onkoloģijas jomā uzlabošana" ietvaros īstenotai aktivitātei "Pacientiem ar mākslīgo atveri aprūpi (stoma) veselības aprūpes uzlabošana"</t>
  </si>
  <si>
    <t>Rezultatīvais rādītājs</t>
  </si>
  <si>
    <t>Izdevumu pozīcijas nosaukums</t>
  </si>
  <si>
    <t>Pacientu skaits</t>
  </si>
  <si>
    <t>Esošās onkoloģijas terapijas turpināšana</t>
  </si>
  <si>
    <t>KOPĀ:</t>
  </si>
  <si>
    <t>Finanšu līdzekļu neizpilde apakšprogrammā 33.04.00 "Centralizēta medikamentu un materiālu iegāde" pārdalei apakšprogrammas 33.04.00 "Centralizēta medikamentu un materiālu iegāde" ietvaros</t>
  </si>
  <si>
    <t>apakšpasākuma "Mātes un bērna veselības uzlabošana" ietvaros īstenotai aktivitātei "Pneimokoka vakcīnas nodrošināšana"</t>
  </si>
  <si>
    <t>KOPĀ, euro</t>
  </si>
  <si>
    <t xml:space="preserve">Parenterāli ievadāmo zāļu iegādei onkoloģisko saslimšanu ārstēšanai </t>
  </si>
  <si>
    <t>Peritoneālās dialīzes ārstniecības līdzekļu iegāde</t>
  </si>
  <si>
    <t>Izdevumu pozīcija</t>
  </si>
  <si>
    <t>Pacientu/ Pakalpojumu skaits</t>
  </si>
  <si>
    <t>KOPĀ</t>
  </si>
  <si>
    <t>Finanšu līdzekļu neizpilde apakšprogrammā 33.14.00 "Primārās ambulatorās veselības aprūpes nodrošināšana" pārdalei apakšprogrammas 33.14.00 "Primārās ambulatorās veselības aprūpes nodrošināšana" ietvaros</t>
  </si>
  <si>
    <t xml:space="preserve">Ģimenes ārstu prakšu skaits, kas papildus saņēma aptveres maksājumu </t>
  </si>
  <si>
    <t xml:space="preserve">Finanšu līdzekļu neizpildes apakšprogrammā 33.15.00 "Laboratorisko izmeklējumu nodrošināšana ambulatorajā aprūpē" pārdalei uz apakšprogrammu 33.14.00 "Primārās ambulatorās veselības aprūpes nodrošināšana" </t>
  </si>
  <si>
    <t>Sniegto pakalpojumu skaits</t>
  </si>
  <si>
    <t>Zobārstniecības pakalpojumu pilnveidošana bērniem, lai uzlabotu pakalpojumu pieejamību bērniem - Apjoma palielināšana</t>
  </si>
  <si>
    <t>8 228</t>
  </si>
  <si>
    <t>Finanšu līdzekļu neizpilde apakšprogrammā 33.15.00 "Laboratorisko izmeklējumu nodrošināšana ambulatorajā aprūpē" pārdalei apakšprogrammas 33.15.00 "Laboratorisko izmeklējumu nodrošināšana ambulatorajā aprūpē" ietvaros</t>
  </si>
  <si>
    <t>Izmeklējumi (skaits)</t>
  </si>
  <si>
    <t>Laboratorijas pakalpojumi onkoloģijas pacientiem nodrošinot savlaicīgu diagnostiku</t>
  </si>
  <si>
    <t>Finanšu līdzekļu neizpilde apakšprogrammā 33.16.00 "Pārējo ambulatoro veselības aprūpes pakalpojumu nodrošināšana" pārdalei apakšprogrammas 33.16.00 "Pārējo ambulatoro veselības aprūpes pakalpojumu nodrošināšana" ietvaros</t>
  </si>
  <si>
    <t>apakšpasākuma "Veselības aprūpes pakalpojumu pieejamības un kvalitātes uzlabošana" ietvaros īstenotai aktivitātei "Grūtnieču konsultācijas"</t>
  </si>
  <si>
    <t>Pakalpojumu skaits</t>
  </si>
  <si>
    <t>Veselības aprūpes pakalpojumu pieejamība pēc onkoloģijas diagnozes noteikšanas (dinamiskā novērošana)</t>
  </si>
  <si>
    <t>Finanšu līdzekļu neizpilde apakšprogrammā 33.17.00 "Neatliekamās medicīniskās palīdzības nodrošināšana stacionārās ārstniecības
iestādēs" pārdalei apakšprogrammas 33.17.00 "Neatliekamās medicīniskās palīdzības nodrošināšana stacionārās ārstniecības
iestādēs" ietvaros</t>
  </si>
  <si>
    <t>Izmeklējumu skaits</t>
  </si>
  <si>
    <t>Finanšu līdzekļu neizpilde apakšprogrammā 33.18.00 "Plānveida stacionāro veselības aprūpes pakalpojumu nodrošināšana" pārdalei apakšprogrammas 33.18.00 "Plānveida stacionāro veselības aprūpes pakalpojumu nodrošināšana" ietvaros</t>
  </si>
  <si>
    <t>apakšpasākuma "Veselības aprūpes pakalpojumu pieejamības un kvalitātes uzlabošana" ietvaros īstenotai aktivitātei "Insulīna sūkņu pieejamību cukura diabēta pacientiem no 18 - 24 gadu vecumam"</t>
  </si>
  <si>
    <t>apakšpasākuma "Veselības aprūpes pakalpojumu pieejamības un kvalitātes uzlabošana" ietvaros īstenotās aktivitātes "Insulīna sūkņu pieejamība cukura diabēta pacientiem un nepārtrauktās glikozes monitorēšanas sistēmas līdz 18 gadiem" apakšaktivitātei
"Insulīna sūkņi"</t>
  </si>
  <si>
    <t>apakšpasākuma "Psihiskās veselības uzlabošana" ietvaros īstenotai 
aktivitātei "Zobārstniecības (t.sk., minimāli nepieciešamā protezēšana), optometrista pakalpojumu un nepieciešamo palīglīdzekļu nodrošināšana personām, kurām ir nepieciešama ilgstoša ārstēšana psihiatriskā profila slimnīcās"</t>
  </si>
  <si>
    <t>Pārskata perioda izpildi būtiski ietekmēja pieaugošais pacientu skaits ar onkoloģiskām slimībām, kuriem bija nepieciešama atbilstoša ārstēšana. Pacientu skaits šajos pakalpojumos pieaug, jo jaunākās un uzlabotās diagnostikas metodes ļauj atklāt onkoloģiskas slimības agrīnā stadijā, kas palielina to pacientu skaitu, kuri saņem ārstēšanu. Pārskata periodā uzlabota veselības aprūpes pieejamība un sabiedrības izpratne par vēža simptomiem veicina biežāku ārstēšanās meklēšanu. Turklāt iedzīvotāju novecošanās un efektīvākas ārstēšanas metodes rada pieaugošu nepieciešamību pēc šiem pakalpojumiem. Onkoloģiskās aprūpes pakalpojumi ir valsts prioritāte, jo onkoloģiskās slimības ir viens no galvenajiem nāves cēloņiem, un efektīvas ārstēšanas metodes ir būtiskas mirstības samazināšanai. Savlaicīga un precīza onkoloģiskā diagnostika ļauj nodrošināt onkoloģisko slimību efektīvāku ārstēšanu.</t>
  </si>
  <si>
    <t>Mugurkaula ķirurģijas manipulāciju izmaksu pieaugums un prognozētā pārstrāde ir cieši saistīta ar tarifu pārskatīšanu un faktisko situāciju veselības aprūpē. Pārskatītie tarifi šajā jomā ir balstīti uz reālajām izmaksām, kas pēdējo gadu laikā būtiski pieaugušas. Gan personāla atlīdzība, gan ķirurģisko materiālu un implantu izmaksas, gan diagnostikas un stacionāra nodrošināšanas resursi turpina sadārdzināties. Mugurkaula ķirurģija ir viena no tehniski un materiāli visietilpīgākajām jomām, kur katra operācija prasa augsti kvalificētu personālu, specializētus instrumentus un bieži vien dārgus implantus. Līdz ar to tarifu pielāgošana faktiskajām izmaksām neizbēgami nozīmē arī kopējās summas pieaugumu, pat ja manipulāciju skaits saglabātos nemainīgs. Taču realitātē arī pieprasījums pēc mugurkaula ķirurģijas turpina palielināties. Rindas šajos pakalpojumos jau ilgstoši ir bijušas vienas no nozīmīgākajām, kas saistīts gan ar sabiedrības novecošanu un deģeneratīvo mugurkaula saslimšanu pieaugumu, gan traumatisko ievainojumu tendencēm, gan faktu, ka pacienti pie speciālistiem nereti nonāk vēlāk un ar smagākiem klīniskiem stāvokļiem. Vienlaikus tarifu pārskatīšana ir radījusi pozitīvu stimulu ārstniecības iestādēm — adekvāts finansējums ļauj nodrošināt lielāku operāciju apjomu, īpaši tām manipulācijām, kur līdz šim faktiskās izmaksas pārsniedza apmaksas tarifu. Līdz ar to ārstniecības iestādes var ne tikai uzturēt esošo snieguma līmeni, bet arī pakāpeniski mazināt uzkrātās rindas.</t>
  </si>
  <si>
    <t xml:space="preserve">Pārstrāde biopsijas manipulāciju finansējumā (20039 – punkcijas biopsija operāciju zālē, 20041 – vaļēja kaulu, muskulatūras, cīpslu, limfmezglu biopsija un ļaundabīgu ādas un mīksto audu veidojumu ekscīzija), galvenokārt skaidrojama ar pieprasījuma pieaugumu onkoloģisko pacientu izmeklējumiem un operācijām. Faktiski manipulācijas tiek veiktas visiem pacientiem, kuriem nepieciešama audu diagnostika ļaundabīgo veidojumu noteikšanai, un bieži vien viena pacienta ārstēšanas procesā nepieciešamas vairākas biopsijas vai papildu manipulācijas. </t>
  </si>
  <si>
    <t>Pēdējo gadu dati liecina, ka gan alkohola, gan narkotisko vielu lietošanas radītās veselības problēmas sabiedrībā pieaug, un pieprasījums pēc narkoloģiskajiem pakalpojumiem nav samazinājies. Tāpat ir palielinājusies sabiedrības izpratne par garīgās veselības un atkarību ārstēšanas nozīmīgumu, kas savukārt rada papildu slodzi pakalpojumu sniedzējiem. Lai veselības aprūpes sistēma spētu reaģēt uz šo pieprasījumu un vienlaikus nodrošinātu kvalitatīvu palīdzību, ir kritiski nepieciešams adekvāts finansējums līdzmaksājuma segšanai. Pretējā gadījumā var veidoties situācija, kur pacientu skaita pieaugums pārsniedz sistēmas spēju nodrošināt pieejamus pakalpojumus, rezultātā palielinot ārstēšanas pārtraukšanas risku un veicinot atkārtotu nonākšanu akūtās situācijās. Tāpēc papildu finansējuma novirzīšana šai apakšaktivitātei ir būtiska, lai nodrošinātu, ka profilakses pasākumi alkoholisko dzērienu un narkotisko vielu lietošanas mazināšanai patiesi sasniedz mērķi — nodrošināt savlaicīgu, vienlīdz pieejamu un kvalitatīvu ārstēšanu visiem pacientiem, neatkarīgi no to finansiālajām iespējām. Tas ir ne vien sociāli atbildīgs un medicīniski pamatots risinājums, bet arī svarīgs solis kopējā veselības aprūpes sistēmas stiprināšanā.</t>
  </si>
  <si>
    <t>Pārstrāde manipulācijā 12016 (vienas tiesas noteiktas ambulatorās vai stacionārās psihiatriskās vai psiholoģiskās ekspertīzes veikšana un atzinuma sagatavošana)  ir skaidrojama ar to, ka šīs ekspertīzes tiek veiktas tikai pēc tiesas norīkojuma, katram pacientam vienu reizi, un 8 mēnešu periodā koncentrējās neparasti liels gadījumu skaits. Tiesas pieprasījumi koncentrējas uz noteiktiem periodiem, piemēram, kriminālprocesiem vai administratīvām lietām, kas īslaicīgi palielina pakalpojuma pieprasījumu, tāpēc pusgada izpilde tuvojās gada finansējumam. Šāda situācija atspoguļo reālo nepieciešamību un tiesas procesu īpatnības, nevis finansējuma neefektīvu izmantošanu.</t>
  </si>
  <si>
    <t>Onkoloģijas un hematoloģijas pacientu ārstēšana šobrīd arvien vairāk balstās uz precīzo medicīnu, kur diagnostikas kvalitāte un personalizēta terapijas izvēle tieši ir atkarīga no biomarķieru noteikšanas iespējām. Laboratoriskie paredzes biomarķieri ir kļuvuši par neatņemamu mūsdienu onkoloģiskās aprūpes sastāvdaļu – tie ļauj identificēt audzēja ģenētiskās un molekulārās īpašības, prognozēt terapijas efektivitāti, kā arī izvairīties no neefektīvas vai toksiskas ārstēšanas. Līdz ar to piekļuve biomarķieru testēšanai nav luksusa elements, bet gan medicīniska nepieciešamība, kas nodrošina pacientiem iespēju saņemt atbilstošu un mērķētu terapiju. Lai nodrošinātu, ka valsts apmaksātie pakalpojumi atbilst mūsdienu medicīnas prasībām un pacientu vajadzībām, ir būtiski paredzēt finansējumu paredzes biomarķieru noteikšanai. Papildu finansējums, kas paredzēts daļēja iztrūkuma segšanai, ir nepieciešams, lai ārstniecības iestādes varētu nodrošināt biomarķieru testēšanu pilnā apjomā un bez kavējumiem, tādējādi nodrošinot personalizētas medicīnas principu ieviešanu praksē. Šī pieeja ne tikai uzlabo ārstēšanas rezultātus un pacientu izdzīvotību, bet arī veicina resursu racionālu izmantošanu ilgtermiņā. Tādējādi finansējuma piešķiršana šai aktivitātei ir būtiska, lai nodrošinātu pilnvērtīgu onkoloģisko un hematoloģisko pacientu diagnostiku, uzlabotu ārstēšanas kvalitāti un garantētu, ka terapijas tiek uzsāktas atbilstoši klīniskajai nepieciešamībai, nevis pieejamajiem finansiālajiem resursiem. Šis ir fundamentāls nosacījums taisnīgas, pieejamas un uz zinātnes pierādījumiem balstītas veselības aprūpes nodrošināšanai Latvijā.</t>
  </si>
  <si>
    <t>Manipulāciju skaits</t>
  </si>
  <si>
    <t>Pārskatīti veselības aprūpes tarifi onkoloģijā</t>
  </si>
  <si>
    <t>Sniegtas manipulācijas (skaits) veiktajam 9 manipulāciju pārrēķinam</t>
  </si>
  <si>
    <t>Pārskatīti mugurkaula ķirurģijas manipulācijas un piemaksas – akūtās ķirurģijas izmeklējumu un operāciju tarifi atbilstoši faktiskajām izmaksām</t>
  </si>
  <si>
    <t>Sniegtas manipulācijas (skaits) izveidotajai 1 jaunajai valsts apmaksātajai manipulācijai</t>
  </si>
  <si>
    <t>USG tarifa pārskatīšana bērniem (Sekundārās ambulatorās veselības aprūpes pakalpojumu pieejamības uzlabošana un gaidīšanas rindu mazināšana  - piemaksai  par bērniem veiktu USG un doplerogrāfiju stacionāriem pacientiem līdz 18 gadu vecumam)</t>
  </si>
  <si>
    <t>Biopsijas izmeklējumu pieejamība onkoloģisko slimību pacientiem</t>
  </si>
  <si>
    <t>Atbrīvoti narkoloģijas profila pacienti no pacientu līdzmaksājumiem, saņemot stacionāros veselības aprūpes pakalpojumus narkoloģijā</t>
  </si>
  <si>
    <t>Narkologu sniegtajiem ambulatorajiem un stacionāriem veselības aprūpes pakalpojumiem tarifu un kārtības pārskatīšana - tarifa pārrēķins</t>
  </si>
  <si>
    <t>Onkoloģija, hematoloģija - Laboratoriska paredzes biomarķieru noteikšanas nodrošināšana</t>
  </si>
  <si>
    <t>Finanšu līdzekļu neizpilde apakšprogrammā 45.01.00 "Veselības aprūpes finansējuma administrēšana un ekonomiskā novērtēšana" pārdalei uz apakšprogrammu 33.16.00 "Pārējo ambulatoro veselības aprūpes pakalpojumu nodrošināšana"</t>
  </si>
  <si>
    <t>apakšpasākuma "Metodisko centru darbības nodrošināšana no 2024.gada 1.novembra" ietvaros īstenotajai aktivitātei "Nodrošināt metodiskās vadības institūcijas darbību"</t>
  </si>
  <si>
    <t>Daļējai samaksai par Latvijas iedzīvotājiem sniegtajiem veselības aprūpes pakalpojumiem Eiropas Savienības sociālā nodrošinājuma sistēmas ietvaros</t>
  </si>
  <si>
    <t>Vidējā rēķina summa</t>
  </si>
  <si>
    <t>Apmaksa par Latvijas iedzīvotājiem sniegtajiem veselības aprūpes pakalpojumiem Eiropas Savienības sociālā nodrošinājuma sistēmas ietvaros</t>
  </si>
  <si>
    <t>Finanšu līdzekļu neizpildes apakšprogrammā 45.01.00 "Veselības aprūpes finansējuma administrēšana un ekonomiskā novērtēšana" pārdalei uz apakšprogrammu 33.18.00 "Plānveida stacionāro veselības aprūpes pakalpojumu nodrošināšana"</t>
  </si>
  <si>
    <t>apakšpasākuma "Veselības aprūpes pakalpojumu pieejamības un kvalitātes uzlabošana" ietvaros īstenotās aktivitātes "Transplantācijas procesa attīstību Latvijā"  apakšaktivitātei "Mentora/konsultanta piesaiste transplantācijas procesu uzlabošanai VSIA "Paula Stradiņa klīniskā universitātes slimnīca""</t>
  </si>
  <si>
    <t>apakšpasākuma "Transplantācijas procesa attīstību Latvijā" ietvaros īstenotajai aktivitātei "Apvienotās laboratorijas audu saderības un imūnģenētikas jomas attīstība - Laboratorijas personāla kompetences nodrošināšana atbilstoši EFI prasībām"</t>
  </si>
  <si>
    <t>apakšpasākuma "Transplantācijas procesa attīstību Latvijā" ietvaros īstenotajai aktivitātei "5-7 speciālistu (gastroenterologi, kardiologi, pulmonologi) apmācība recipientu atlasē un pēctransplantācijas aprūpē (līdz viena mēneša apmācība kādā no Ziemeļvalstu klīnikām)"</t>
  </si>
  <si>
    <t>Līdzekļu neizpilde 2024.-2026.gada prioritārā pasākuma "Veselības aprūpes pakalpojumu pieejamības un kvalitātes uzlabošana", tajā skaitā:</t>
  </si>
  <si>
    <t>Līdzekļu neizpildi plānots novirzīt, tajā skaitā:</t>
  </si>
  <si>
    <t>Ģimenes ārstu zarnu vēža skrīninga un prostatas vēža skrīninga aptveres maksājums</t>
  </si>
  <si>
    <t>Ģimenes ārstu prostatas vēža skrīninga aptveres maksājums</t>
  </si>
  <si>
    <t xml:space="preserve">2024.-2026.gada prioritārā pasākuma "Veselības aprūpes pakalpojumu pieejamības un kvalitātes uzlabošana" apakšpasākuma "Veselības aprūpes pakalpojumu pieejamības un kvalitātes uzlabošana" ietvaros īstenotai aktivitātei "USG tarifa pārskatīšana bērniem" </t>
  </si>
  <si>
    <t>PAVISAM KOPĀ:</t>
  </si>
  <si>
    <t>Līdzekļu ekonomija 2024.-2026.gada prioritārā pasākuma "Veselības aprūpes pakalpojumu pieejamības un kvalitātes uzlabošana" apakšpasākumam "Mātes un bērna veselības uzlabošana" ietvaros īstenotai aktivitātei "Pneimokoka vakcīnas nodrošināšana" veidojas 651 981 euro, no tā 432 593 euro tiks novirzīti parenterāli ievadāmo zāļu iegādei onkoloģisko saslimšanu ārstēšanai, savukārt 219 388 euro tiks novirzīti peritoneālās dialīzes ārstniecības līdzekļu iegādei.</t>
  </si>
  <si>
    <t>Peritoneālās dialīzes ārstniecības līdzekļu iegādei</t>
  </si>
  <si>
    <t>Līdzekļu ekonomija 2024.-2026.gada prioritārā pasākuma "Veselības aprūpes pakalpojumu pieejamības un kvalitātes uzlabošana" apakšpasākumam  "Metodisko centru darbības nodrošināšana no 2024.gada 1.novembra" ietvaros īstenotajai aktivitātei "Nodrošināt metodiskās vadības institūcijas darbību" veidojas 1 685 047 euro, no tā 1 685 047 euro tiks novirzīti daļējai samaksai par Latvijas iedzīvotājiem sniegtajiem veselības aprūpes pakalpojumiem Eiropas Savienības sociālā nodrošinājuma sistēmas ietvaros.</t>
  </si>
  <si>
    <t>Novirzītais finansējums ļaus nodrošināt daļēju apmaksu par Latvijas iedzīvotājiem sniegtajiem veselības aprūpes pakalpojumiem ES sociālā nodrošinājuma sistēmas ietvaros atbilstoši no ES un EEZ dalībvalstīm saņemtajiem rēķiniem.NVD kā kompetentā iestāde Latvijā par Eiropas Savienībā sociālā nodrošinājuma sistēmu koordinēšanu veselības aprūpes jomā, veic norēķinus ar citām Eiropas Savienības dalībvalstīm, Eiropas Ekonomikas zonas dalībvalstīm, Šveici un Apvienoto Karalisti saskaņā ar Regulām Nr. 883/2004 (turpmāk - pamatregula) un Nr. 987/2009 (īstenošanas regula). Pamatojoties uz īstenošanas regulas 66.pantu un 67.panta 5.punktu, NVD finanšu saistības jānokārto pēc iespējas ātrāk, bet ne vēlāk kā 18 mēnešu laikā pēc tā mēneša, kurā minētie atlīdzības pieprasījumi iesniegti debitora dalībvalsts sadarbības iestādē.  Katru gadu NVD tiek saņemti rēķini no citām Dalībvalstīm apmēram 16 -23 miljonu euro apmērā, bet šiem norēķiniem budžetā ik gadu plānoti finanšu līdzekļi tikai 1 612 965 euro apmērā. Dienests ik gadu starpvalstu norēķinus veic no apakšprogrammu iekšējām pārdalēm līdz ar to tiek uzkrātas parādsaistības, kā arī nav iespējams visus rēķinus apmaksāt īstenošanas regulā 67.panta 5.punkta noteiktajā termiņā. Saskaņā ar īstenošanas regulas 67.panta 5.punkta noteikto saistību neizpildi, pamatojoties uz īstenošanas regulas 68.panta 2.punktu pret Latviju no citu Dalībvalstu puses var tikt aprēķināti soda procenti.</t>
  </si>
  <si>
    <t>Finanšu līdzekļu neizpilde apakšprogrammā 33.14.00 "Primārās ambulatorās veselības aprūpes nodrošināšana" pārdalei uz apakšprogrammu 33.18.00 "Plānveida stacionāro veselības aprūpes pakalpojumu nodrošināšana"</t>
  </si>
  <si>
    <t>Pakalpojuma programmas virssadaļa</t>
  </si>
  <si>
    <t>Ārstniecības iestāde</t>
  </si>
  <si>
    <t>Papildus nepieciešams pacientu skaits 2025. gadam 
33.18.00</t>
  </si>
  <si>
    <t>Papildus nepieciešams finansējums 2025. gadam, EUR
33.18.00</t>
  </si>
  <si>
    <t>01. DRG fiksētais maksājums</t>
  </si>
  <si>
    <t>Bērnu klīniskā universitātes slimnīca</t>
  </si>
  <si>
    <t>04. DRG fiksētais maksājums - "Krūšu rekonstrukcija"</t>
  </si>
  <si>
    <t>Liepājas reģionālā slimnīca</t>
  </si>
  <si>
    <t>Paula Stradiņa klīniskā universitātes slimnīca</t>
  </si>
  <si>
    <t>07. Maksājums pa pakalpojumu programmām</t>
  </si>
  <si>
    <t>Aizkraukles klīnika</t>
  </si>
  <si>
    <t>Balvu un Gulbenes slimnīcu apvienība</t>
  </si>
  <si>
    <t>Bauskas slimnīca</t>
  </si>
  <si>
    <t>Cēsu klīnika</t>
  </si>
  <si>
    <t>Daugavpils reģionālā slimnīca</t>
  </si>
  <si>
    <t>Dobeles un apkārtnes slimnīca</t>
  </si>
  <si>
    <t>Jelgavas pilsētas slimnīca</t>
  </si>
  <si>
    <t>Jēkabpils reģionālā slimnīca</t>
  </si>
  <si>
    <t>Jūrmalas slimnīca</t>
  </si>
  <si>
    <t>Krāslavas slimnīca</t>
  </si>
  <si>
    <t>Kuldīgas slimnīca</t>
  </si>
  <si>
    <t>Latvijas Jūras medicīnas centrs</t>
  </si>
  <si>
    <t>Līvānu slimnīca</t>
  </si>
  <si>
    <t>Ludzas medicīnas centrs</t>
  </si>
  <si>
    <t>Madonas slimnīca</t>
  </si>
  <si>
    <t>Ogres rajona slimnīca</t>
  </si>
  <si>
    <t>Preiļu slimnīca</t>
  </si>
  <si>
    <t>Priekules slimnīca</t>
  </si>
  <si>
    <t>Rēzeknes slimnīca</t>
  </si>
  <si>
    <t>Rīgas 2. slimnīca</t>
  </si>
  <si>
    <t>Sanare KRC Jaunķemeri</t>
  </si>
  <si>
    <t>Siguldas slimnīca</t>
  </si>
  <si>
    <t>Slimnīca Ģintermuiža</t>
  </si>
  <si>
    <t>Traumatoloģijas un ortopēdijas slimnīca</t>
  </si>
  <si>
    <t>Tukuma slimnīca</t>
  </si>
  <si>
    <t>Vidzemes slimnīca</t>
  </si>
  <si>
    <t>Ziemeļkurzemes reģionālā slimnīca</t>
  </si>
  <si>
    <t>09. Piemaksājamās manipulācijas</t>
  </si>
  <si>
    <t>Līgatne, rehabilitācijas centrs</t>
  </si>
  <si>
    <t>Nacionālais psihiskās veselības centrs</t>
  </si>
  <si>
    <t>Rīgas Austrumu klīniskā universitātes slimnīca</t>
  </si>
  <si>
    <t>Strenču psihoneiroloģiskā slimnīca</t>
  </si>
  <si>
    <t>Vaivari, nacionālais rehabilitācijas centrs</t>
  </si>
  <si>
    <t>Kopā:</t>
  </si>
  <si>
    <t>Plānveida stacionāro veselības aprūpes pakalpojumu pārstrādes segšana</t>
  </si>
  <si>
    <t>Pieprasījums pēc plānveida stacionāro veselības aprūpes pakalpojumiem saglabājas augsts (iekļaujot piemaksājamās manipulācijas pie pakalpojumu programmām), īpaši šadās pakalpojumu programmās - gūžas locītavu endoprotezēšana un revīziju endoprotezēšana, hronisko pacientu aprūpe ar ārstēšanās ilgumu līdz 14 gultasdienām, mikrodiskektomija, mikrofenestrācija, paliatīvā aprūpe u.c.</t>
  </si>
  <si>
    <t>* tajā skaitā 2 142 705 euro apropriācias palielinājums atbilstoši FM 04.07.2025. rīkojumam Nr.1.1-1/12/206 "Par pārdali no budžeta programmas 01.00.00. "Apropriācijas rezerve"".</t>
  </si>
  <si>
    <t>apakšpasākuma "Primārās veselības aprūpes pakalpojumu nepārtrauktības nodrošināšanai" ietvaros īstenotai aktivitātei "Samaksa par ģimenes ārstu praksē nodarbināto ārstniecības personu aizvietošanu to attaisnotas prombūtnes laikā ar 2024.gada 1.februāri"*</t>
  </si>
  <si>
    <t>* tajā skaitā 180 446 euro apropriācias palielinājums atbilstoši FM 04.07.2025. rīkojumam Nr.1.1-1/12/206 "Par pārdali no budžeta programmas 01.00.00. "Apropriācijas rezerve""</t>
  </si>
  <si>
    <t>** tajā skaitā 90 556 euro apropriācias palielinājums atbilstoši FM 04.07.2025. rīkojumam Nr.1.1-1/12/206 "Par pārdali no budžeta programmas 01.00.00. "Apropriācijas rezerve""</t>
  </si>
  <si>
    <t>* tajā skaitā 2 802 467 euro apropriācias palielinājums atbilstoši FM 04.07.2025. rīkojumam Nr.1.1-1/12/206 "Par pārdali no budžeta programmas 01.00.00. "Apropriācijas rezerve""</t>
  </si>
  <si>
    <t>1. Pielikums MK rīkojuma projekta "Par apropriācijas pārdali" anotācijai</t>
  </si>
  <si>
    <t>Apakšprogramma</t>
  </si>
  <si>
    <r>
      <t xml:space="preserve">Pārdale no, </t>
    </r>
    <r>
      <rPr>
        <b/>
        <i/>
        <sz val="12"/>
        <color indexed="8"/>
        <rFont val="Times New Roman"/>
        <family val="1"/>
        <charset val="186"/>
      </rPr>
      <t>euro</t>
    </r>
  </si>
  <si>
    <r>
      <t xml:space="preserve">Pārdale uz, </t>
    </r>
    <r>
      <rPr>
        <b/>
        <i/>
        <sz val="12"/>
        <color indexed="8"/>
        <rFont val="Times New Roman"/>
        <family val="1"/>
        <charset val="186"/>
      </rPr>
      <t>euro</t>
    </r>
  </si>
  <si>
    <t>33.04.00 "Centralizēta medikamentu un materiālu iegāde"</t>
  </si>
  <si>
    <t>33.14.00 "Primārās ambulatorās veselības aprūpes nodrošināšana"</t>
  </si>
  <si>
    <t>Zarnu vēža un prostatas vēža skrīninga aptveres maksājuma nodrošināšanai ģimenes ārstu paraksēm</t>
  </si>
  <si>
    <t>33.15.00 "Laboratorisko izmeklējumu nodrošināšana ambulatorajā aprūpē"</t>
  </si>
  <si>
    <t>33.18.00 "Plānveida stacionāro veselības aprūpes pakalpojumu nodrošināšana"</t>
  </si>
  <si>
    <t>Pavisam  kopā:</t>
  </si>
  <si>
    <t>Pārdales 2025.gadam Veselības ministrijas apakšprogrammu ietvaros, tai skaitā starp prioritārajiem pasākumiem</t>
  </si>
  <si>
    <t>33.03.00 "Kompensējamo medikamentu un materiālu apmaksāšana"</t>
  </si>
  <si>
    <t>33.16.00 "Plānveida stacionāro veselības aprūpes pakalpojumu nodrošināšana"</t>
  </si>
  <si>
    <t>33.17.00 "Plānveida stacionāro veselības aprūpes pakalpojumu nodrošināšana"</t>
  </si>
  <si>
    <t xml:space="preserve">2024.-2026.gada PP "Veselības aprūpes pakalpojumu pieejamības un kvalitātes uzlabošana" </t>
  </si>
  <si>
    <t>Plānveida satcionāro pakalpojumu nodrošināšanai</t>
  </si>
  <si>
    <t>2023.-2025.gada PP Veselības aprūpes pakalpojumu onkoloģijas jomā uzlabošana apakšpasākumam "Laboratorijas pakalpojumi onkoloģijas pacientiem nodrošinot savlaicīgu diagnostiku"</t>
  </si>
  <si>
    <t xml:space="preserve">2023.-2025.gada PP "Veselības aprūpes pakalpojumu onkoloģijas jomā uzlabošana" </t>
  </si>
  <si>
    <r>
      <t xml:space="preserve">Plānotais finansējums 2025.gadam, </t>
    </r>
    <r>
      <rPr>
        <i/>
        <sz val="10"/>
        <color theme="1"/>
        <rFont val="Times New Roman"/>
        <family val="1"/>
      </rPr>
      <t>euro</t>
    </r>
    <r>
      <rPr>
        <sz val="10"/>
        <color theme="1"/>
        <rFont val="Times New Roman"/>
        <family val="1"/>
      </rPr>
      <t xml:space="preserve"> </t>
    </r>
  </si>
  <si>
    <r>
      <t xml:space="preserve"> Izpilde 2025. gada (janvāris-augusts), </t>
    </r>
    <r>
      <rPr>
        <i/>
        <sz val="10"/>
        <color theme="1"/>
        <rFont val="Times New Roman"/>
        <family val="1"/>
      </rPr>
      <t>euro</t>
    </r>
    <r>
      <rPr>
        <sz val="10"/>
        <color theme="1"/>
        <rFont val="Times New Roman"/>
        <family val="1"/>
      </rPr>
      <t xml:space="preserve"> </t>
    </r>
  </si>
  <si>
    <r>
      <t xml:space="preserve"> Izpildes prognoze 2025.gada (septembris- decembris), </t>
    </r>
    <r>
      <rPr>
        <i/>
        <sz val="10"/>
        <color theme="1"/>
        <rFont val="Times New Roman"/>
        <family val="1"/>
      </rPr>
      <t>euro</t>
    </r>
    <r>
      <rPr>
        <sz val="10"/>
        <color theme="1"/>
        <rFont val="Times New Roman"/>
        <family val="1"/>
      </rPr>
      <t xml:space="preserve">  </t>
    </r>
  </si>
  <si>
    <r>
      <t xml:space="preserve"> Izpildes prognoze 2025.gads, </t>
    </r>
    <r>
      <rPr>
        <i/>
        <sz val="10"/>
        <color theme="1"/>
        <rFont val="Times New Roman"/>
        <family val="1"/>
      </rPr>
      <t>euro</t>
    </r>
    <r>
      <rPr>
        <sz val="10"/>
        <color theme="1"/>
        <rFont val="Times New Roman"/>
        <family val="1"/>
      </rPr>
      <t xml:space="preserve"> </t>
    </r>
  </si>
  <si>
    <r>
      <t xml:space="preserve">KOPĀ, </t>
    </r>
    <r>
      <rPr>
        <b/>
        <i/>
        <sz val="10"/>
        <color theme="1"/>
        <rFont val="Times New Roman"/>
        <family val="1"/>
        <charset val="186"/>
      </rPr>
      <t>euro</t>
    </r>
  </si>
  <si>
    <r>
      <t xml:space="preserve"> Līdzekļu deficīts (-), </t>
    </r>
    <r>
      <rPr>
        <i/>
        <sz val="10"/>
        <color theme="1"/>
        <rFont val="Times New Roman"/>
        <family val="1"/>
      </rPr>
      <t xml:space="preserve">euro  </t>
    </r>
  </si>
  <si>
    <r>
      <t xml:space="preserve"> Līdzekļu deficīts (-), kuram tiek pārdalīts finansējums, </t>
    </r>
    <r>
      <rPr>
        <i/>
        <sz val="10"/>
        <color theme="1"/>
        <rFont val="Times New Roman"/>
        <family val="1"/>
      </rPr>
      <t>euro</t>
    </r>
  </si>
  <si>
    <r>
      <t xml:space="preserve"> Izpilde 2025. gada (janvāris-augusts), </t>
    </r>
    <r>
      <rPr>
        <i/>
        <sz val="10"/>
        <color theme="1"/>
        <rFont val="Times New Roman"/>
        <family val="1"/>
      </rPr>
      <t>euro</t>
    </r>
  </si>
  <si>
    <r>
      <t xml:space="preserve">Finansējumu 19 948 euro apmērā plānots pārdalīt ģimenes ārstu zarnu vēža skrīninga un prostatas vēža skrīninga aptveres maksājumam.
</t>
    </r>
    <r>
      <rPr>
        <b/>
        <sz val="10"/>
        <color theme="1"/>
        <rFont val="Times New Roman"/>
        <family val="1"/>
      </rPr>
      <t>Neizpildes iemesls:</t>
    </r>
    <r>
      <rPr>
        <sz val="10"/>
        <color theme="1"/>
        <rFont val="Times New Roman"/>
        <family val="1"/>
      </rPr>
      <t xml:space="preserve"> mazāks prakšu skaits, nekā bija paredzēts plānā.
Lai gan finansējuma izpilde sasniedza 98%, rezultativitātes rādītājs veido 97,5%. Šī atšķirība skaidrojama ar to, ka prakšu skaits, kas saņēma maksājumu, katru mēnesi bija mainīgs. Kopumā attiecīgajā periodā uzturēšanas maksājumu saņēma 1472 prakses, taču prakšu skaits nebija vienmērīgi sadalīts visa perioda laikā.</t>
    </r>
  </si>
  <si>
    <r>
      <t xml:space="preserve">Finansējumu 400 000 euro apmērā plānots pārdalīt ģimenes ārstu zarnu vēža skrīninga un prostatas vēža skrīninga aptveres maksājumam.
</t>
    </r>
    <r>
      <rPr>
        <b/>
        <sz val="10"/>
        <color theme="1"/>
        <rFont val="Times New Roman"/>
        <family val="1"/>
      </rPr>
      <t>Neizpildes iemesl</t>
    </r>
    <r>
      <rPr>
        <sz val="10"/>
        <color theme="1"/>
        <rFont val="Times New Roman"/>
        <family val="1"/>
      </rPr>
      <t>s - mazāks prakšu skaits, nekā bija paredzēts plānā.
Šī pasākuma izpilde tiks pārskatīta līdz 2025. gada 31. decembrim, un pastāv iespēja, ka palielināsies prakšu skaits, kas saņems maksājumu, jo ir saņemti iesniegumi par jaunām praksēm, kas atbilst piemaksas saņemšanas kritērijiem.</t>
    </r>
  </si>
  <si>
    <r>
      <t xml:space="preserve">Finansējumu 150 000 euro apmērā plānots pārdalīt ģimenes ārstu zarnu vēža skrīninga un prostatas vēža skrīninga aptveres maksājumam.
</t>
    </r>
    <r>
      <rPr>
        <b/>
        <sz val="10"/>
        <color theme="1"/>
        <rFont val="Times New Roman"/>
        <family val="1"/>
      </rPr>
      <t>Neizpildes iemesls</t>
    </r>
    <r>
      <rPr>
        <sz val="10"/>
        <color theme="1"/>
        <rFont val="Times New Roman"/>
        <family val="1"/>
      </rPr>
      <t xml:space="preserve"> - mazāks prakšu skaits, nekā bija paredzēts plānā. Lai gan finansējuma izpilde veido 98.1%, rezultativitātes rādītājs sasniedz 100.1%. Tas skaidrojams ar to, ka prakšu skaits, kas saņēma maksājumu, katru mēnesi bija mainīgs. Kopumā attiecīgajā periodā maksājumu saņēma 1472 prakses, tomēr prakšu skaits nebija vienmērīgi sadalīts visa perioda ietvaros.</t>
    </r>
  </si>
  <si>
    <r>
      <t xml:space="preserve">Plānotais finansējums 2025.gadam, </t>
    </r>
    <r>
      <rPr>
        <i/>
        <sz val="10"/>
        <color theme="1"/>
        <rFont val="Times New Roman"/>
        <family val="1"/>
      </rPr>
      <t>euro</t>
    </r>
    <r>
      <rPr>
        <sz val="10"/>
        <color theme="1"/>
        <rFont val="Times New Roman"/>
        <family val="1"/>
      </rPr>
      <t>*</t>
    </r>
  </si>
  <si>
    <r>
      <t xml:space="preserve">Finansējumu 3 456 986 </t>
    </r>
    <r>
      <rPr>
        <i/>
        <sz val="10"/>
        <color theme="1"/>
        <rFont val="Times New Roman"/>
        <family val="1"/>
      </rPr>
      <t>euro</t>
    </r>
    <r>
      <rPr>
        <sz val="10"/>
        <color theme="1"/>
        <rFont val="Times New Roman"/>
        <family val="1"/>
      </rPr>
      <t xml:space="preserve"> apmērā plānots novirzīt plānveida stacionāro veselības aprūpes pakalpojumu pārstrādes segšanai.
</t>
    </r>
    <r>
      <rPr>
        <b/>
        <sz val="10"/>
        <color theme="1"/>
        <rFont val="Times New Roman"/>
        <family val="1"/>
      </rPr>
      <t>Neizpildes iemesls</t>
    </r>
    <r>
      <rPr>
        <sz val="10"/>
        <color theme="1"/>
        <rFont val="Times New Roman"/>
        <family val="1"/>
      </rPr>
      <t xml:space="preserve"> - No 2024. gada 1. jūlija paplašināti Ministru kabineta noteikumu Nr. 555 nosacījumi, ļaujot vairākām ģimenes ārstu praksēm piesaistīt papildu darbiniekus. Tomēr ģimenes ārstu prakšu aptauja rāda, ka daudzas prakses šo iespēju nevar izmantot personāla trūkuma dēļ. Saistībā ar to veidojas būtiska paredzētā finansējuma neizpilde.</t>
    </r>
  </si>
  <si>
    <r>
      <t xml:space="preserve">KOPĀ, </t>
    </r>
    <r>
      <rPr>
        <i/>
        <sz val="10"/>
        <color theme="1"/>
        <rFont val="Times New Roman"/>
        <family val="1"/>
      </rPr>
      <t>euro</t>
    </r>
  </si>
  <si>
    <r>
      <t xml:space="preserve">KOPĀ, </t>
    </r>
    <r>
      <rPr>
        <b/>
        <i/>
        <sz val="10"/>
        <color theme="1"/>
        <rFont val="Times New Roman"/>
        <family val="1"/>
      </rPr>
      <t>euro</t>
    </r>
  </si>
  <si>
    <r>
      <t xml:space="preserve">Finansējumu 230 577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daļējai iztrūkuma segšanai.
</t>
    </r>
    <r>
      <rPr>
        <b/>
        <sz val="10"/>
        <color theme="1"/>
        <rFont val="Times New Roman"/>
        <family val="1"/>
        <charset val="186"/>
      </rPr>
      <t>Neizpildes iemesls</t>
    </r>
    <r>
      <rPr>
        <sz val="10"/>
        <color theme="1"/>
        <rFont val="Times New Roman"/>
        <family val="1"/>
        <charset val="186"/>
      </rPr>
      <t xml:space="preserve"> - pie sākotnējiem aprēķiniem tika prognozēts, ka kopējais lietotāju skaits 2025. gadā būs būtiski lielāks. Bet šobrīd salīdzinoši ļoti maz ir tādi lietotāji, kam palika 18 gadi pirms šīs programmas ieviešanas (2023. gadā un pirms). Ir lietotāji, kas kaut kādu iemeslu dēļ nav atsākuši insulīna sūkņu lietošanu.</t>
    </r>
  </si>
  <si>
    <r>
      <t xml:space="preserve">Finansējumu 41 972 euro apmērā plānots pārdalīt 2023.-2025.gada prioritārā pasākuma "Veselības aprūpes pakalpojumu onkoloģijas jomā uzlabošana" apakšpasākumam "Veselības aprūpes pakalpojumu pieejamības un kvalitātes uzlabošana"  aktivitātei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daļējai iztrūkuma segšanai.
</t>
    </r>
    <r>
      <rPr>
        <b/>
        <sz val="10"/>
        <color theme="1"/>
        <rFont val="Times New Roman"/>
        <family val="1"/>
        <charset val="186"/>
      </rPr>
      <t>Neizpildes iemesls</t>
    </r>
    <r>
      <rPr>
        <sz val="10"/>
        <color theme="1"/>
        <rFont val="Times New Roman"/>
        <family val="1"/>
        <charset val="186"/>
      </rPr>
      <t xml:space="preserve"> - ir ierobežots skaits, cik jaunus lietotājus katru mēnesi var apmācīt insulīna sensoru lietošanai. Šobrīd tiek apmācīts maksimālais iespējamais lietotāju skaits mēnesī. Pietrūkst speciālistu slodzes diabēta apmācības kabinetā, ko ietekmē arī 18-24 gadīgo programmas ieviešana.</t>
    </r>
  </si>
  <si>
    <r>
      <t xml:space="preserve">Finansējumu 106 505 euro apmērā plānots pārdalīt 2023.-2025. gada prioritārā pasākuma "Veselības aprūpes pakalpojumu onkoloģijas jomā uzlabošana" apakšpasākumam "Veselības aprūpes pakalpojumu pieejamības un kvalitātes uzlabošana" aktivitātei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daļējai iztrūkuma segšanai.
</t>
    </r>
    <r>
      <rPr>
        <b/>
        <sz val="10"/>
        <color theme="1"/>
        <rFont val="Times New Roman"/>
        <family val="1"/>
        <charset val="186"/>
      </rPr>
      <t>Neizpildes iemesls</t>
    </r>
    <r>
      <rPr>
        <sz val="10"/>
        <color theme="1"/>
        <rFont val="Times New Roman"/>
        <family val="1"/>
        <charset val="186"/>
      </rPr>
      <t xml:space="preserve"> - glikozes sensoru lietotāju skaits un tā pieaugums tika aprēķināts balstoties uz vēsturiskajiem datiem par esošajiem nepilngadīgajiem sensoru lietotājiem, jauno nepilngadīgo sensoru lietotājiem, kā arī tika ņemti vērā tie sensoru lietotāji, kuri paliks pilngadīgi šā gada laikā un vairs neatbilst līguma noteikumiem.
Vislielāko ietekmi veido Libre un Dexcom sensoru lietotāji un šo sensoru lietotāju skaita pieauguma temps ir krities un šobrīd uz oktobri aktīvo lietotāju skaits pat ir nedaudz krities salīdzinot ar gada sākumu.
Jāpiezīmē, ka Libre sensori ir dārgāki par Dexcom sensoriem un BKUS strādā pie tā, lai Libre sensoru lietotāji pakāpeniski pārietu uz Dexcom sensoriem, kas samazinātu vidējās izmaksas uz vienu lietotāju.
Iepriekš minēto iemeslu dēļ rodas neizpilde Glikozes sensoriem.</t>
    </r>
  </si>
  <si>
    <r>
      <t xml:space="preserve">Finansējumu 102 383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apakšaktivitātes "Pārskatīti veselības aprūpes tarifi onkoloģijā" daļējai iztrūkuma segšanai.
</t>
    </r>
    <r>
      <rPr>
        <b/>
        <sz val="10"/>
        <color theme="1"/>
        <rFont val="Times New Roman"/>
        <family val="1"/>
        <charset val="186"/>
      </rPr>
      <t>Neizpildes iemesls -</t>
    </r>
    <r>
      <rPr>
        <sz val="10"/>
        <color theme="1"/>
        <rFont val="Times New Roman"/>
        <family val="1"/>
        <charset val="186"/>
      </rPr>
      <t xml:space="preserve"> ir noslēgts līgums nr. NVD-5/13-2025 - Par kompensējamo zāļu saraksta auditu diagnozēm onkoloģijā (DRG eksperts, audits) ar VSIA "Paula Stradiņa klīniskā universitātes slimnīca" par summu 127 776 eiro ar PVN; un ir noslēgts līgums nr.NVD-5/10-2025 - Par vienota kritēriju modeļa izstrādi zāļu iegādes kompensācijas sistēmas attīstībai (vadlīniju izstrāde) ar SIA "Health Economics Consulting" par summu 93 170 eiro ar PVN. Izsludināts iepirkums IP-47 VM NVD 2024/30 Klīniskās kodēšanas audits stacionārajās ārstniecības iestādēs un metodiskā materiāla ar kodēšanas vadlīnijām izstrāde par 60 000 eiro, piedāvājumu atvēršana paredzēta 05.11.2025., ņemot vērā līguma noslēgšanas procesu indikatīvā izpilde 2025.gadā prognozēta 30 000 euro.</t>
    </r>
  </si>
  <si>
    <t>2. Pielikums MK rīkojuma projekta "Par apropriācijas pārdali" anotācijai</t>
  </si>
  <si>
    <t xml:space="preserve">Veselības ministrijas fiskāli neitrāls pasākums 2025. gadā "Veselības aprūpes  pakalpojumu onkoloģijas un citu slimību,  kurām neatliekami turpināma terapija,  uzlabošana" </t>
  </si>
  <si>
    <t xml:space="preserve">45.01.00 "Veselības aprūpes finansējuma administrēšana un ekonomiskā novērtēšana" </t>
  </si>
  <si>
    <t>Ģimenes ārstu zarnu vēža skrīninga aptveres maksājums</t>
  </si>
  <si>
    <t xml:space="preserve">Pieprasījums pēc zobārstniecības pakalpojumiem saglabājas augsts un esošais finansējums nav pietiekams, lai pilnībā segtu visas izmaksas zobārstniecības iestādēm. Izmaksas un apmeklējumu skaits pārsniedz plānoto, kā rezultātā zobārstniecības pakalpojumu sniedzējiem veidojas līgumu summas pārstrāde, kas norāda uz papildu nepieciešamo līdzekļu apjomu. Papildus līdzekļu piešķiršana ļaus segt radušos pārstrādi zobārstniecības iestādēm un nodrošinās lielāku valsts apmaksāto zobārstniecības pakalpojumu skaitu. Atbilstoši vidējām izmaksām valstī, tiks nodrošināti papildus 8 228 zobārstniecības apmeklējumi. </t>
  </si>
  <si>
    <t>apakšpasākuma "Informācijas komunikācijas tehnoloģiju un vienotās veselības nozares elektroniskās informācijas sistēmas (e-veselības) uzturēšana un nepārtrauktas darbības nodrošināšana" aktivitātei "Kvalitātes pakalpojuma uzlabošana"</t>
  </si>
  <si>
    <t>apakšpasākumam "Kompensējamo zāļu kompensācijas apmēra palielināšanai no 50% uz 75% no 2024. gada 1. jūlija"</t>
  </si>
  <si>
    <t>apakšpasākuma "Primārās veselības aprūpes pakalpojumu nepārtrauktības nodrošināšanai" ietvaros īstenotai aktivitātei "Ikmēneša fiksētā maksājuma paaugstināšanu ģimenes ārstu praksēm ar 2024.gada 1.februāri"**</t>
  </si>
  <si>
    <t>Līdzekļu ekonomija 2024.-2026.gada prioritārā pasākuma "Veselības aprūpes pakalpojumu pieejamības un kvalitātes uzlabošana" apakšpasākumiem  "Veselības aprūpes pakalpojumu pieejamības un kvalitātes uzlabošana" ietvaros īstenotai aktivitātei "Ģimenes ārstu prakses uzturēšanas maksājums (trīs mēneši)" 19 948 euro apmērā,"Primārās veselības aprūpes pakalpojumu nepārtrauktības nodrošināšanai" ietvaros īstenotai aktivitātei "Samaksa par ģimenes ārstu praksē nodarbināto ārstniecības personu aizvietošanu to attaisnotas prombūtnes laikā ar 2024.gada 1.februāri" 400 000 euro apmērā un "Primārās veselības aprūpes pakalpojumu nepārtrauktības nodrošināšanai" ietvaros īstenotai aktivitātei "Ikmēneša fiksētā maksājuma paaugstināšanu ģimenes ārstu praksēm ar 2024.gada 1.februāri" 150 000 euro apmērā, kur pavisam kopā veido 569 948 euro, no tā 569 948 euro tiks novirzīti ģimenes ārstu zarnu vēža skrīninga un prostatas vēža skrīninga aptveres maksājuma veikšanai.</t>
  </si>
  <si>
    <t>apakšpasākuma "Mātes un bērna veselības uzlabošana" ietvaros īstenotai aktivitātei "Reproduktīvā materiāla saglabāšana pacientiem pirms ķīmijterapijas procedūrām, nodrošinot reproduktīvā materiāla uzglabāšanu un sieviešu kontracepcija - laboratorija"</t>
  </si>
  <si>
    <t>2024.-2026.gada prioritārā pasākuma "Veselības aprūpes pakalpojumu pieejamības un kvalitātes uzlabošana" apakšpasākuma "Veselības aprūpes pakalpojumu onkoloģijas jomā uzlabošana" aktivitātei "Veselības aprūpes pakalpojumu pieejamība pēc onkoloģijas diagnozes noteikšanas (dinamiskā novērošana) - ambulatori"</t>
  </si>
  <si>
    <t>apakšpasākuma "Veselības aprūpes pakalpojumu pieejamības un kvalitātes uzlabošana" ietvaros īstenotai aktivitātei "USG tarifa pārskatīšana bērniem"</t>
  </si>
  <si>
    <t>apakšpasākuma "Mātes un bērna veselības uzlabošana" ietvaros īstenotai aktivitātei "Reproduktīvā materiāla saglabāšana pacientiem pirms ķīmijterapijas procedūrām, nodrošinot reproduktīvā materiāla uzglabāšanu un sieviešu kontracepcija - ambulatori"</t>
  </si>
  <si>
    <t>apakšpasākuma "Psihiskās veselības uzlabošana" ietvaros īstenotai aktivitātei "Mobilās psihiatriskās komandas izveide psihiatrisko pacientu aprūpei mājās"</t>
  </si>
  <si>
    <t>apakšpasākuma "Psihiskās veselības uzlabošana" ietvaros īstenotai aktivitātei "Agrīnas intervences programmu pēc akūtiem psihotiskiem traucējumiem (pirmā epizode) izstrāde un ieviešana (no 01.04.2024)"</t>
  </si>
  <si>
    <t>apakšpasākuma "Profilakses pasākumi" ietvaros īstenotai aktivitātei "Ilgtermiņa farmakoterapijas programmas ar metadonu mobilā vienība medikamenta izdalīšanai ārstniecībā esošiem pacientiem - metadona izdale "</t>
  </si>
  <si>
    <t>Līdzekļu ekonomija 2024.-2026.gada prioritārā pasākuma "Veselības aprūpes pakalpojumu pieejamības un kvalitātes uzlabošana" apakšpasākumam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apakšaktivitātes "Atbrīvot narkoloģijas pacientus  (diagnožu grupa SSK-10 F10, F11-F16, F18-F19) no pacientu līdzmaksājumiem, saņemot veselības aprūpes pakalpojumus narkoloģijā  ambulatori un stacionārā - izmeklējumi"  veidojas 7 620 euro, no tā 7 620 euro tiks novirzīti 2024.-2026.gada prioritārā pasākuma "Veselības aprūpes pakalpojumu pieejamības un kvalitātes uzlabošana" apakšpasākuma "Veselības aprūpes pakalpojumu pieejamības un kvalitātes uzlabošana" ietvaros īstenotai aktivitātei "USG tarifa pārskatīšana bērniem" īstenošanai.</t>
  </si>
  <si>
    <t>apakšpasākuma "Veselības aprūpes pakalpojumu pieejamības un kvalitātes uzlabošana" ietvaros īstotās aktivitātes "Insulīna sūkņu pieejamība cukura diabēta pacientiem un nepārtrauktās glikozes monitorēšanas sistēmas līdz 18 gadiem" apakšaktivitātei "Glikozes monitorēšanas sistēmas"</t>
  </si>
  <si>
    <t>apakšpasākuma "SIA "Rīgas Austrumu klīniskā universitātes slimnīca", VSIA "Paula Stradiņa klīniskā universitātes slimnīca", VSIA "Bērnu klīniskā universitātes slimnīca" un VSIA "Rīgas psihiatrijas un narkoloģijas centrs" iekārtu iegāde un, lai turpinātu nodrošināt bērniem hematonkoloģisko preparātu ievadi mājas apstākļos" ietvaros īstenotai aktivitātei "Programmas izveide VSIA "Bērnu klīniskā universitātes slimnīca" hematonkoloģisko preparātu ievadei mājas apstākļos"</t>
  </si>
  <si>
    <t>Līdzekļu ekonomija 2024.-2026.gada prioritārā pasākuma "Veselības aprūpes pakalpojumu pieejamības un kvalitātes uzlabošana" apakšpasākumiem "Veselības aprūpes pakalpojumu pieejamības un kvalitātes uzlabošana" īstenotai aktivitātei "Transplantācijas procesa attīstība Latvijā" ietvaros īstenotai apakšaktivitātei "Apvienotās laboratorijas audu saderības un imūnģenētikas jomas attīstība - laboratorija" 30 805 euro apmērā, "Mātes un bērna veselības uzlabošana" ietvaros īstenotai aktivitātei "Reproduktīvā materiāla saglabāšana pacientiem pirms ķīmijterapijas procedūrām, nodrošinot reproduktīvā materiāla uzglabāšanu un sieviešu kontracepcija - laboratorija" 8 813 euro apmērā un  "Profilakses pasākumi" ietvaros īstenotai aktivitātei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apakšaktivitātei "Atbrīvot narkoloģijas pacientus  (diagnožu grupa SSK-10 F10, F11-F16, F18-F19) no pacientu līdzmaksājumiem, saņemot veselības aprūpes pakalpojumus narkoloģijā  ambulatori un stacionārā - laboratoriskie izmeklējumi" īstenošanai 15 568 euro apmērā, kur pavisam kopā veido 55 186 euro, no tā 55 186 euro tiks novirzīti 2023.-2025. gada prioritārā pasākuma "Veselības aprūpes pakalpojumu onkoloģijas jomā uzlabošana" apakšpasākumam "Laboratorijas pakalpojumi onkoloģijas pacientiem nodrošinot savlaicīgu diagnostiku" īstenošanai.</t>
  </si>
  <si>
    <t>*Izpildes prognoze septembrim-decembrim aprēķināta proporcionāli izpildei par janvāri-augustu. 2 034 195/8 = 254 274,38  euro; 254 274,38 *4 = 1 017 098euro</t>
  </si>
  <si>
    <t>USG tarifa pārskatīšana bērniem (piemaksai par bērniem veiktu USG un doplerogrāfiju stacionāriem pacientiem līdz 18 gadu vecumam.)</t>
  </si>
  <si>
    <t>** Laboratorisko pakalpojumu plānošanā tiek ņemta vērā ne tikai 2025. gada 8 mēnešu faktiskā izpilde, bet ņemti vērā arī ar sezonalitāti saistītie riski.</t>
  </si>
  <si>
    <t>2024.-2026. gada prioritārā pasākuma "Veselības aprūpes pakalpojumu pieejamības un kvalitātes uzlabošana" apakšpasākuma "Mātes un bērna veselības uzlabošana" aktivitātei "Zobārstniecības pakalpojumu pilnveidošana bērniem, lai uzlabotu pakalpojumu pieejamību bērniem - apjoma palielināšana"</t>
  </si>
  <si>
    <t>Līdzekļu ekonomija 2024.-2026.gada prioritārā pasākuma "Veselības aprūpes pakalpojumu pieejamības un kvalitātes uzlabošana" apakšpasākumam"Laboratorijas pakalpojumu nodrošināšana, lai 2024.gadā segtu izdevumus, kas pārsniedz līgumos ar pakalpojuma sniedzējiem iekļauto apjomu" veidojas 524 277 euro, no tā 524 277 euro tiks novirzīti 2024.-2026. gada prioritārā pasākuma "Veselības aprūpes pakalpojumu pieejamības un kvalitātes uzlabošana" apakšpasākuma "Mātes un bērna veselības uzlabošana" aktivitātei "Zobārstniecības pakalpojumu pilnveidošana bērniem, lai uzlabotu pakalpojumu pieejamību bērniem - apjoma palielināšana" īstenošanai.</t>
  </si>
  <si>
    <t>Līdzekļu ekonomija 2024.-2026.gada prioritārā pasākuma "Veselības aprūpes pakalpojumu pieejamības un kvalitātes uzlabošana" apakšpasākumiem "Veselības aprūpes pakalpojumu onkoloģijas jomā uzlabošana" ietvaros īstenotai aktivitātei "Pacientiem ar mākslīgo atveri aprūpi (stoma) veselības aprūpes uzlabošana" 1 107 802 euro apmērā, apakšpasākuma "Mātes un bērna veselības uzlabošana" ietvaros īstenotai aktivitātei "Reproduktīvā materiāla saglabāšana pacientiem pirms ķīmijterapijas procedūrām, nodrošinot reproduktīvā materiāla uzglabāšanu un sieviešu kontracepcija -medikamenti" 167 365 euro apmērā un "Kompensējamo zāļu kompensācijas apmēra palielināšanai no 50% uz 75% no 2024. gada 1. jūlija" 828 802 euro apmērā, kur pavisam kopā veido 2 103 969 euro, no tā 2 103 969 euro tiks novirzīti Veselības ministrijas fiskāli neitrāla pasākuma 2025. gadā "Veselības aprūpes  pakalpojumu onkoloģijas un citu slimību,  kurām neatliekami turpināma terapija,  uzlabošana" apakšpasākuma "Esošās onkoloģijas terapijas turpināšana" īstenošanai.</t>
  </si>
  <si>
    <t>apakšpasākuma "Profilakses pasākumi" ietvaros īstenotai aktivitātei "Narkologu sniegtajiem ambulatorajiem un stacionāriem veselības aprūpes pakalpojumiem tarifu un kārtības pārskatīšana - tarifa pārrēķins (aprūpes epizodes palielinājums un ekspertīzes tarifa palielinājums)"</t>
  </si>
  <si>
    <t xml:space="preserve">Līdzekļu ekonomija 2024.-2026.gada prioritārā pasākuma "Veselības aprūpes pakalpojumu pieejamības un kvalitātes uzlabošana" apakšpasākumiem  "Veselības aprūpes pakalpojumu pieejamības un kvalitātes uzlabošana" ietvaros īstenotai aktivitātei "Grūtnieču konsultācijas" 403 827 euro apmērā, "Veselības aprūpes pakalpojumu pieejamības un kvalitātes uzlabošana" ietvaros īstenotai aktivitātei "USG tarifa pārskatīšana bērniem" 100 435 euro apmērā, "Reto slimību diagnostikas attīstība" apakšaktivitātes "Laboratorisko un diagnostisko izmeklējumu klāsta paplašināšana un pakalpojumu pieejamības pacientiem ar retajām slimībām nodrošināšana - miega izmeklējumi" 87 776 euro apmērā,  "Mātes un bērna veselības uzlabošana" ietvaros īstenotai aktivitātei "Reproduktīvā materiāla saglabāšana pacientiem pirms ķīmijterapijas procedūrām, nodrošinot reproduktīvā materiāla uzglabāšanu un sieviešu kontracepcija - ambulatori" 189 699 euro apmērā,  "Psihiskās veselības uzlabošana" ietvaros īstenotai aktivitātei "Mobilās psihiatriskās komandas izveide psihiatrisko pacientu aprūpei mājās" 10 000 euro apmērā, "Psihiskās veselības uzlabošana" ietvaros īstenotai aktivitātei "Agrīnas intervences programmu pēc akūtiem psihotiskiem traucējumiem (pirmā epizode) izstrāde un ieviešana (no 01.04.2024)" 48 771 euro apmērā,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apakšaktivitātes "Atbrīvot narkoloģijas pacientus  (diagnožu grupa SSK-10 F10, F11-F16, F18-F19) no pacientu līdzmaksājumiem, saņemot veselības aprūpes pakalpojumus narkoloģijā  ambulatori un stacionārā  - līdzmaksājuma nodrošināšana" 157 783 euro apmērā,  "Profilakses pasākumi" ietvaros īstenotai aktivitātei "Narkologu sniegtajiem ambulatorajiem un stacionāriem veselības aprūpes pakalpojumiem tarifu un kārtības pārskatīšana - tarifa pārrēķins (aprūpes epizodes palielinājums un ekspertīzes tarifa palielinājums)" 40 491 euro apmērā un  "Profilakses pasākumi" ietvaros īstenotai aktivitātei "Ilgtermiņa farmakoterapijas programmas ar metadonu mobilā vienība medikamenta izdalīšanai ārstniecībā esošiem pacientiem - metadona izdale " 8 756 euro apmērā, kur pavisam kopā veido 1 047 538 euro, no tā 1 047 538 euro tiks novirzīti 2024.-2026.gada prioritārā pasākuma "Veselības aprūpes pakalpojumu pieejamības un kvalitātes uzlabošana" apakšpasākumam "Veselības aprūpes pakalpojumu onkoloģijas jomā uzlabošana" aktivitātei "Veselības aprūpes pakalpojumu pieejamība pēc onkoloģijas diagnozes noteikšanas (dinamiskā novērošana) - ambulatori" īstenošanai. </t>
  </si>
  <si>
    <t xml:space="preserve">Līdzekļu ekonomija 2024.-2026.gada prioritārā pasākuma "Veselības aprūpes pakalpojumu pieejamības un kvalitātes uzlabošana" apakšpasākumiem  "Veselības aprūpes pakalpojumu pieejamības un kvalitātes uzlabošana" ietvaros īstenotās aktivitātes "Pārskatīts ēdināšanas gultas dienas tarifs - stacionāri" 126 629 euro apmērā,  "Veselības aprūpes pakalpojumu pieejamības un kvalitātes uzlabošana" ietvaros īstenotai aktivitātei "Insulīna sūkņu pieejamību cukura diabēta pacientiem no 18 - 24 gadu vecumam" 230 577 euro apmērā,"Veselības aprūpes pakalpojumu pieejamības un kvalitātes uzlabošana" ietvaros īstenotās aktivitātes "Insulīna sūkņu pieejamība cukura diabēta pacientiem un nepārtrauktās glikozes monitorēšanas sistēmas līdz 18 gadiem" apakšaktivitātei "Insulīna sūkņi" 41 972 euro apmērā,   "Veselības aprūpes pakalpojumu pieejamības un kvalitātes uzlabošana" ietvaros īstotās aktivitātes "Insulīna sūkņu pieejamība cukura diabēta pacientiem un nepārtrauktās glikozes monitorēšanas sistēmas līdz 18 gadiem"  apakšaktivitātei "Glikozes monitorēšanas sistēmas" 106 505 euro apmērā, "Reto slimību diagnostikas attīstība" apakšaktivitātes  "Laboratorisko un diagnostisko izmeklējumu klāsta paplašināšana un pakalpojumu pieejamības pacientiem ar retajām slimībām nodrošināšana - kaulu trausluma ķirurģija bērniem"  58 656 euro apmērā,  "Mātes un bērna veselības uzlabošan" ietvaros īstenotās aktivitātes "Reproduktīvā materiāla saglabāšana pacientiem pirms ķīmijterapijas procedūrām, nodrošinot reproduktīvā materiāla uzglabāšanu un sieviešu kontracepcija - stacionāri" 5 181 euro apmērā,  "SIA "Rīgas Austrumu klīniskā universitātes slimnīca", VSIA "Paula Stradiņa klīniskā universitātes slimnīca", VSIA "Bērnu klīniskā universitātes slimnīca" un VSIA "Rīgas psihiatrijas un narkoloģijas centrs" iekārtu iegāde un, lai turpinātu  "Psihiskās veselības uzlabošana" ietvaros īstenotai aktivitātei "Zobārstniecības (t.sk., minimāli nepieciešamā protezēšana), optometrista pakalpojumu un nepieciešamo palīglīdzekļu nodrošināšana personām, kurām ir nepieciešama ilgstoša ārstēšana psihiatriskā profila slimnīcās" 47 436 euro apmērā un apakšpasākuma "Jaunu manipulāciju iekļaušana valsts apmaksāto pakalpojumu klāstā" aktivitātes "Intraoperatīvās monitorēšanas manipulāciju iekļaušanu no valsts budžeta apmaksājamo pakalpojumu klāstā" 448 700 euro apmērā, kur pavisam kopā veido 1 101 656 euro, no tā 678 054 euro tiks novirzīti  2023.-2025. gada prioritārā pasākumam "Veselības aprūpes pakalpojumu onkoloģijas jomā uzlabošana"  apakšpasākumam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50 617 euro 2024.-2026. gada prioritārā pasākuma "Veselības aprūpes pakalpojumu pieejamības un kvalitātes uzlabošana" apakšpasākumam "Veselības aprūpes pakalpojumu pieejamības un kvalitātes uzlabošana" aktivitātei "Pārskatīti mugurkaula ķirurģijas manipulācijas un piemaksas – akūtās ķirurģijas izmeklējumu un operāciju tarifi atbilstoši faktiskajām izmaksām" īstenošanai, 270 651 euro 2024.-2026. gada prioritārā pasākumam "Veselības aprūpes pakalpojumu pieejamības un kvalitātes uzlabošana" apakšpasākuma "Veselības aprūpes pakalpojumu onkoloģijas jomā uzlabošana" aktivitātes "Biopsijas izmeklējumu pieejamība onkoloģisko slimību pacientiem - stacionāri", 43 678 euro 2024.-2026. gada prioritārā pasākumam "Veselības aprūpes pakalpojumu pieejamības un kvalitātes uzlabošana" apakšpasākuma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apakšaktivitātes "Atbrīvot narkoloģijas pacientus  (diagnožu grupa SSK-10 F10, F11-F16, F18-F19) no pacientu līdzmaksājumiem, saņemot veselības aprūpes pakalpojumus narkoloģijā ambulatori un stacionārā – līdzmaksājuma nodrošināšana", 2 136 euro 2024.-2026. gada prioritārā pasākumam "Veselības aprūpes pakalpojumu pieejamības un kvalitātes uzlabošana" apakšpasākumam "Profilakses pasākumi" aktivitātei "Narkologu sniegtajiem ambulatorajiem un stacionāriem veselības aprūpes pakalpojumiem tarifu un kārtības pārskatīšana -tarifa pārrēķins" un 56 520 euro 2025. gada fiskāli neitrāla pasākuma "Veselības aprūpes pakalpojumu onkoloģijas un citu slimību, kurām neatliekami turpināma terapija, uzlabošana" apakšpasākuma "Onkoloģija, hematoloģija" aktivitātes "Laboratoriska paredzes biomarķieru noteikšanas nodrošināšana" īstenošanai. </t>
  </si>
  <si>
    <r>
      <t xml:space="preserve">Finansējumu 1 107 802 </t>
    </r>
    <r>
      <rPr>
        <i/>
        <sz val="10"/>
        <color theme="1"/>
        <rFont val="Times New Roman"/>
        <family val="1"/>
      </rPr>
      <t>euro</t>
    </r>
    <r>
      <rPr>
        <sz val="10"/>
        <color theme="1"/>
        <rFont val="Times New Roman"/>
        <family val="1"/>
      </rPr>
      <t xml:space="preserve"> apmērā plānots novirzīt 2025.-2027. gada prioritārā pasākuma "Veselības aprūpes pakalpojumu onkoloģijas un citu slimību, kurām neatliekami turpināma terapija, uzlabošan" apakšpasākuma "Esošās onkoloģijas terapijas turpināšana" iztrūkuma daļējai segšanai, kas ļautu nodrošināt terapijas turpināšanu onkoloģijas pacientiem.
</t>
    </r>
    <r>
      <rPr>
        <b/>
        <sz val="10"/>
        <color theme="1"/>
        <rFont val="Times New Roman"/>
        <family val="1"/>
      </rPr>
      <t>Neizpildes iemesls</t>
    </r>
    <r>
      <rPr>
        <sz val="10"/>
        <color theme="1"/>
        <rFont val="Times New Roman"/>
        <family val="1"/>
      </rPr>
      <t xml:space="preserve"> - salīdzinot pacientu skaitu 2024. gada 8. mēnešos ar 2025.gada 8 mēnešiem, konstatēts, ka pacientu ar mākslīgo atveri pieaudzis par 111 pacientiem. Līdz šim stomas preču izlietojums nenotiek tik strauji, kā plānots. Šobrīd pacienti ar stomām tiek nodrošināti atbilstoši Eiropas vadlīnijās noteiktajam minimālajam līmenim.</t>
    </r>
  </si>
  <si>
    <r>
      <t xml:space="preserve">Finansējumu 167 365 </t>
    </r>
    <r>
      <rPr>
        <i/>
        <sz val="10"/>
        <color theme="1"/>
        <rFont val="Times New Roman"/>
        <family val="1"/>
      </rPr>
      <t>euro</t>
    </r>
    <r>
      <rPr>
        <sz val="10"/>
        <color theme="1"/>
        <rFont val="Times New Roman"/>
        <family val="1"/>
      </rPr>
      <t xml:space="preserve"> apmērā plānots novirzīt 2025.-2027. gada prioritārā pasākuma "Veselības aprūpes  pakalpojumu onkoloģijas un citu slimību,  kurām neatliekami turpināma terapija,  uzlabošan" apakšpasākuma "Esošās onkoloģijas terapijas turpināšana" iztrūkuma daļējai segšanai, kas ļautu nodrošināt terapijas turpināšanu onkoloģijas pacientiem.
</t>
    </r>
    <r>
      <rPr>
        <b/>
        <sz val="10"/>
        <color theme="1"/>
        <rFont val="Times New Roman"/>
        <family val="1"/>
      </rPr>
      <t>Neizpildes iemesls</t>
    </r>
    <r>
      <rPr>
        <sz val="10"/>
        <color theme="1"/>
        <rFont val="Times New Roman"/>
        <family val="1"/>
      </rPr>
      <t xml:space="preserve"> - Atbilstoši ārstniecības iestāžu sniegtajai informācijai, sākotnēji prognozētais provizoriskais pacientu skaits, kuri izmantos iespēju saglabāt reproduktīvo materiālu pirms ķīmijterapijas uzsākšanas, ir lielāks par faktisko. 2025.gadā izpildes aktivitāte ir atkarīga no izmeklējumiem ambulatorā sadaļā, jo medikamenti nepieciešami tikai tajā gadījumā, ja pacients ir nolēmis veikt procedūru reproduktīvā materiāla saglabāšanai un viņa veselības stāvoklis to atļauj.</t>
    </r>
  </si>
  <si>
    <r>
      <t xml:space="preserve">Finansējumu 828 802 </t>
    </r>
    <r>
      <rPr>
        <i/>
        <sz val="10"/>
        <color theme="1"/>
        <rFont val="Times New Roman"/>
        <family val="1"/>
      </rPr>
      <t>euro</t>
    </r>
    <r>
      <rPr>
        <sz val="10"/>
        <color theme="1"/>
        <rFont val="Times New Roman"/>
        <family val="1"/>
      </rPr>
      <t xml:space="preserve"> apmērā plānots novirzīt 2025.-2027. gada prioritārā pasākuma "Veselības aprūpes  pakalpojumu onkoloģijas un citu slimību,  kurām neatliekami turpināma terapija,  uzlabošan" apakšpasākuma "Esošās onkoloģijas terapijas turpināšana" iztrūkuma daļējai segšanai, kas ļautu nodrošināt terapijas turpināšanu onkoloģijas pacientiem.
</t>
    </r>
    <r>
      <rPr>
        <b/>
        <sz val="10"/>
        <color theme="1"/>
        <rFont val="Times New Roman"/>
        <family val="1"/>
      </rPr>
      <t>Neizpildes iemesls</t>
    </r>
    <r>
      <rPr>
        <sz val="10"/>
        <color theme="1"/>
        <rFont val="Times New Roman"/>
        <family val="1"/>
      </rPr>
      <t xml:space="preserve"> - Pārskata periodā medikamenti atsevišķām diagnozēm ar 75% kompensāciju tika izsniegti mazākam pacientu skaitam nekā bija sākotnēji plānots. Plānošanā tika ņemts vērā pieņēmums, ka visi pacienti, ņemot vērā valsts nekompensējamo daļu, nevar atļauties saņemt nepieciešamo terapiju dēl līdzmaksājuma, bet fakstiski pēc kompensācijas apmēra palielināšanas pacientu skaits nepalielinājās.</t>
    </r>
  </si>
  <si>
    <r>
      <rPr>
        <b/>
        <sz val="10"/>
        <color theme="1"/>
        <rFont val="Times New Roman"/>
        <family val="1"/>
      </rPr>
      <t>Pārpildes iemesls:</t>
    </r>
    <r>
      <rPr>
        <sz val="10"/>
        <color theme="1"/>
        <rFont val="Times New Roman"/>
        <family val="1"/>
      </rPr>
      <t xml:space="preserve">  Ar katru gadu aizvien vairāk pacienti uzsāk inovatīvās terapijas lietošanu, kas ir efektīvākā, palielinot terapijas lietošanas ilgumu, kas atspoguļojas arī valsts budžeta līdzekļu izlietojuma pieaugumā. Katru gadu pacientu skaits, kas lieto inovatīvo medikamentu terapiju pieaug par aptuveni 20%.</t>
    </r>
  </si>
  <si>
    <r>
      <t xml:space="preserve">Finansējumu 651 981 euro plānots novirzīt pasākumiem apakšprogrammas ietvaros, t.sk. 219 388 euro apmērā peritoneālās dialīzes ārstniecības līdzekļu iegādei un 432 593 euro apmērā parenterāli ievadāmo zāļu iegādei onkoloģisko saslimšanu ārstēšanai, lai daļēji segtu līdzekļu iztrūkumu.
</t>
    </r>
    <r>
      <rPr>
        <b/>
        <sz val="10"/>
        <color theme="1"/>
        <rFont val="Times New Roman"/>
        <family val="1"/>
      </rPr>
      <t xml:space="preserve">Neizpildes iemesls: 
</t>
    </r>
    <r>
      <rPr>
        <sz val="10"/>
        <color theme="1"/>
        <rFont val="Times New Roman"/>
        <family val="1"/>
      </rPr>
      <t xml:space="preserve">Atbilstoši iepirkuma rezultātiem tika noslēgts piegādes līgums 2024./2025.gadam, kura ietvaros vienas vakcīnas pret pneimokoka infekciju (kas satur antivielas pret 15 pneimokoka paveidiem) cena ir 28 euro, kas ir par 50 % zemāka nekā prognozētā cena pirms iepirkuma izsludināšanas (56,14 euro), kā arī pieprasījums pēc vakcinācijas pret pneimokoka vīrusa infekciju samazinās, jo dzimušo bērnu skaits katru gadu turpina samazināties.  Līdz ar to izveidojusies pasākuma neizpilde. </t>
    </r>
  </si>
  <si>
    <r>
      <t xml:space="preserve">Saskaņā ar ārstniecības iestāžu iesniegtajiem pārskatiem, būtiski pieaudzis zāļu izlietojuma apjoms, kas veido finanšu līdzekļu iztrūkumu parenterāli ievadāmo zāļu iegādei onkoloģisko saslimšanu ārstēšanai. Pārpilde izveidojusies, jo 2025.-2026.gada centralizētajā iepirkumā tika iekļauti papildus jauni medikamenti, kas iepriekš tika apmaksāti kompensējamo zāļu sistēmas ietvaros. </t>
    </r>
    <r>
      <rPr>
        <sz val="10"/>
        <color theme="1"/>
        <rFont val="Times New Roman"/>
        <family val="1"/>
      </rPr>
      <t xml:space="preserve"> 2025. gada astoņu mēnešu periodā parenterāli ievadāmo zāļu terapiju onkoloģisko saslimšanu ārstēšanai saņēmuši 5 446 unikālie pacienti, kuru nodrošināšanai kopējās izmaksas veidoja 3 235 719 euro. Līdz ar to vidējās izmaksas uz vienu pacientu minētajā periodā bija 594,15 euro. Ņemot vērā papildus piešķirto finansējumu 432 593 euro apmērā, būs iespējams nodrošināt parenterāli ievadāmo zāļu terapiju onkoloģisko saslimšanu ārstēšanai vēl 728 pacientiem.</t>
    </r>
  </si>
  <si>
    <r>
      <t xml:space="preserve">Pārskata periodā ir pieaudzis vidējais pacientu skaits mēnesī no 120 pacientiem uz 127, kuriem tiek ordinēta nieru aizstājterapijas metode - peritoneālā dialīze. Ņemot vērā, ka kopējais pacientu skaits gada laikā ir mainīgs un ārsta nozīmētais peritoneālās dialīzes komplekts pacientiem ir atšķirīgs, viena pakalpojuma (komplekta) vidējās izmaksas mēnesī ir pieaugušas un sastāda </t>
    </r>
    <r>
      <rPr>
        <sz val="10"/>
        <color theme="1"/>
        <rFont val="Times New Roman"/>
        <family val="1"/>
      </rPr>
      <t>1924,46</t>
    </r>
    <r>
      <rPr>
        <sz val="10"/>
        <color theme="1"/>
        <rFont val="Times New Roman"/>
        <family val="1"/>
        <charset val="186"/>
      </rPr>
      <t xml:space="preserve"> euro. Līdz ar to ir izveidojusies līgumu summas pārstrāde. </t>
    </r>
  </si>
  <si>
    <r>
      <t xml:space="preserve">Atbilstoši MK 555. 11.pielikuma 20.punktam, ģimenes ārstu praksēm piemaksa par skrīninga aptveri (skrīninga atsaucība). Palielinājusies ģimenes ārstu aktivitāte, iesaistot iedzīvotājus skrīninga programmās, uzrunājot pacientus un izsniedzot nosūtījumus veikt prostatas vēža profilaktisko izmeklējumu.   Aptveres maksājumu par sasniegto </t>
    </r>
    <r>
      <rPr>
        <b/>
        <sz val="10"/>
        <color theme="1"/>
        <rFont val="Times New Roman"/>
        <family val="1"/>
      </rPr>
      <t>prostatas vēža skrīninga</t>
    </r>
    <r>
      <rPr>
        <sz val="10"/>
        <color theme="1"/>
        <rFont val="Times New Roman"/>
        <family val="1"/>
      </rPr>
      <t xml:space="preserve"> atsaucību praksē reģistrēto pacientu vidū, par periodu 01.07.2024-30.06.2025, saņēma 447 ārstniecības iestādes, ar vidējo maksājuma apjomu 806.70 euro.  No tām praksēm, kuras ir saņēmušas izmaksu, vidējais izmeklējumu skaits par prostatas vēža skrīningu ir 63.   
Aptveres maksājumu par sasniegto </t>
    </r>
    <r>
      <rPr>
        <b/>
        <sz val="10"/>
        <color theme="1"/>
        <rFont val="Times New Roman"/>
        <family val="1"/>
      </rPr>
      <t>zarnu vēža skrīninga</t>
    </r>
    <r>
      <rPr>
        <sz val="10"/>
        <color theme="1"/>
        <rFont val="Times New Roman"/>
        <family val="1"/>
      </rPr>
      <t xml:space="preserve"> atsaucību praksē reģistrēto pacientu vidū, par periodu 01.07.2024-30.06.2024, saņēma 712 ārstniecības iestāde, kur vidējais maksājuma apjoms bija 1363 euro, no tām praksēm, kuras ir saņēmušas izmaksu, vidējais izmeklējumu skaits par zarnu vēža skrīningu ir 93. </t>
    </r>
  </si>
  <si>
    <r>
      <t xml:space="preserve"> Izpildes prognoze 2025.gada (septembris- decembris), </t>
    </r>
    <r>
      <rPr>
        <i/>
        <sz val="10"/>
        <color theme="1"/>
        <rFont val="Times New Roman"/>
        <family val="1"/>
      </rPr>
      <t>euro</t>
    </r>
    <r>
      <rPr>
        <sz val="10"/>
        <color theme="1"/>
        <rFont val="Times New Roman"/>
        <family val="1"/>
      </rPr>
      <t xml:space="preserve"> **</t>
    </r>
  </si>
  <si>
    <r>
      <t xml:space="preserve">Finansējumu 524 277 euro apmērā plānots pārdalīt 2024.-2026. gada prioritārā pasākuma "Veselības aprūpes pakalpojumu pieejamības un kvalitātes uzlabošana" apakšpasākuma "Mātes un bērna veselības uzlabošana" aktivitātes "Zobārstniecības pakalpojumu pilnveidošana bērniem, lai uzlabotu pakalpojumu pieejamību bērniem - Apjoma palielināšana" daļējai iztrūkuma segšanai.
</t>
    </r>
    <r>
      <rPr>
        <b/>
        <sz val="10"/>
        <color theme="1"/>
        <rFont val="Times New Roman"/>
        <family val="1"/>
      </rPr>
      <t>Neizpildes iemesls</t>
    </r>
    <r>
      <rPr>
        <sz val="10"/>
        <color theme="1"/>
        <rFont val="Times New Roman"/>
        <family val="1"/>
      </rPr>
      <t xml:space="preserve"> - pēc laboratoriju veiktā darba prognozes secināms, ka uz gada beigām viss pieejamais finansējums pilnībā netiks izpildīts. 2025.gada 1.ceturksnī tika novērota lielāka izpilde saistībā ar vairāku akūtu augšējo elpceļu infekciju strauju izplatību. Savukārt 2025.gada 2. un 3.ceturksnī ir mazinājies akūtu augšējo elpceļu infekciju skaits, kā rezultātā ir mazinājusies nepieciešamība pēc laboratoriskiem izmeklējumiem un pakalpojumu sniedzēju izpildes. </t>
    </r>
  </si>
  <si>
    <r>
      <t xml:space="preserve">Finansējumu 30 805 euro apmērā plānots pārdalīt 2023.-2025. gada prioritārā pasākuma "Veselības aprūpes pakalpojumu onkoloģijas jomā uzlabošana" apakšpasākuma "Laboratorijas pakalpojumi onkoloģijas pacientiem nodrošinot savlaicīgu diagnostiku" daļējai iztrūkuma segšanai.
</t>
    </r>
    <r>
      <rPr>
        <b/>
        <sz val="10"/>
        <color theme="1"/>
        <rFont val="Times New Roman"/>
        <family val="1"/>
      </rPr>
      <t>Neizpildes iemesls</t>
    </r>
    <r>
      <rPr>
        <sz val="10"/>
        <color theme="1"/>
        <rFont val="Times New Roman"/>
        <family val="1"/>
      </rPr>
      <t xml:space="preserve"> - Laboratorisko izmeklējumu skaits ir atkarīgs no donoru un recipientu skaita konkrētā laika periodā, kas iepriekš nav precīzi prognozējams pasākums. Šobrīd tiek veikta sabiedrības informēšana par transplantācijas iespēju un sabiedrības ieguvumiem (Latvijas pasta pastmarka).</t>
    </r>
  </si>
  <si>
    <r>
      <t xml:space="preserve">Finansējumu 8 813 euro apmērā plānots pārdalīt 2023.-2025. gada prioritārā pasākuma "Veselības aprūpes pakalpojumu onkoloģijas jomā uzlabošana" apakšpasākuma "Laboratorijas pakalpojumi onkoloģijas pacientiem nodrošinot savlaicīgu diagnostiku" daļējai iztrūkuma segšanai.
</t>
    </r>
    <r>
      <rPr>
        <b/>
        <sz val="10"/>
        <color theme="1"/>
        <rFont val="Times New Roman"/>
        <family val="1"/>
      </rPr>
      <t>Neizpildes iemesls</t>
    </r>
    <r>
      <rPr>
        <sz val="10"/>
        <color theme="1"/>
        <rFont val="Times New Roman"/>
        <family val="1"/>
      </rPr>
      <t xml:space="preserve"> - atbilstoši ārstniecības iestāžu sniegtajai informācijai, sākotnēji prognozētais provizoriskais pacientu skaits, kuri izmantos iespēju saglabāt reproduktīvo materiālu pirms ķīmijterapijas uzsākšanas, ir lielāks par faktisko. 2025.gadā kontracepcijas pakalpojuma izpilde ir zemāka par plānoto. Dienests 07.04.2025. atkārtoti informēja līgumpartnerus par pakalpojuma pieejamību, tai skaitā par pakalpojuma paplašināšanu no 01.07.2025 (paplašinātas sociālās atstumtības riskam pakļautās grupas, kas saņem no valsts budžeta līdzekļiem apmaksātus kontracepcijas pakalpojumus).</t>
    </r>
  </si>
  <si>
    <r>
      <t xml:space="preserve">Finansējumu 15 568 euro apmērā plānots pārdalīt 2023.-2025. gada prioritārā pasākuma "Veselības aprūpes pakalpojumu onkoloģijas jomā uzlabošana" apakšpasākuma "Laboratorijas pakalpojumi onkoloģijas pacientiem nodrošinot savlaicīgu diagnostiku" daļējai iztrūkuma segšanai.
</t>
    </r>
    <r>
      <rPr>
        <b/>
        <sz val="10"/>
        <color theme="1"/>
        <rFont val="Times New Roman"/>
        <family val="1"/>
      </rPr>
      <t>Neizpildes iemesls</t>
    </r>
    <r>
      <rPr>
        <sz val="10"/>
        <color theme="1"/>
        <rFont val="Times New Roman"/>
        <family val="1"/>
      </rPr>
      <t xml:space="preserve"> - izmeklējumu skaits un izmaksas ir mazākas par plānoto šim periodam. Pakalpojumu izmanto mazāks pacientu skaits nekā bija paredzēts. Pacienti vairāk tiek izmeklēti stacionāra ietvaros.</t>
    </r>
  </si>
  <si>
    <r>
      <t xml:space="preserve"> Izpildes prognoze 2025.gada (septembris- decembris), </t>
    </r>
    <r>
      <rPr>
        <i/>
        <sz val="10"/>
        <color theme="1"/>
        <rFont val="Times New Roman"/>
        <family val="1"/>
      </rPr>
      <t>euro</t>
    </r>
    <r>
      <rPr>
        <sz val="10"/>
        <color theme="1"/>
        <rFont val="Times New Roman"/>
        <family val="1"/>
      </rPr>
      <t xml:space="preserve">* </t>
    </r>
  </si>
  <si>
    <r>
      <t xml:space="preserve">Palielinoties onkoloģisko slimību diagnostikas apjomam un uzlabojoties agrīnas atklāšanas iespējām, pieaug arī pacientu skaits, kuriem tiek veikti izmeklējumi, lai nodrošinātu savlaicīgu diagnostiku. Pacientu skaits, kuriem nepieciešams attiecīgais pakalpojums, pārsniedz plānoto apjomu, kas tika noteikts, pamatojoties uz ārstniecības iestāžu iesniegto informāciju. </t>
    </r>
    <r>
      <rPr>
        <sz val="10"/>
        <color theme="1"/>
        <rFont val="Times New Roman"/>
        <family val="1"/>
      </rPr>
      <t>Vidējā izmaksa uz 1 izmeklējumu 2025. gada 8 mēnešos: 4,18647 euro. Pārdalītais finansējums 55 186 euro / 4,18647 euro = 13 182 izmeklējumi.</t>
    </r>
  </si>
  <si>
    <r>
      <t xml:space="preserve">Finansējumu 403 827 euro apmērā plānots pārdalīt  2024.-2026.gada prioritārā pasākuma "Veselības aprūpes pakalpojumu pieejamības un kvalitātes uzlabošana"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samazinājies grūtnieču skaits, kas atspoguļojas demogrāfijas statistiskajos datos, radot ietekmi pakalpojuma izpildes datos, veidojot finanšu līdzekļu indikatīvu neizpildi pārskata periodā. </t>
    </r>
  </si>
  <si>
    <r>
      <t xml:space="preserve">Finansējumu 100 435 euro apmērā plānots pārdalīt  2024.-2026.gada prioritārā pasākuma "Veselības aprūpes pakalpojumu pieejamības un kvalitātes uzlabošana"apakšpasākuma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lai gan pārskatīts pakalpojuma apmaksas tarifs, to palielinot, veselības aprūpes nozarē speciālistu trūkums ietekmē pakalpojuma izpildes apjomu.</t>
    </r>
  </si>
  <si>
    <r>
      <t xml:space="preserve">Finansējumu 87 776 euro apmērā plānots pārdalīt  2024.-2026.gada prioritārā pasākuma "Veselības aprūpes pakalpojumu pieejamības un kvalitātes uzlabošana"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pasākums paredz izmeklējumu veikšanu pacientiem tikai atsevišķās diagnožu grupās. Diagnožu grupas nav plānots paplašināt, līdz ar ko pasākumam indikatīvā prognoze uzrāda finanšu līdzekļu atlikumu.</t>
    </r>
  </si>
  <si>
    <r>
      <t xml:space="preserve">Finansējumu 189 699 euro apmērā plānots pārdalīt  2024.-2026.gada prioritārā pasākuma "Veselības aprūpes pakalpojumu pieejamības un kvalitātes uzlabošana"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finanšu līdzekļu neizpildi ietekmē vairāki faktori: 
- personai uzzinot par onkoloģisko diagnozi ne vienmēr ir laiks vai prioritāte plānot reproduktīvā materiāla saglabāšanu;
- persona ir pārāk jauna, lai izietu reproduktīvā materiāla saglabāšanas procesu;
- pacients netiek informēts par pakalpojuma pieejamību.
Dienests vairākkārtīgi ir informējis līgumpartnerus par pakalpojuma pieejamību un turpina atkārtoti informēt līgumpartnerus, lai veicinātu pakalpojuma izpildi.
Savukārt sociālā riska grupa ir grūti sasniedzama populācijas daļa, kā rezultātā informācija par kontracepcijas pakalpojuma pieejamību nepietiekamā apjomā sasniedz mērķa grupu. Pārskata periodā Dienests atkārtoti ir informējis līgumpartnerus par pakalpojuma pieejamību, kā arī no 01.07.2025 ir paplašinājis pakalpojuma apjomu. </t>
    </r>
  </si>
  <si>
    <r>
      <t xml:space="preserve">Finansējumu 10 000 euro apmērā plānots pārdalīt  2024.-2026.gada prioritārā pasākuma "Veselības aprūpes pakalpojumu pieejamības un kvalitātes uzlabošana"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pasākuma izpildi veido kabineta fiksētais maksājums, kā arī pielietoto manipulāciju skaits. Pārskata periodā manipulācijas tika pielietotas mazāk nekā sākotnēji indikatīvi tika plānots balstoties uz līgumpartneru iestāžu prognozēm,  kuras sniedz pakalpojumus apakšpasākumā iekļautajai pacientu grupai, kā vēl viens iemesls finanšu līdzekļu ekonomijai ir tas, ka kabinets darbību uzsāka ar 01.02.2025 līdz ar ko veidojas finanšu līdzekļu atlikums fiksētajam kabineta maksājumam viena mēneša apjomā.</t>
    </r>
  </si>
  <si>
    <r>
      <t xml:space="preserve">Finansējumu 48 771 euro apmērā plānots pārdalīt pārdalīt  2024.-2026.gada prioritārā pasākuma "Veselības aprūpes pakalpojumu pieejamības un kvalitātes uzlabošana"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pārskata periodā pakalpojums sniegts 115 pacientiem jeb 57,5% no sākotnēji indikatīvi prognozētā pacientu skaita, kas tika plānots balstoties balstīta uz iesniegto informāciju, kas saņemta no līgumpartneru iestādēm, kuras sniedz pakalpojumus apakšpasākumā iekļautajai pacientu grupai. </t>
    </r>
  </si>
  <si>
    <r>
      <t xml:space="preserve">Finansējumu 157 783 euro apmērā plānots pārdalīt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pārskata periodā pakalpojums sniegts 56 pacientiem, nodrošinot ārstēšanu dienas stacionārā. Pakalpojums pārskata periodā sniegts mazākam pacientu skaitam nekā sākotnēji indikatīvi prognozētam pacientu skaitam, kas tika plānots balstoties uz iesniegto informāciju, kas saņemta no līgumpartneru iestādēm, kuras sniedz pakalpojumus apakšpasākumā iekļautajai pacientu grupai. </t>
    </r>
  </si>
  <si>
    <r>
      <t xml:space="preserve">Finansējumu 40 491 euro apmērā plānots pārdalīt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pārskata periodā manipulācijas pielietotas, kā arī sniegtās aprūpes epizodes mazākā apjomā nekā sākotnēji indikatīvi plānots balstoties uz iesniegto informāciju, kas saņemta no līgumpartneru iestādēm, kuras sniedz pakalpojumus apakšpasākumā iekļautajai pacientu grupai.
Pārskata periodā sniegtas 16 022 ekspetīzes kas veido 22,6% no sākotnējo plānotā apjoma savukārt sniegtās arstēšanas epizodes 957 jeb 101,7% apmērā no sākotnēji plānotā. Finanšu līdzekļu indikatīvi prognozēto atlikumu ietekmē fakts, ka pārskata periodā ekspertīžu skaits sniegts mazākā apjomā par sākotnēji plānoto, jo vienas ekspertīzes vidējās izmaksas veido 524 euro, savukārt epizodes izmaksa vidēji veido 34 euro. </t>
    </r>
  </si>
  <si>
    <r>
      <t xml:space="preserve">Finansējumu 8 756 euro apmērā plānots pārdalīt apakšpasākuma "Veselības aprūpes pakalpojumu onkoloģijas jomā uzlabošana" aktivitātes "Veselības aprūpes pakalpojumu pieejamība pēc onkoloģijas diagnozes noteikšanas (dinamiskā novērošana)" daļējai iztrūkuma segšanai.
</t>
    </r>
    <r>
      <rPr>
        <b/>
        <sz val="10"/>
        <color theme="1"/>
        <rFont val="Times New Roman"/>
        <family val="1"/>
      </rPr>
      <t>Neizpildes iemesls</t>
    </r>
    <r>
      <rPr>
        <sz val="10"/>
        <color theme="1"/>
        <rFont val="Times New Roman"/>
        <family val="1"/>
      </rPr>
      <t xml:space="preserve"> - pārskata periodā pakalpojumu saņēmuši 85 pacienti jeb 31,1% no sākotnējā indikatīvā pakalpojuma apjoma, kas tika balstīts uz iesniegto informāciju, kas saņemta no līgumpartneru iestādēm, kuras sniedz pakalpojumus apakšpasākumā iekļautajai pacientu grupai.</t>
    </r>
  </si>
  <si>
    <r>
      <t xml:space="preserve">Piešķirtais finansējums apakšpasākumam ļāvis nodrošināt ātrāku un efektīvāku ārstēšanās procesu pēc onkoloģiskās diagnozes uzstādīšanas vai slimības recidīva, paplašinot pakalpojumu grozu ar pārējiem ambulatorajiem pakalpojumiem, kas iepriekš bija ierobežoti kā kvotēti pakalpojumi. 
Pārskata periodā nodrošināti 69 885 pakalpojumi, tādās pakalpojumu programmās, kā onkoloģija, uroloģija, ķirurģija, rentgenoloģija. Viena pakalpojuma vidējā izmaksa 65,34 </t>
    </r>
    <r>
      <rPr>
        <i/>
        <sz val="10"/>
        <color theme="1"/>
        <rFont val="Times New Roman"/>
        <family val="1"/>
      </rPr>
      <t>euro</t>
    </r>
    <r>
      <rPr>
        <sz val="10"/>
        <color theme="1"/>
        <rFont val="Times New Roman"/>
        <family val="1"/>
      </rPr>
      <t>. Novirzītais finansējums indikatīvi ļaus nodrošināt 16 032 pakalpojumus pacientiem pēc onkoloģiskās diagnozes uzstādīšanas vai slimības recidīva, kas ļaus nodrošināt regulāras pārbaudes iespējamai recidīva kontrolei.</t>
    </r>
  </si>
  <si>
    <r>
      <t xml:space="preserve">Finansējumu 7 620 euro apmērā plānots pārdalīt 2024.-2026. gada prioritārā pasākuma "Veselības aprūpes pakalpojumu pieejamības un kvalitātes uzlabošana" apakšpasākuma "Veselības aprūpes pakalpojumu pieejamības un kvalitātes uzlabošana" aktivitātes "USG tarifa pārskatīšana bērniem (Sekundārās ambulatorās veselības aprūpes pakalpojumu pieejamības uzlabošana un gaidīšanas rindu mazināšana  - piemaksai  par bērniem veiktu USG un doplerogrāfiju stacionāriem pacientiem līdz 18 gadu vecumam.)" daļējai iztrūkuma segšanai.
</t>
    </r>
    <r>
      <rPr>
        <b/>
        <sz val="10"/>
        <color theme="1"/>
        <rFont val="Times New Roman"/>
        <family val="1"/>
      </rPr>
      <t>Neizpildes iemesls</t>
    </r>
    <r>
      <rPr>
        <sz val="10"/>
        <color theme="1"/>
        <rFont val="Times New Roman"/>
        <family val="1"/>
      </rPr>
      <t xml:space="preserve"> - toksikoloģiskie izmeklējumi Profilakses pasākumu un veselības aprūpes pakalpojumu uzlabošanas plāna alkoholisko dzērienu  un narkotisko vielu lietošanas izplatības mazināšanas jomā ietvaros 8 mēnešu izpilde ir zem plāna, jo daudzas analīzes tiek pieprasītas reti, daļa testu (mikromatricu metodes, specifiskas vielas) ir tehniski sarežģītas un prasa specializētu aprīkojumu, un daļu izmeklējumu iespējams veikt tikai tad, kad ir medicīniski pamatots iemesls vai tos nosaka normatīvi un likumdošana, piemēram, konkrēta indikācija pacientam vai policijas un citu institūciju pieprasījums, lai iegūtie rezultāti būtu tiesiski derīgi.</t>
    </r>
  </si>
  <si>
    <r>
      <t xml:space="preserve">Pieaugums ultrasonogrāfijas un dupleksskenēšanas manipulācijām pacientiem līdz 18 gadu vecumam 2025. gada 8 mēnešu laikā skaidrojams ar 2024. gada janvārī ieviestajiem paplašinātajiem apmaksas nosacījumiem, kas ļauj kodēt šīs manipulācijas arī citās slimnīcās (ne tikai BKUS) un kopā ar plašāku manipulāciju skaitu (+2 gab.), kā arī ar to, ka ambulatorajā sadaļā finansējums jau bija pilnībā izstrādāts uz 6 mēnešiem, tāpēc, tas kopumā veicināja būtisku izpildes pieaugumu salīdzinājumā ar gada plānu.  </t>
    </r>
    <r>
      <rPr>
        <sz val="10"/>
        <color theme="1"/>
        <rFont val="Times New Roman"/>
        <family val="1"/>
      </rPr>
      <t xml:space="preserve">Rezultatīvais rādītājs tiek aprēķināts, ņemot vērā 7620 euro dalot ar vienas manipulācijas tarifu EUR 14.54 (tikai viena manipulācija, nav vidējā vērtība no vairākām manipulācijām - ** manipulācija nr. 50745). Līdz ar to papildus novirzītais finansējums indikatīvi ļaus nodrošināt 524 izmeklējumus. </t>
    </r>
  </si>
  <si>
    <r>
      <t xml:space="preserve">Finansējumu 76 012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daļējai iztrūkuma segšanai.
Finansējumu 50 617 euro apmērā plānots pārdalīt 2024.-2026. gada prioritārā pasākuma "Veselības aprūpes pakalpojumu pieejamības un kvalitātes uzlabošana" apakšpasākumam "Veselības aprūpes pakalpojumu pieejamības un kvalitātes uzlabošana" aktivitātei "Pārskatīti mugurkaula ķirurģijas manipulācijas un piemaksas – akūtās ķirurģijas izmeklējumu un operāciju tarifi atbilstoši faktiskajām izmaksām" daļējai iztrūkuma segšanai.
</t>
    </r>
    <r>
      <rPr>
        <b/>
        <sz val="10"/>
        <color theme="1"/>
        <rFont val="Times New Roman"/>
        <family val="1"/>
      </rPr>
      <t>Neizpildes iemesls</t>
    </r>
    <r>
      <rPr>
        <sz val="10"/>
        <color theme="1"/>
        <rFont val="Times New Roman"/>
        <family val="1"/>
      </rPr>
      <t xml:space="preserve"> - plānotā izpilde netika pilnībā sasniegta objektīvu iemeslu dēļ. Pacientu plūsma un hospitalizācijas dienu skaits bija zemāks par prognozēto, līdz ar to netika sasniegts plānotais gultasdienu apjoms, saglabājot finansējuma ietvaros.</t>
    </r>
  </si>
  <si>
    <r>
      <t xml:space="preserve">Finansējumu 56 520 euro apmērā plānots pārdalīt 2025.-2027. gada prioritārā pasākuma  "Veselības aprūpes  pakalpojumu onkoloģijas un citu slimību,  kurām neatliekami turpināma terapija,  uzlabošana"  apakšpasākuma "Onkoloģija, hematoloģija" apakšaktivitātei - "Laboratoriska paredzes biomarķieru noteikšanas nodrošināšana daļējai iztrūkuma segšanai".
Finansējumu 2 136 euro apmērā plānots pārdalīt 2024.-2026. gada prioritārā  pasākuma "Veselības aprūpes pakalpojumu onkoloģijas jomā uzlabošana" apakšapsākuma "Profilakses pasākumi" aktivitātei "Narkologu sniegtajiem ambulatorajiem un stacionāriem veselības aprūpes pakalpojumiem tarifu un kārtības pārskatīšana - tarifa pārrēķins" iztrūkuma segšanai.
</t>
    </r>
    <r>
      <rPr>
        <b/>
        <sz val="10"/>
        <color theme="1"/>
        <rFont val="Times New Roman"/>
        <family val="1"/>
      </rPr>
      <t>Neizpildes iemesls</t>
    </r>
    <r>
      <rPr>
        <sz val="10"/>
        <color theme="1"/>
        <rFont val="Times New Roman"/>
        <family val="1"/>
      </rPr>
      <t xml:space="preserve"> - ir saistīta ar retās slimības raksturu un ierobežotu pacientu skaitu.  Manipulācijas ar teleskopisko naglu nepieciešamas ļoti ierobežotam pacientu skaitam un tiek veiktas specifiskos gadījumos.</t>
    </r>
  </si>
  <si>
    <r>
      <t xml:space="preserve">Finansējumu 5 181 euro apmērā plānots pārdalīt 2024.-2026. gada prioritārā pasākuma "Veselības aprūpes pakalpojumu pieejamības un kvalitātes uzlabošana" apakšpasākuma "Veselības aprūpes pakalpojumu onkoloģijas jomā uzlabošana" aktivitātes "Biopsijas izmeklējumu pieejamība onkoloģisko slimību pacientiem - stacionāri" daļējai iztrūkuma segšanai.
</t>
    </r>
    <r>
      <rPr>
        <b/>
        <sz val="10"/>
        <color theme="1"/>
        <rFont val="Times New Roman"/>
        <family val="1"/>
      </rPr>
      <t>Neizpildes iemesls</t>
    </r>
    <r>
      <rPr>
        <sz val="10"/>
        <color theme="1"/>
        <rFont val="Times New Roman"/>
        <family val="1"/>
      </rPr>
      <t xml:space="preserve"> - galvenokārt skaidrojams ar ierobežotu pacientu skaitu, kuriem nepieciešami šie pakalpojumi, kā arī ar faktu, ka, lai gan mērķu grupa ir paplašināta un pakalpojums var tikt piemērots vairāk pacientiem, tas līdz šim nav radījis būtisku pieprasījuma pieaugumu. Ņemot vērā demogrāfisko situāciju un pacientu motivāciju attiecībā uz pēcnācēju radīšanu, faktiskā izpilde atbilst reālajai nepieciešamībai.</t>
    </r>
  </si>
  <si>
    <r>
      <t xml:space="preserve">Finansējumu 36 000 euro apmērā plānots pārdalīt 2024.-2026. gada prioritārā pasākuma "Veselības aprūpes pakalpojumu pieejamības un kvalitātes uzlabošana" apakšpasākuma "Veselības aprūpes pakalpojumu onkoloģijas jomā uzlabošana" aktivitātes "Biopsijas izmeklējumu pieejamība onkoloģisko slimību pacientiem - stacionāri" daļējai iztrūkuma segšanai.
</t>
    </r>
    <r>
      <rPr>
        <b/>
        <sz val="10"/>
        <color theme="1"/>
        <rFont val="Times New Roman"/>
        <family val="1"/>
        <charset val="186"/>
      </rPr>
      <t>Neizpildes iemesls</t>
    </r>
    <r>
      <rPr>
        <sz val="10"/>
        <color theme="1"/>
        <rFont val="Times New Roman"/>
        <family val="1"/>
        <charset val="186"/>
      </rPr>
      <t xml:space="preserve"> - pirmajā pusgadā ir uzsāktas praktiskas sūkņu apmācības personālam. Ir uzsākta procesa aprobācija, izmantojot sūkņus stacionāra pacientiem, lai palielinātu viņu mobilitāti medikamentu ievades laikā. Papildu piederumi šajā laika periodā nav iegādāti. </t>
    </r>
  </si>
  <si>
    <r>
      <t xml:space="preserve">Finansējumu 47 436 euro apmērā plānots pārdalīt 2024.-2026. gada prioritārā pasākuma "Veselības aprūpes pakalpojumu pieejamības un kvalitātes uzlabošana" 2024.-2026. gada prioritārā pasākumam "Veselības aprūpes pakalpojumu pieejamības un kvalitātes uzlabošana" apakšpasākuma "Veselības aprūpes pakalpojumu onkoloģijas jomā uzlabošana" aktivitātes "Biopsijas izmeklējumu pieejamība onkoloģisko slimību pacientiem - stacionāri" daļējai iztrūkuma segšanai.
</t>
    </r>
    <r>
      <rPr>
        <b/>
        <sz val="10"/>
        <color theme="1"/>
        <rFont val="Times New Roman"/>
        <family val="1"/>
        <charset val="186"/>
      </rPr>
      <t>Neizpildes iemesls</t>
    </r>
    <r>
      <rPr>
        <sz val="10"/>
        <color theme="1"/>
        <rFont val="Times New Roman"/>
        <family val="1"/>
        <charset val="186"/>
      </rPr>
      <t xml:space="preserve"> - zobārstniecības pakalpojumu nodrošināšana ilgstoši psihiatriskajā slimnīcā ārstējamiem pacientiem ir ierobežota, jo šai grupai raksturīgas būtiskas sadarbības grūtības, nepieciešami papildu resursi (sedācija, speciālistu iesaiste, aprīkojums), pacientu veselības stāvoklis un motivācijas trūkums, kā arī ierobežota infrastruktūra un speciālistu pieejamība, tādēļ praktiski palīdzība tiek sniegta tikai akūtu sūdzību vai neatliekamu stāvokļu gadījumos.</t>
    </r>
  </si>
  <si>
    <r>
      <t xml:space="preserve">Finansējumu 222 988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apakšaktivitātei "Pārskatīti veselības aprūpes tarifi onkoloģijā" daļējai iztrūkuma segšanai daļējai iztrūkuma segšanai.
Finansējumu 182 034 euro apmērā plānots pārdalīt 2024.-2026. gada prioritārā pasākuma "Veselības aprūpes pakalpojumu pieejamības un kvalitātes uzlabošana" apakšpasākuma "Veselības aprūpes pakalpojumu onkoloģijas jomā uzlabošana" aktivitātes "Biopsijas izmeklējumu pieejamība onkoloģisko slimību pacientiem - stacionāri" daļējai iztrūkuma segšanai.
Finansējumu 43 678 euro apmērā plānots pārdalīt 2024.-2026. gada prioritārā pasākuma "Veselības aprūpes pakalpojumu pieejamības un kvalitātes uzlabošana" apakšpasākuma "Profilakses pasākumi" aktivitātes "Profilakses pasākumu un veselības aprūpes pakalpojumu uzlabošanas plāna alkoholisko dzērienu  un narkotisko vielu lietošanas izplatības mazināšanas jomā - Atbrīvot narkoloģijas pacientus  (diagnožu grupa SSK-10 F10, F11-F16, F18-F19) no pacientu līdzmaksājumiem, saņemot veselības aprūpes pakalpojumus narkoloģijā  ambulatori un stacionārā - līdzmaksājuma nodrošināšanai" iztrūkuma segšanai.
</t>
    </r>
    <r>
      <rPr>
        <b/>
        <sz val="10"/>
        <color theme="1"/>
        <rFont val="Times New Roman"/>
        <family val="1"/>
        <charset val="186"/>
      </rPr>
      <t>Neizpildes iemesls</t>
    </r>
    <r>
      <rPr>
        <sz val="10"/>
        <color theme="1"/>
        <rFont val="Times New Roman"/>
        <family val="1"/>
        <charset val="186"/>
      </rPr>
      <t xml:space="preserve"> - skaidrojams ar procedūru specifiku un retumu, un arī ar specifisko mērķa grupu (konkrētu diagnožu) noteikšanu, jo programma paredzēta pacientiem ar smagām neiroonkoloģiskām un neirodeģeneratīvām slimībām, kuriem nepieciešama vairāku medicīnisku tehnoloģiju kombinācija (galvas smadzeņu dziļā stimulācija, kustību traucējumu kontroles terapija, intraoperatīvās kontrastvielas un neirofizioloģiskā monitorēšana). Tā kā šī programma ir augsti specializēta, multidisciplināra un pakāpeniski ieviešama, tai nepieciešami pieredzējuši speciālisti, specializēta aparatūra un rūpīga pacientu atlase, kas ierobežo vienlaicīgu manipulāciju veikšanu. Neskatoties uz ierobežoto izpildi, šī pieeja būtiski uzlabo pacientu funkcionēšanu, dzīves kvalitāti, neatkarību un garīgo veselību, kā arī samazina medikamentu lietošanu un ar to saistītās blaknes.</t>
    </r>
  </si>
  <si>
    <r>
      <t xml:space="preserve">Finansējumu 1 685 047 euro apmērā plānots pārdalīt daļējai samaksai par Latvijas iedzīvotājiem sniegtajiem veselības aprūpes pakalpojumiem Eiropas Savienības sociālā nodrošinājuma sistēmas ietvaros.
</t>
    </r>
    <r>
      <rPr>
        <b/>
        <sz val="10"/>
        <color theme="1"/>
        <rFont val="Times New Roman"/>
        <family val="1"/>
      </rPr>
      <t>Neizpildes iemesls</t>
    </r>
    <r>
      <rPr>
        <sz val="10"/>
        <color theme="1"/>
        <rFont val="Times New Roman"/>
        <family val="1"/>
      </rPr>
      <t xml:space="preserve"> - indikatīvā gada izpildes norādītas atbilstoši ārstniecības iestāžu sniegtajiem datiem. 
Neizpildes galvenie iemesli: 
1) izpildes uzsākšanu kavē neelastīgs gada ietvarā plānoto uzdevumu saskaņošanas process ar Līguma pusēm; 
2) ekspertu un koordinātoru piesaistes process;
3) klīniskā audita daļa.                                                          
1 685 047 euro neizpilde veidojas no 60 524,52 euro (līgumos ar RAKUS_radioloģija un  NRC-Vaivari samazināta summa par vadības atalgojumu par termiņu līdz līguma noslēgšanai), 388 282,12 euro (nav noslēgts līgums par vienu MVI) un 1 236 240,36 euro (naudas līdzekļu neapguve, pamatojoties uz ārstniecības iestāžu sniegto informāciju par neizpildes iemesliem).</t>
    </r>
  </si>
  <si>
    <r>
      <t xml:space="preserve">Finansējumu 8 664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apakšaktivitātes "Pārskatīti veselības aprūpes tarifi onkoloģijā" daļējai iztrūkuma segšanai. 
</t>
    </r>
    <r>
      <rPr>
        <b/>
        <sz val="10"/>
        <color theme="1"/>
        <rFont val="Times New Roman"/>
        <family val="1"/>
      </rPr>
      <t>Neizpildes iemesls</t>
    </r>
    <r>
      <rPr>
        <sz val="10"/>
        <color theme="1"/>
        <rFont val="Times New Roman"/>
        <family val="1"/>
      </rPr>
      <t xml:space="preserve"> - ņemot vērā, ka mentora/ konsultanta piesaiste notiek ne pirmo gadu, tad kā norāda Zviedru kolēģi, vairs nav nepieciešamības tik bieži mentorēt  klātienē, ir iespēja daļu braucienu aizstāt ar tiešsaistes konsultāciju. Kā arī biežāk brauc viens ķirurgs, vai kā otru personu  ņemt līdzi anesteziologu nav tik bieži nepieciešams.</t>
    </r>
  </si>
  <si>
    <r>
      <t xml:space="preserve">Finansējumu 2 183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apakšaktivitātes "Pārskatīti veselības aprūpes tarifi onkoloģijā" daļējai iztrūkuma segšanai.
</t>
    </r>
    <r>
      <rPr>
        <b/>
        <sz val="10"/>
        <color theme="1"/>
        <rFont val="Times New Roman"/>
        <family val="1"/>
      </rPr>
      <t>Neizpildes iemesls</t>
    </r>
    <r>
      <rPr>
        <sz val="10"/>
        <color theme="1"/>
        <rFont val="Times New Roman"/>
        <family val="1"/>
      </rPr>
      <t xml:space="preserve"> - 2025.gadā apmācības apmeklēja viens transplantācijas speciālists, nebija iespējas piesaistīt otru laboratorijas speciālistu šī projekta ietvaros.</t>
    </r>
  </si>
  <si>
    <r>
      <t xml:space="preserve">Finansējumu 2 643 euro apmērā plānots pārdalīt 2023.-2025.gada prioritārā pasākuma "Veselības aprūpes pakalpojumu onkoloģijas jomā uzlabošana" apakšpasākuma "Veselības aprūpes pakalpojumu pieejamības un kvalitātes uzlabošana"  aktivitātes "Izveidotas 26 jaunas valsts apmaksātas manipulācijas, nodrošinot pakalpojumu pieejamību, un veikts 47 ķirurģisko pakalpojumu manipulāciju pārrēķins atbilstoši faktiskajām izmaksām un uzlabota datortomogrāfijas pakalpojumu pieejamība onkoloģijas pacientiem" apakšaktivitātes "Pārskatīti veselības aprūpes tarifi onkoloģijā" daļējai iztrūkuma segšanai.
</t>
    </r>
    <r>
      <rPr>
        <b/>
        <sz val="10"/>
        <color theme="1"/>
        <rFont val="Times New Roman"/>
        <family val="1"/>
      </rPr>
      <t>Neizpildes iemesls</t>
    </r>
    <r>
      <rPr>
        <sz val="10"/>
        <color theme="1"/>
        <rFont val="Times New Roman"/>
        <family val="1"/>
      </rPr>
      <t xml:space="preserve"> - 2025.gadā rezultatīvie rāītāji ir izpildīti, summas starpību ietekmē izmaiņas ceļa izdevumos.</t>
    </r>
  </si>
  <si>
    <r>
      <t xml:space="preserve">Līdzekļu ekonomija 2024.-2026.gada prioritārā pasākuma "Veselības aprūpes pakalpojumu pieejamības un kvalitātes uzlabošana" apakšpasākumiem "Veselības aprūpes pakalpojumu pieejamības un kvalitātes uzlabošana" ietvaros īstenotās aktivitātes "Transplantācijas procesa attīstību Latvijā"  apakšaktivitātei "Mentora/konsultanta piesaiste transplantācijas procesu uzlabošanai VSIA "Paula Stradiņa klīniskā universitātes slimnīca"" 8 664 euro apmērā, "Transplantācijas procesa attīstību Latvijā" ietvaros īstenotajai aktivitātei "Apvienotās laboratorijas audu saderības un imūnģenētikas jomas attīstība - Laboratorijas personāla kompetences nodrošināšana atbilstoši EFI prasībām" 2 183 euro apmērā, "Transplantācijas procesa attīstību Latvijā" ietvaros īstenotajai aktivitātei "5-7 speciālistu (gastroenterologi, kardiologi, pulmonologi) apmācība recipientu atlasē un pēctransplantācijas aprūpē (līdz viena mēneša apmācība kādā no Ziemeļvalstu klīnikām)" 2 643 euro apmērā,  un </t>
    </r>
    <r>
      <rPr>
        <b/>
        <i/>
        <sz val="10"/>
        <color theme="1"/>
        <rFont val="Times New Roman"/>
        <family val="1"/>
      </rPr>
      <t>"Informācijas komunikācijas tehnoloģiju un vienotās veselības nozares elektroniskās informācijas sistēmas (e-veselības) uzturēšana un nepārtrauktas darbības nodrošināšana" aktivitātei "Kvalitātes pakalpojuma uzlabošana"</t>
    </r>
    <r>
      <rPr>
        <b/>
        <i/>
        <sz val="10"/>
        <color theme="1"/>
        <rFont val="Times New Roman"/>
        <family val="1"/>
        <charset val="186"/>
      </rPr>
      <t xml:space="preserve"> 102 383 euro apmērā, kur pavisam kopā veido 115 873 euro, no tā 115 873 euro tiks novirzīti  2023.-2025. gada prioritārā pasākumam "Veselības aprūpes pakalpojumu onkoloģijas jomā uzlabošana" apakšpasākumam "Izveidotas 26 jaunas valsts apmaksātas manipulācijas, nodrošinot pakalpojumu pieejamību, un veikts 47 ķirurģisko pakalpojumu manipulāciju pārrēķins atbilstoši faktiskajām izmaksām un uzlabota datortomogrāfijas pakalpojumu pieejamība onkoloģijas pacientiem"  aktivitātei "Pārskatīti veselības aprūpes tarifi onkoloģijā"  īstenošanai. </t>
    </r>
  </si>
  <si>
    <t>apakšpasākuma "Mātes un bērna veselības uzlabošana" ietvaros īstenotai aktivitātei "Reproduktīvā materiāla saglabāšana pacientiem pirms ķīmijterapijas procedūrām, nodrošinot reproduktīvā materiāla uzglabāšanu un sieviešu kontracepcija - medikamenti"</t>
  </si>
  <si>
    <t xml:space="preserve">apakšpasākuma "Veselības aprūpes pakalpojumu pieejamības un kvalitātes uzlabošana" ietvaros īstenotai aktivitātei "Ģimenes ārstu prakses uzturēšanas maksājums (trīs mēneši)" </t>
  </si>
  <si>
    <t xml:space="preserve"> 2023.-2025. gada prioritārā pasākuma "Veselības aprūpes pakalpojumu onkoloģijas jomā uzlabošana"  apakšpasākuma "Izveidotas 26 jaunas valsts apmaksātas manipulācijas, nodrošinot pakalpojumu pieejamību, un veikts 47 ķirurģisko pakalpojumu manipulāciju pārrēķins atbilstoši faktiskajām izmaksām un uzlabota datortomogrāfijas pakalpojumu pieejamība onkoloģijas pacientiem" aktivitātei "Pārskatīti veselības aprūpes tarifi onkoloģijā"</t>
  </si>
  <si>
    <t>2024.-2026. gada prioritārā pasākuma "Veselības aprūpes pakalpojumu pieejamības un kvalitātes uzlabošana" apakšpasākuma "Veselības aprūpes pakalpojumu pieejamības un kvalitātes uzlabošana" 
aktivitātei "Pārskatīti mugurkaula ķirurģijas manipulācijas un piemaksas – akūtās ķirurģijas izmeklējumu un operāciju tarifi atbilstoši faktiskajām izmaksām"</t>
  </si>
  <si>
    <t>2024.-2026. gada prioritārā pasākuma "Veselības aprūpes pakalpojumu pieejamības un kvalitātes uzlabošana" apakšpasākuma "Profilakses pasākumi" aktivitātei "Narkologu sniegtajiem ambulatorajiem un stacionāriem veselības aprūpes pakalpojumiem tarifu un kārtības pārskatīšana -tarifa pārrēķins"</t>
  </si>
  <si>
    <t xml:space="preserve"> 2023.-2025. gada prioritārā pasākuma "Veselības aprūpes pakalpojumu onkoloģijas jomā uzlabošana" apakšpasākuma "Izveidotas 26 jaunas valsts apmaksātas manipulācijas, nodrošinot pakalpojumu pieejamību, un veikts 47 ķirurģisko pakalpojumu manipulāciju pārrēķins atbilstoši faktiskajām izmaksām un uzlabota datortomogrāfijas pakalpojumu pieejamība onkoloģijas pacientiem"  aktivitātei "Pārskatīti veselības aprūpes tarifi onkoloģijā"</t>
  </si>
  <si>
    <t>Veselības ministrijas fiskāli neitrāla pasākuma 2025. gadā  "Veselības aprūpes  pakalpojumu onkoloģijas un citu slimību,  kurām neatliekami turpināma terapija,  uzlabošana" apakšpasākuma "Esošās onkoloģijas terapijas turpināšana" īstenošanai</t>
  </si>
  <si>
    <t>apakšpasākumam "Papildu darbinieka nodrošināšana ģimenes ārsta praksēs (no 2024. gada 1.jūnija)"</t>
  </si>
  <si>
    <t>Līdzekļu ekonomija 2024.-2026.gada prioritārā pasākuma "Veselības aprūpes pakalpojumu pieejamības un kvalitātes uzlabošana" apakšpasākuma "Papildu darbinieka nodrošināšana ģimenes ārsta praksēs (no 2024. gada 1.jūnija)", kur pavisam kopā neizpildi veido 4 660 986  euro, no tā 3 456 986 euro tiks novirzīti plānveida stacionāro veselības aprūpes pakalpojumu pārstrādes segšanai un 1 204 000 euro vienreizēja digitalizācijas atbalsta maksājumam ģimenes ārstu praksēm ( 1 204 000 euro pārdale ir iekļauta atsevišķā MK rīkojumā 25-TA-2846).</t>
  </si>
  <si>
    <t>apakšpasākumam "Laboratorijas pakalpojumu nodrošināšana, lai 2024.gadā segtu izdevumus, kas pārsniedz līgumos ar pakalpojuma sniedzējiem iekļauto apjomu"*</t>
  </si>
  <si>
    <t>apakšpasākuma "Veselības aprūpes pakalpojumu pieejamības un kvalitātes uzlabošana" aktivitātes "Transplantācijas procesa attīstība Latvijā" ietvaros īstenotai apakšaktivitātei "Apvienotās laboratorijas audu saderības un imūnģenētikas jomas attīstība - laboratorija"</t>
  </si>
  <si>
    <t>apakšpasākuma "Profilakses pasākumi" ietvaros īstenotās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apakšaktivitātei "Atbrīvot narkoloģijas pacientus  (diagnožu grupa SSK-10 F10, F11-F16, F18-F19) no pacientu līdzmaksājumiem, saņemot veselības aprūpes pakalpojumus narkoloģijā  ambulatori un stacionārā - laboratoriskie izmeklējumi"</t>
  </si>
  <si>
    <t>2023.-2025. gada prioritārā pasākuma "Veselības aprūpes pakalpojumu onkoloģijas jomā uzlabošana" apakšpasākuma "Uzlabota laboratorisko pakalpojumu pieejamība onkoloģijas pacientiem" aktivitātei "Laboratorijas pakalpojumi onkoloģijas pacientiem nodrošinot savlaicīgu diagnostiku"</t>
  </si>
  <si>
    <t>apakšpasākuma "Reto slimību diagnostikas attīstība" apakšaktivitātei "Laboratorisko un diagnostisko izmeklējumu klāsta paplašināšana un pakalpojumu pieejamības pacientiem ar retajām slimībām nodrošināšana - miega izmeklējumi"</t>
  </si>
  <si>
    <t>apakšpasākuma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apakšaktivitātei "Atbrīvot narkoloģijas pacientus  (diagnožu grupa SSK-10 F10, F11-F16, F18-F19) no pacientu līdzmaksājumiem, saņemot veselības aprūpes pakalpojumus narkoloģijā  ambulatori un stacionārā  - līdzmaksājuma nodrošināšana"</t>
  </si>
  <si>
    <t xml:space="preserve">apakšpasākuma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apakšaktivitātei "Atbrīvot narkoloģijas pacientus  (diagnožu grupa SSK-10 F10, F11-F16, F18-F19) no pacientu līdzmaksājumiem, saņemot veselības aprūpes pakalpojumus narkoloģijā  ambulatori un stacionārā - izmeklējumi" </t>
  </si>
  <si>
    <t>apakšpasākuma "Veselības aprūpes pakalpojumu pieejamības un kvalitātes uzlabošana" ietvaros īstenotai aktivitātei "Pārskatīts ēdināšanas gultas dienas tarifs - stacionāri"</t>
  </si>
  <si>
    <t xml:space="preserve">apakšpasākuma "Veselības aprūpes pakalpojumu pieejamības un kvalitātes uzlabošana" aktivitātes "Reto slimību diagnostikas attīstība" apakšaktivitātei  "Laboratorisko un diagnostisko izmeklējumu klāsta paplašināšana un pakalpojumu pieejamības pacientiem ar retajām slimībām nodrošināšana - kaulu trausluma ķirurģija bērniem" </t>
  </si>
  <si>
    <t>apakšpasākuma "Mātes un bērna veselības uzlabošan" ietvaros īstenotai 
aktivitātei "Reproduktīvā materiāla saglabāšana pacientiem pirms ķīmijterapijas procedūrām, nodrošinot reproduktīvā materiāla uzglabāšanu un sieviešu kontracepcija -stacionāri"</t>
  </si>
  <si>
    <t>apakšpasākuma "Jaunu manipulāciju iekļaušana valsts apmaksāto pakalpojumu klāstā" aktivitātei "Intraoperatīvās monitorēšanas manipulāciju iekļaušanu no valsts budžeta apmaksājamo pakalpojumu klāstā"</t>
  </si>
  <si>
    <t>2024.-2026. gada prioritārā pasākuma "Veselības aprūpes pakalpojumu pieejamības un kvalitātes uzlabošana" apakšpasākuma "Veselības aprūpes pakalpojumu onkoloģijas jomā uzlabošana" aktivitātei "Biopsijas izmeklējumu pieejamība onkoloģisko slimību pacientiem - stacionāri"</t>
  </si>
  <si>
    <t xml:space="preserve">2024.-2026. gada prioritārā pasākuma "Veselības aprūpes pakalpojumu pieejamības un kvalitātes uzlabošana" apakšpasākuma "Profilakses pasākumi" aktivitātes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apakšaktivitātei "Atbrīvot narkoloģijas pacientus  (diagnožu grupa SSK-10 F10, F11-F16, F18-F19) no pacientu līdzmaksājumiem, saņemot veselības aprūpes pakalpojumus narkoloģijā ambulatori un stacionārā – līdzmaksājuma nodrošināšana" </t>
  </si>
  <si>
    <t>2025. gada fiskāli neitrāla pasākuma "Veselības aprūpes pakalpojumu onkoloģijas un citu slimību, kurām neatliekami turpināma terapija, uzlabošana" apakšpasākuma "Onkoloģija, hematoloģija" aktivitātei "Laboratoriska paredzes biomarķieru noteikšanas nodrošināšana"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</si>
</sst>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8"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204"/>
      <scheme val="minor"/>
    </font>
    <font>
      <sz val="10"/>
      <name val="Arial"/>
      <family val="2"/>
      <charset val="186"/>
    </font>
    <font>
      <sz val="10"/>
      <color theme="1"/>
      <name val="Times New Roman"/>
      <family val="1"/>
    </font>
    <font>
      <sz val="10"/>
      <color theme="1"/>
      <name val="Times New Roman"/>
      <family val="1"/>
      <charset val="186"/>
    </font>
    <font>
      <sz val="12"/>
      <color theme="1"/>
      <name val="Times New Roman"/>
      <family val="2"/>
      <charset val="186"/>
    </font>
    <font>
      <b/>
      <sz val="10"/>
      <color theme="1"/>
      <name val="Times New Roman"/>
      <family val="1"/>
      <charset val="186"/>
    </font>
    <font>
      <b/>
      <sz val="12"/>
      <color theme="1"/>
      <name val="Times New Roman"/>
      <family val="1"/>
      <charset val="186"/>
    </font>
    <font>
      <b/>
      <sz val="10"/>
      <color theme="1"/>
      <name val="Times New Roman"/>
      <family val="1"/>
    </font>
    <font>
      <sz val="11"/>
      <color theme="1"/>
      <name val="Times New Roman"/>
      <family val="2"/>
      <charset val="186"/>
    </font>
    <font>
      <b/>
      <sz val="11"/>
      <color theme="1"/>
      <name val="Times New Roman"/>
      <family val="1"/>
      <charset val="186"/>
    </font>
    <font>
      <b/>
      <i/>
      <sz val="12"/>
      <color indexed="8"/>
      <name val="Times New Roman"/>
      <family val="1"/>
      <charset val="186"/>
    </font>
    <font>
      <i/>
      <sz val="12"/>
      <color theme="1"/>
      <name val="Times New Roman"/>
      <family val="1"/>
      <charset val="186"/>
    </font>
    <font>
      <sz val="12"/>
      <color theme="1"/>
      <name val="Times New Roman"/>
      <family val="1"/>
    </font>
    <font>
      <i/>
      <sz val="11"/>
      <color theme="1"/>
      <name val="Times New Roman"/>
      <family val="1"/>
      <charset val="186"/>
    </font>
    <font>
      <i/>
      <sz val="10"/>
      <color theme="1"/>
      <name val="Times New Roman"/>
      <family val="1"/>
    </font>
    <font>
      <i/>
      <sz val="10"/>
      <color theme="1"/>
      <name val="Times New Roman"/>
      <family val="1"/>
      <charset val="186"/>
    </font>
    <font>
      <sz val="10"/>
      <color theme="1"/>
      <name val="Aptos Narrow"/>
      <family val="2"/>
      <charset val="186"/>
    </font>
    <font>
      <b/>
      <i/>
      <sz val="10"/>
      <color theme="1"/>
      <name val="Times New Roman"/>
      <family val="1"/>
      <charset val="186"/>
    </font>
    <font>
      <b/>
      <i/>
      <sz val="10"/>
      <color theme="1"/>
      <name val="Times New Roman"/>
      <family val="1"/>
    </font>
    <font>
      <sz val="11"/>
      <color theme="1"/>
      <name val="Aptos"/>
      <family val="2"/>
      <charset val="186"/>
    </font>
    <font>
      <sz val="14"/>
      <color theme="1"/>
      <name val="Times New Roman"/>
      <family val="1"/>
      <charset val="186"/>
    </font>
    <font>
      <i/>
      <sz val="12"/>
      <name val="Times New Roman"/>
      <family val="1"/>
    </font>
    <font>
      <sz val="12"/>
      <name val="Times New Roman"/>
      <family val="1"/>
    </font>
    <font>
      <b/>
      <sz val="12"/>
      <name val="Times New Roman"/>
      <family val="1"/>
    </font>
    <font>
      <sz val="11"/>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dotted">
        <color theme="2" tint="-0.24994659260841701"/>
      </right>
      <top style="thin">
        <color indexed="64"/>
      </top>
      <bottom style="thin">
        <color indexed="64"/>
      </bottom>
      <diagonal/>
    </border>
    <border>
      <left style="dotted">
        <color theme="2" tint="-0.24994659260841701"/>
      </left>
      <right style="dotted">
        <color theme="2" tint="-0.24994659260841701"/>
      </right>
      <top style="thin">
        <color indexed="64"/>
      </top>
      <bottom style="thin">
        <color indexed="64"/>
      </bottom>
      <diagonal/>
    </border>
    <border>
      <left style="dotted">
        <color theme="2" tint="-0.24994659260841701"/>
      </left>
      <right style="dotted">
        <color theme="2" tint="-0.24994659260841701"/>
      </right>
      <top/>
      <bottom style="dotted">
        <color theme="2" tint="-0.24994659260841701"/>
      </bottom>
      <diagonal/>
    </border>
    <border>
      <left style="dotted">
        <color theme="2" tint="-0.24994659260841701"/>
      </left>
      <right style="dotted">
        <color theme="2" tint="-0.24994659260841701"/>
      </right>
      <top style="dotted">
        <color theme="2" tint="-0.24994659260841701"/>
      </top>
      <bottom/>
      <diagonal/>
    </border>
    <border>
      <left style="dotted">
        <color theme="2" tint="-0.24994659260841701"/>
      </left>
      <right style="dotted">
        <color theme="2" tint="-0.24994659260841701"/>
      </right>
      <top/>
      <bottom/>
      <diagonal/>
    </border>
    <border>
      <left style="dotted">
        <color indexed="64"/>
      </left>
      <right style="dotted">
        <color indexed="64"/>
      </right>
      <top style="dotted">
        <color indexed="64"/>
      </top>
      <bottom style="dotted">
        <color indexed="64"/>
      </bottom>
      <diagonal/>
    </border>
    <border>
      <left style="dotted">
        <color indexed="64"/>
      </left>
      <right style="dotted">
        <color theme="2" tint="-0.24994659260841701"/>
      </right>
      <top style="dotted">
        <color indexed="64"/>
      </top>
      <bottom/>
      <diagonal/>
    </border>
    <border>
      <left style="dotted">
        <color theme="2" tint="-0.24994659260841701"/>
      </left>
      <right style="dotted">
        <color theme="2" tint="-0.24994659260841701"/>
      </right>
      <top style="dotted">
        <color indexed="64"/>
      </top>
      <bottom/>
      <diagonal/>
    </border>
    <border>
      <left style="dotted">
        <color theme="2" tint="-0.24994659260841701"/>
      </left>
      <right style="dotted">
        <color indexed="64"/>
      </right>
      <top style="dotted">
        <color indexed="64"/>
      </top>
      <bottom/>
      <diagonal/>
    </border>
    <border>
      <left style="dotted">
        <color indexed="64"/>
      </left>
      <right style="dotted">
        <color theme="2" tint="-0.24994659260841701"/>
      </right>
      <top style="thin">
        <color indexed="64"/>
      </top>
      <bottom style="thin">
        <color indexed="64"/>
      </bottom>
      <diagonal/>
    </border>
    <border>
      <left style="dotted">
        <color indexed="64"/>
      </left>
      <right style="dotted">
        <color theme="2" tint="-0.24994659260841701"/>
      </right>
      <top/>
      <bottom style="dotted">
        <color theme="2" tint="-0.24994659260841701"/>
      </bottom>
      <diagonal/>
    </border>
    <border>
      <left style="dotted">
        <color theme="2" tint="-0.24994659260841701"/>
      </left>
      <right style="dotted">
        <color indexed="64"/>
      </right>
      <top/>
      <bottom style="dotted">
        <color theme="2" tint="-0.24994659260841701"/>
      </bottom>
      <diagonal/>
    </border>
    <border>
      <left style="dotted">
        <color indexed="64"/>
      </left>
      <right style="dotted">
        <color theme="2" tint="-0.24994659260841701"/>
      </right>
      <top style="dotted">
        <color theme="2" tint="-0.24994659260841701"/>
      </top>
      <bottom/>
      <diagonal/>
    </border>
    <border>
      <left style="dotted">
        <color theme="2" tint="-0.24994659260841701"/>
      </left>
      <right style="dotted">
        <color indexed="64"/>
      </right>
      <top style="dotted">
        <color theme="2" tint="-0.24994659260841701"/>
      </top>
      <bottom/>
      <diagonal/>
    </border>
    <border>
      <left style="dotted">
        <color theme="2" tint="-0.24994659260841701"/>
      </left>
      <right style="dotted">
        <color indexed="64"/>
      </right>
      <top style="dotted">
        <color theme="2" tint="-0.24994659260841701"/>
      </top>
      <bottom style="dotted">
        <color theme="2" tint="-0.24994659260841701"/>
      </bottom>
      <diagonal/>
    </border>
    <border>
      <left style="dotted">
        <color theme="2" tint="-0.24994659260841701"/>
      </left>
      <right style="dotted">
        <color indexed="64"/>
      </right>
      <top/>
      <bottom/>
      <diagonal/>
    </border>
    <border>
      <left style="dotted">
        <color indexed="64"/>
      </left>
      <right style="dotted">
        <color theme="2" tint="-0.24994659260841701"/>
      </right>
      <top/>
      <bottom/>
      <diagonal/>
    </border>
  </borders>
  <cellStyleXfs count="9">
    <xf numFmtId="0" fontId="0" fillId="0" borderId="0"/>
    <xf numFmtId="0" fontId="3" fillId="0" borderId="0"/>
    <xf numFmtId="0" fontId="4" fillId="0" borderId="0"/>
    <xf numFmtId="0" fontId="2" fillId="0" borderId="0"/>
    <xf numFmtId="0" fontId="1" fillId="0" borderId="0"/>
    <xf numFmtId="9" fontId="7" fillId="0" borderId="0" applyFont="0" applyFill="0" applyBorder="0" applyAlignment="0" applyProtection="0"/>
    <xf numFmtId="0" fontId="11" fillId="0" borderId="0"/>
    <xf numFmtId="0" fontId="11" fillId="0" borderId="0"/>
    <xf numFmtId="9" fontId="11" fillId="0" borderId="0" applyFont="0" applyFill="0" applyBorder="0" applyAlignment="0" applyProtection="0"/>
  </cellStyleXfs>
  <cellXfs count="143">
    <xf numFmtId="0" fontId="0" fillId="0" borderId="0" xfId="0"/>
    <xf numFmtId="0" fontId="6" fillId="2" borderId="0" xfId="0" applyFont="1" applyFill="1"/>
    <xf numFmtId="3" fontId="9" fillId="0" borderId="22" xfId="0" applyNumberFormat="1" applyFont="1" applyBorder="1"/>
    <xf numFmtId="3" fontId="14" fillId="0" borderId="23" xfId="0" applyNumberFormat="1" applyFont="1" applyBorder="1"/>
    <xf numFmtId="3" fontId="14" fillId="0" borderId="24" xfId="0" applyNumberFormat="1" applyFont="1" applyBorder="1"/>
    <xf numFmtId="3" fontId="0" fillId="0" borderId="23" xfId="0" applyNumberFormat="1" applyBorder="1" applyAlignment="1">
      <alignment horizontal="right"/>
    </xf>
    <xf numFmtId="3" fontId="0" fillId="0" borderId="24" xfId="0" applyNumberFormat="1" applyBorder="1" applyAlignment="1">
      <alignment horizontal="right"/>
    </xf>
    <xf numFmtId="0" fontId="9" fillId="3" borderId="21" xfId="0" applyFont="1" applyFill="1" applyBorder="1" applyAlignment="1">
      <alignment horizontal="right"/>
    </xf>
    <xf numFmtId="3" fontId="9" fillId="3" borderId="22" xfId="0" applyNumberFormat="1" applyFont="1" applyFill="1" applyBorder="1" applyAlignment="1">
      <alignment horizontal="right"/>
    </xf>
    <xf numFmtId="0" fontId="14" fillId="0" borderId="0" xfId="0" applyFont="1"/>
    <xf numFmtId="3" fontId="14" fillId="0" borderId="25" xfId="0" applyNumberFormat="1" applyFont="1" applyBorder="1"/>
    <xf numFmtId="0" fontId="9" fillId="3" borderId="27" xfId="0" applyFont="1" applyFill="1" applyBorder="1" applyAlignment="1">
      <alignment horizontal="center" vertical="center"/>
    </xf>
    <xf numFmtId="0" fontId="9" fillId="3" borderId="28" xfId="0" applyFont="1" applyFill="1" applyBorder="1"/>
    <xf numFmtId="0" fontId="9" fillId="3" borderId="29" xfId="0" applyFont="1" applyFill="1" applyBorder="1"/>
    <xf numFmtId="0" fontId="9" fillId="0" borderId="30" xfId="0" applyFont="1" applyBorder="1"/>
    <xf numFmtId="0" fontId="14" fillId="0" borderId="31" xfId="0" applyFont="1" applyBorder="1" applyAlignment="1">
      <alignment horizontal="right"/>
    </xf>
    <xf numFmtId="3" fontId="14" fillId="0" borderId="32" xfId="0" applyNumberFormat="1" applyFont="1" applyBorder="1"/>
    <xf numFmtId="0" fontId="14" fillId="0" borderId="33" xfId="0" applyFont="1" applyBorder="1" applyAlignment="1">
      <alignment horizontal="right"/>
    </xf>
    <xf numFmtId="3" fontId="14" fillId="0" borderId="34" xfId="0" applyNumberFormat="1" applyFont="1" applyBorder="1"/>
    <xf numFmtId="3" fontId="14" fillId="0" borderId="35" xfId="0" applyNumberFormat="1" applyFont="1" applyBorder="1"/>
    <xf numFmtId="3" fontId="14" fillId="0" borderId="36" xfId="0" applyNumberFormat="1" applyFont="1" applyBorder="1"/>
    <xf numFmtId="3" fontId="0" fillId="0" borderId="32" xfId="0" applyNumberFormat="1" applyBorder="1" applyAlignment="1">
      <alignment horizontal="right"/>
    </xf>
    <xf numFmtId="3" fontId="0" fillId="0" borderId="34" xfId="0" applyNumberFormat="1" applyBorder="1" applyAlignment="1">
      <alignment horizontal="right"/>
    </xf>
    <xf numFmtId="0" fontId="14" fillId="0" borderId="37" xfId="0" applyFont="1" applyBorder="1" applyAlignment="1">
      <alignment horizontal="right"/>
    </xf>
    <xf numFmtId="0" fontId="14" fillId="0" borderId="37" xfId="0" applyFont="1" applyBorder="1" applyAlignment="1">
      <alignment horizontal="right" wrapText="1"/>
    </xf>
    <xf numFmtId="0" fontId="14" fillId="0" borderId="31" xfId="0" applyFont="1" applyBorder="1" applyAlignment="1">
      <alignment horizontal="right" wrapText="1"/>
    </xf>
    <xf numFmtId="3" fontId="9" fillId="0" borderId="25" xfId="0" applyNumberFormat="1" applyFont="1" applyBorder="1"/>
    <xf numFmtId="3" fontId="15" fillId="0" borderId="25" xfId="0" applyNumberFormat="1" applyFont="1" applyBorder="1"/>
    <xf numFmtId="3" fontId="9" fillId="0" borderId="36" xfId="0" applyNumberFormat="1" applyFont="1" applyBorder="1"/>
    <xf numFmtId="3" fontId="15" fillId="0" borderId="36" xfId="0" applyNumberFormat="1" applyFont="1" applyBorder="1"/>
    <xf numFmtId="0" fontId="14" fillId="0" borderId="26" xfId="0" applyFont="1" applyBorder="1" applyAlignment="1">
      <alignment horizontal="right"/>
    </xf>
    <xf numFmtId="3" fontId="0" fillId="0" borderId="26" xfId="0" applyNumberFormat="1" applyBorder="1" applyAlignment="1">
      <alignment horizontal="right"/>
    </xf>
    <xf numFmtId="0" fontId="14" fillId="0" borderId="0" xfId="0" applyFont="1" applyAlignment="1">
      <alignment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1" xfId="0" applyFont="1" applyFill="1" applyBorder="1"/>
    <xf numFmtId="0" fontId="6" fillId="2" borderId="1" xfId="0" applyFont="1" applyFill="1" applyBorder="1" applyAlignment="1">
      <alignment horizontal="left" vertical="center" wrapText="1"/>
    </xf>
    <xf numFmtId="3" fontId="6" fillId="2" borderId="1" xfId="0" applyNumberFormat="1" applyFont="1" applyFill="1" applyBorder="1" applyAlignment="1">
      <alignment horizontal="center" vertical="center"/>
    </xf>
    <xf numFmtId="0" fontId="6" fillId="2" borderId="1" xfId="0" applyFont="1" applyFill="1" applyBorder="1" applyAlignment="1">
      <alignment horizontal="center" vertical="center"/>
    </xf>
    <xf numFmtId="3" fontId="6" fillId="2" borderId="1" xfId="0" applyNumberFormat="1" applyFont="1" applyFill="1" applyBorder="1" applyAlignment="1">
      <alignment vertical="center"/>
    </xf>
    <xf numFmtId="0" fontId="6" fillId="2" borderId="1" xfId="0" applyFont="1" applyFill="1" applyBorder="1" applyAlignment="1">
      <alignment horizontal="justify" vertical="center" wrapText="1"/>
    </xf>
    <xf numFmtId="3" fontId="6" fillId="2" borderId="0" xfId="0" applyNumberFormat="1" applyFont="1" applyFill="1"/>
    <xf numFmtId="0" fontId="19" fillId="2" borderId="0" xfId="0" applyFont="1" applyFill="1"/>
    <xf numFmtId="164" fontId="6" fillId="2" borderId="1" xfId="0" applyNumberFormat="1" applyFont="1" applyFill="1" applyBorder="1" applyAlignment="1">
      <alignment horizontal="center" vertical="center"/>
    </xf>
    <xf numFmtId="3" fontId="8" fillId="2" borderId="1" xfId="0" applyNumberFormat="1" applyFont="1" applyFill="1" applyBorder="1" applyAlignment="1">
      <alignment horizontal="center" vertical="center"/>
    </xf>
    <xf numFmtId="0" fontId="8" fillId="2" borderId="0" xfId="0" applyFont="1" applyFill="1"/>
    <xf numFmtId="3" fontId="8" fillId="2" borderId="1"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8" fillId="2" borderId="0" xfId="0" applyFont="1" applyFill="1" applyAlignment="1">
      <alignment horizontal="right" vertical="top" wrapText="1"/>
    </xf>
    <xf numFmtId="3" fontId="8" fillId="2" borderId="0" xfId="0" applyNumberFormat="1" applyFont="1" applyFill="1" applyAlignment="1">
      <alignment horizontal="left" vertical="top" wrapText="1"/>
    </xf>
    <xf numFmtId="3" fontId="8" fillId="2" borderId="0" xfId="0" applyNumberFormat="1" applyFont="1" applyFill="1"/>
    <xf numFmtId="0" fontId="6" fillId="2" borderId="0" xfId="0" applyFont="1" applyFill="1" applyAlignment="1">
      <alignment horizontal="left" vertical="center" wrapText="1"/>
    </xf>
    <xf numFmtId="0" fontId="6" fillId="2" borderId="0" xfId="0" applyFont="1" applyFill="1" applyAlignment="1">
      <alignment horizontal="left" wrapText="1"/>
    </xf>
    <xf numFmtId="0" fontId="8" fillId="2" borderId="0" xfId="0" applyFont="1" applyFill="1" applyAlignment="1">
      <alignment horizontal="center" vertical="center" wrapText="1"/>
    </xf>
    <xf numFmtId="0" fontId="8" fillId="2" borderId="0" xfId="0" applyFont="1" applyFill="1" applyAlignment="1">
      <alignment horizontal="right" vertical="center" wrapText="1"/>
    </xf>
    <xf numFmtId="3" fontId="8" fillId="2" borderId="0" xfId="0" applyNumberFormat="1" applyFont="1" applyFill="1" applyAlignment="1">
      <alignment horizontal="center" vertical="center" wrapText="1"/>
    </xf>
    <xf numFmtId="165" fontId="6" fillId="2" borderId="1" xfId="0" applyNumberFormat="1" applyFont="1" applyFill="1" applyBorder="1" applyAlignment="1">
      <alignment horizontal="center" vertical="center"/>
    </xf>
    <xf numFmtId="0" fontId="6" fillId="2" borderId="8" xfId="0" applyFont="1" applyFill="1" applyBorder="1" applyAlignment="1">
      <alignment horizontal="left" vertical="center" wrapText="1"/>
    </xf>
    <xf numFmtId="0" fontId="20" fillId="2" borderId="0" xfId="0" applyFont="1" applyFill="1" applyAlignment="1">
      <alignment horizontal="left" vertical="top" wrapText="1"/>
    </xf>
    <xf numFmtId="0" fontId="6" fillId="2" borderId="7" xfId="0" applyFont="1" applyFill="1" applyBorder="1" applyAlignment="1">
      <alignment horizontal="left" vertical="center" wrapText="1"/>
    </xf>
    <xf numFmtId="4" fontId="6" fillId="2" borderId="0" xfId="0" applyNumberFormat="1" applyFont="1" applyFill="1"/>
    <xf numFmtId="0" fontId="6" fillId="2" borderId="3" xfId="0" applyFont="1" applyFill="1" applyBorder="1" applyAlignment="1">
      <alignment horizontal="right" vertical="center" wrapText="1"/>
    </xf>
    <xf numFmtId="3" fontId="8" fillId="2" borderId="3" xfId="0" applyNumberFormat="1" applyFont="1" applyFill="1" applyBorder="1" applyAlignment="1">
      <alignment horizontal="center" vertical="center" wrapText="1"/>
    </xf>
    <xf numFmtId="0" fontId="6" fillId="2" borderId="2" xfId="0" applyFont="1" applyFill="1" applyBorder="1" applyAlignment="1">
      <alignment horizontal="right" vertical="center" wrapText="1"/>
    </xf>
    <xf numFmtId="0" fontId="6" fillId="2" borderId="0" xfId="0" applyFont="1" applyFill="1" applyAlignment="1">
      <alignment horizontal="right"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wrapText="1"/>
    </xf>
    <xf numFmtId="0" fontId="6" fillId="2" borderId="0" xfId="0" applyFont="1" applyFill="1" applyAlignment="1">
      <alignment vertical="center" wrapText="1"/>
    </xf>
    <xf numFmtId="3" fontId="8" fillId="2" borderId="0" xfId="0" applyNumberFormat="1" applyFont="1" applyFill="1" applyAlignment="1">
      <alignment horizontal="center" vertical="center"/>
    </xf>
    <xf numFmtId="3" fontId="8" fillId="2" borderId="2" xfId="0" applyNumberFormat="1" applyFont="1" applyFill="1" applyBorder="1" applyAlignment="1">
      <alignment horizontal="center" vertical="center" wrapText="1"/>
    </xf>
    <xf numFmtId="9" fontId="6" fillId="2" borderId="0" xfId="5" applyFont="1" applyFill="1"/>
    <xf numFmtId="0" fontId="6" fillId="2" borderId="13" xfId="0" applyFont="1" applyFill="1" applyBorder="1" applyAlignment="1">
      <alignment horizontal="left" vertical="center" wrapText="1"/>
    </xf>
    <xf numFmtId="3" fontId="6" fillId="2" borderId="13" xfId="0" applyNumberFormat="1" applyFont="1" applyFill="1" applyBorder="1" applyAlignment="1">
      <alignment vertical="center"/>
    </xf>
    <xf numFmtId="164" fontId="6" fillId="2" borderId="13" xfId="0" applyNumberFormat="1" applyFont="1" applyFill="1" applyBorder="1" applyAlignment="1">
      <alignment vertical="center"/>
    </xf>
    <xf numFmtId="0" fontId="6" fillId="2" borderId="1" xfId="0" applyFont="1" applyFill="1" applyBorder="1" applyAlignment="1">
      <alignment vertical="center" wrapText="1"/>
    </xf>
    <xf numFmtId="3" fontId="8" fillId="2" borderId="1" xfId="0" applyNumberFormat="1" applyFont="1" applyFill="1" applyBorder="1" applyAlignment="1">
      <alignment vertical="center" wrapText="1"/>
    </xf>
    <xf numFmtId="3" fontId="8" fillId="2" borderId="6" xfId="0" applyNumberFormat="1" applyFont="1" applyFill="1" applyBorder="1" applyAlignment="1">
      <alignment horizontal="center" vertical="center"/>
    </xf>
    <xf numFmtId="0" fontId="12" fillId="2" borderId="14" xfId="7" applyFont="1" applyFill="1" applyBorder="1" applyAlignment="1">
      <alignment horizontal="center" vertical="center"/>
    </xf>
    <xf numFmtId="0" fontId="12" fillId="2" borderId="15" xfId="7" applyFont="1" applyFill="1" applyBorder="1" applyAlignment="1">
      <alignment horizontal="center" vertical="center"/>
    </xf>
    <xf numFmtId="0" fontId="12" fillId="2" borderId="15" xfId="7" applyFont="1" applyFill="1" applyBorder="1" applyAlignment="1">
      <alignment horizontal="center" vertical="center" wrapText="1"/>
    </xf>
    <xf numFmtId="0" fontId="12" fillId="2" borderId="16" xfId="7" applyFont="1" applyFill="1" applyBorder="1" applyAlignment="1">
      <alignment horizontal="center" vertical="center" wrapText="1"/>
    </xf>
    <xf numFmtId="0" fontId="12" fillId="2" borderId="14" xfId="7" applyFont="1" applyFill="1" applyBorder="1"/>
    <xf numFmtId="0" fontId="12" fillId="2" borderId="15" xfId="7" applyFont="1" applyFill="1" applyBorder="1"/>
    <xf numFmtId="3" fontId="12" fillId="2" borderId="15" xfId="7" applyNumberFormat="1" applyFont="1" applyFill="1" applyBorder="1"/>
    <xf numFmtId="3" fontId="12" fillId="2" borderId="16" xfId="7" applyNumberFormat="1" applyFont="1" applyFill="1" applyBorder="1"/>
    <xf numFmtId="3" fontId="6" fillId="2" borderId="0" xfId="0" applyNumberFormat="1" applyFont="1" applyFill="1" applyAlignment="1">
      <alignment horizontal="center" vertical="center" wrapText="1"/>
    </xf>
    <xf numFmtId="0" fontId="6" fillId="2" borderId="0" xfId="0" applyFont="1" applyFill="1" applyAlignment="1">
      <alignment horizontal="center" vertical="center" wrapText="1"/>
    </xf>
    <xf numFmtId="0" fontId="22" fillId="2" borderId="0" xfId="0" applyFont="1" applyFill="1"/>
    <xf numFmtId="0" fontId="6" fillId="2" borderId="0" xfId="0" applyFont="1" applyFill="1" applyAlignment="1">
      <alignment wrapText="1"/>
    </xf>
    <xf numFmtId="0" fontId="6" fillId="2" borderId="13" xfId="0" applyFont="1" applyFill="1" applyBorder="1" applyAlignment="1">
      <alignment horizontal="center" vertical="center" wrapText="1"/>
    </xf>
    <xf numFmtId="3" fontId="6" fillId="2" borderId="5" xfId="0" applyNumberFormat="1" applyFont="1" applyFill="1" applyBorder="1" applyAlignment="1">
      <alignment vertical="center"/>
    </xf>
    <xf numFmtId="0" fontId="6" fillId="2" borderId="9" xfId="0" applyFont="1" applyFill="1" applyBorder="1" applyAlignment="1">
      <alignment wrapText="1"/>
    </xf>
    <xf numFmtId="0" fontId="23" fillId="2" borderId="0" xfId="0" applyFont="1" applyFill="1"/>
    <xf numFmtId="0" fontId="24" fillId="0" borderId="26" xfId="0" applyFont="1" applyBorder="1" applyAlignment="1">
      <alignment horizontal="right"/>
    </xf>
    <xf numFmtId="3" fontId="25" fillId="0" borderId="26" xfId="0" applyNumberFormat="1" applyFont="1" applyBorder="1" applyAlignment="1">
      <alignment horizontal="right"/>
    </xf>
    <xf numFmtId="0" fontId="26" fillId="0" borderId="30" xfId="0" applyFont="1" applyBorder="1"/>
    <xf numFmtId="3" fontId="26" fillId="0" borderId="22" xfId="0" applyNumberFormat="1" applyFont="1" applyBorder="1"/>
    <xf numFmtId="0" fontId="25" fillId="0" borderId="0" xfId="0" applyFont="1"/>
    <xf numFmtId="0" fontId="18" fillId="2" borderId="0" xfId="0" applyFont="1" applyFill="1" applyAlignment="1">
      <alignment horizontal="right"/>
    </xf>
    <xf numFmtId="0" fontId="27" fillId="2" borderId="17" xfId="7" applyFont="1" applyFill="1" applyBorder="1"/>
    <xf numFmtId="0" fontId="27" fillId="2" borderId="7" xfId="7" applyFont="1" applyFill="1" applyBorder="1"/>
    <xf numFmtId="3" fontId="27" fillId="2" borderId="7" xfId="7" applyNumberFormat="1" applyFont="1" applyFill="1" applyBorder="1"/>
    <xf numFmtId="3" fontId="27" fillId="2" borderId="18" xfId="7" applyNumberFormat="1" applyFont="1" applyFill="1" applyBorder="1"/>
    <xf numFmtId="0" fontId="27" fillId="2" borderId="19" xfId="7" applyFont="1" applyFill="1" applyBorder="1"/>
    <xf numFmtId="0" fontId="27" fillId="2" borderId="1" xfId="7" applyFont="1" applyFill="1" applyBorder="1"/>
    <xf numFmtId="3" fontId="27" fillId="2" borderId="1" xfId="7" applyNumberFormat="1" applyFont="1" applyFill="1" applyBorder="1"/>
    <xf numFmtId="3" fontId="27" fillId="2" borderId="20" xfId="7" applyNumberFormat="1" applyFont="1" applyFill="1" applyBorder="1"/>
    <xf numFmtId="0" fontId="9" fillId="0" borderId="0" xfId="0" applyFont="1" applyAlignment="1">
      <alignment horizontal="center"/>
    </xf>
    <xf numFmtId="0" fontId="16" fillId="0" borderId="0" xfId="0" applyFont="1" applyAlignment="1">
      <alignment horizontal="left" vertical="top" wrapText="1"/>
    </xf>
    <xf numFmtId="0" fontId="8" fillId="2" borderId="5" xfId="0" applyFont="1" applyFill="1" applyBorder="1" applyAlignment="1">
      <alignment horizontal="right" vertical="center" wrapText="1"/>
    </xf>
    <xf numFmtId="0" fontId="8" fillId="2" borderId="4" xfId="0" applyFont="1" applyFill="1" applyBorder="1" applyAlignment="1">
      <alignment horizontal="right" vertical="center" wrapText="1"/>
    </xf>
    <xf numFmtId="0" fontId="6" fillId="2" borderId="1"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6" xfId="0" applyFont="1" applyFill="1" applyBorder="1" applyAlignment="1">
      <alignment horizontal="left" vertical="center" wrapText="1"/>
    </xf>
    <xf numFmtId="3" fontId="6" fillId="2" borderId="1" xfId="0" applyNumberFormat="1" applyFont="1" applyFill="1" applyBorder="1" applyAlignment="1">
      <alignment horizontal="center" vertical="center" wrapText="1"/>
    </xf>
    <xf numFmtId="0" fontId="8" fillId="2" borderId="6" xfId="0" applyFont="1" applyFill="1" applyBorder="1" applyAlignment="1">
      <alignment horizontal="right" vertical="center" wrapText="1"/>
    </xf>
    <xf numFmtId="3" fontId="8" fillId="2" borderId="4" xfId="0" applyNumberFormat="1" applyFont="1" applyFill="1" applyBorder="1" applyAlignment="1">
      <alignment horizontal="center" vertical="center" wrapText="1"/>
    </xf>
    <xf numFmtId="3" fontId="8" fillId="2" borderId="6" xfId="0" applyNumberFormat="1" applyFont="1" applyFill="1" applyBorder="1" applyAlignment="1">
      <alignment horizontal="center" vertical="center" wrapText="1"/>
    </xf>
    <xf numFmtId="0" fontId="6" fillId="2" borderId="0" xfId="0" applyFont="1" applyFill="1" applyAlignment="1">
      <alignment horizontal="left" vertical="center" wrapText="1"/>
    </xf>
    <xf numFmtId="0" fontId="8" fillId="2" borderId="0" xfId="0" applyFont="1" applyFill="1" applyAlignment="1">
      <alignment horizontal="center" vertical="center" wrapText="1"/>
    </xf>
    <xf numFmtId="0" fontId="8" fillId="2" borderId="0" xfId="0" applyFont="1" applyFill="1" applyAlignment="1">
      <alignment horizontal="center" wrapText="1"/>
    </xf>
    <xf numFmtId="0" fontId="8" fillId="2" borderId="2" xfId="0" applyFont="1" applyFill="1" applyBorder="1" applyAlignment="1">
      <alignment horizontal="center" wrapText="1"/>
    </xf>
    <xf numFmtId="0" fontId="6" fillId="2" borderId="0" xfId="0" applyFont="1" applyFill="1" applyAlignment="1">
      <alignment horizontal="center" wrapText="1"/>
    </xf>
    <xf numFmtId="0" fontId="6" fillId="2" borderId="10"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5" xfId="0" applyFont="1" applyFill="1" applyBorder="1" applyAlignment="1">
      <alignment horizontal="center" vertical="center" wrapText="1"/>
    </xf>
    <xf numFmtId="0" fontId="8" fillId="2" borderId="1" xfId="0" applyFont="1" applyFill="1" applyBorder="1" applyAlignment="1">
      <alignment horizontal="right" vertical="center" wrapText="1"/>
    </xf>
    <xf numFmtId="0" fontId="6" fillId="2" borderId="2" xfId="0" applyFont="1" applyFill="1" applyBorder="1" applyAlignment="1">
      <alignment horizontal="left" vertical="center" wrapText="1"/>
    </xf>
    <xf numFmtId="0" fontId="8" fillId="2" borderId="11" xfId="0" applyFont="1" applyFill="1" applyBorder="1" applyAlignment="1">
      <alignment horizontal="right" vertical="center" wrapText="1"/>
    </xf>
    <xf numFmtId="0" fontId="8" fillId="2" borderId="12" xfId="0" applyFont="1" applyFill="1" applyBorder="1" applyAlignment="1">
      <alignment horizontal="right" vertical="center" wrapText="1"/>
    </xf>
    <xf numFmtId="3" fontId="8" fillId="2" borderId="1" xfId="0" applyNumberFormat="1" applyFont="1" applyFill="1" applyBorder="1" applyAlignment="1">
      <alignment horizontal="center" vertical="center" wrapText="1"/>
    </xf>
    <xf numFmtId="0" fontId="20" fillId="2" borderId="0" xfId="0" applyFont="1" applyFill="1" applyAlignment="1">
      <alignment horizontal="left" vertical="top" wrapText="1"/>
    </xf>
    <xf numFmtId="0" fontId="6" fillId="2" borderId="1" xfId="0" applyFont="1" applyFill="1" applyBorder="1" applyAlignment="1">
      <alignment horizontal="left" vertical="center" wrapText="1"/>
    </xf>
    <xf numFmtId="0" fontId="20" fillId="2" borderId="3" xfId="0" applyFont="1" applyFill="1" applyBorder="1" applyAlignment="1">
      <alignment horizontal="left" vertical="top" wrapText="1"/>
    </xf>
    <xf numFmtId="3" fontId="6" fillId="2" borderId="0" xfId="0" applyNumberFormat="1" applyFont="1" applyFill="1" applyAlignment="1">
      <alignment horizontal="center" vertical="center"/>
    </xf>
    <xf numFmtId="0" fontId="6" fillId="2" borderId="1" xfId="0" applyFont="1" applyFill="1" applyBorder="1" applyAlignment="1">
      <alignment horizontal="right" vertical="center" wrapText="1"/>
    </xf>
    <xf numFmtId="0" fontId="8" fillId="2" borderId="2" xfId="0" applyFont="1" applyFill="1" applyBorder="1" applyAlignment="1">
      <alignment horizontal="center" vertical="center" wrapText="1"/>
    </xf>
    <xf numFmtId="0" fontId="18" fillId="2" borderId="0" xfId="0" applyFont="1" applyFill="1" applyAlignment="1">
      <alignment horizontal="left" vertical="top" wrapText="1"/>
    </xf>
    <xf numFmtId="0" fontId="18" fillId="2" borderId="0" xfId="0" applyFont="1" applyFill="1" applyAlignment="1">
      <alignment vertical="center" wrapText="1"/>
    </xf>
    <xf numFmtId="0" fontId="6" fillId="2" borderId="0" xfId="0" applyFont="1" applyFill="1" applyAlignment="1">
      <alignment vertical="center" wrapText="1"/>
    </xf>
    <xf numFmtId="0" fontId="18" fillId="2" borderId="3" xfId="0" applyFont="1" applyFill="1" applyBorder="1" applyAlignment="1">
      <alignment horizontal="left" vertical="top" wrapText="1"/>
    </xf>
    <xf numFmtId="0" fontId="11" fillId="2" borderId="0" xfId="6" applyFont="1" applyFill="1"/>
  </cellXfs>
  <cellStyles count="9">
    <cellStyle name="Normal" xfId="0" builtinId="0"/>
    <cellStyle name="Normal 2" xfId="1" xr:uid="{00000000-0005-0000-0000-000001000000}"/>
    <cellStyle name="Normal 2 2" xfId="7" xr:uid="{7E687D5F-5D50-4050-B813-89E92050216A}"/>
    <cellStyle name="Normal 3" xfId="2" xr:uid="{9D41523F-F8AA-4F44-AC8C-B0260FA479B5}"/>
    <cellStyle name="Normal 4" xfId="3" xr:uid="{B1810769-7A2C-463C-8137-F097B2828936}"/>
    <cellStyle name="Normal 4 2" xfId="4" xr:uid="{97062CD8-24E7-426F-99BC-615BE6C56179}"/>
    <cellStyle name="Normal 5" xfId="6" xr:uid="{1A7F335D-E8D1-48BB-8140-613F2E3A65C0}"/>
    <cellStyle name="Percent" xfId="5" builtinId="5"/>
    <cellStyle name="Percent 2" xfId="8" xr:uid="{DB8FB125-ADB4-4083-88CE-662B9957F7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63895-579E-4CAF-A77B-7803D6E5A4F3}">
  <dimension ref="A1:D77"/>
  <sheetViews>
    <sheetView topLeftCell="A30" zoomScaleNormal="100" workbookViewId="0">
      <selection activeCell="F14" sqref="F14"/>
    </sheetView>
  </sheetViews>
  <sheetFormatPr defaultRowHeight="15.75" x14ac:dyDescent="0.25"/>
  <cols>
    <col min="1" max="1" width="85.75" customWidth="1"/>
    <col min="2" max="2" width="15.375" customWidth="1"/>
    <col min="3" max="3" width="14.5" customWidth="1"/>
  </cols>
  <sheetData>
    <row r="1" spans="1:4" ht="35.25" customHeight="1" x14ac:dyDescent="0.25">
      <c r="B1" s="108" t="s">
        <v>126</v>
      </c>
      <c r="C1" s="108"/>
      <c r="D1" s="32"/>
    </row>
    <row r="3" spans="1:4" x14ac:dyDescent="0.25">
      <c r="A3" s="107" t="s">
        <v>136</v>
      </c>
      <c r="B3" s="107"/>
      <c r="C3" s="107"/>
    </row>
    <row r="5" spans="1:4" x14ac:dyDescent="0.25">
      <c r="A5" s="11" t="s">
        <v>127</v>
      </c>
      <c r="B5" s="12" t="s">
        <v>128</v>
      </c>
      <c r="C5" s="13" t="s">
        <v>129</v>
      </c>
    </row>
    <row r="6" spans="1:4" x14ac:dyDescent="0.25">
      <c r="A6" s="14" t="s">
        <v>137</v>
      </c>
      <c r="B6" s="2">
        <f>SUM(B7:B10)</f>
        <v>-2103969</v>
      </c>
      <c r="C6" s="2">
        <f>SUM(C7:C10)</f>
        <v>2103969</v>
      </c>
    </row>
    <row r="7" spans="1:4" x14ac:dyDescent="0.25">
      <c r="A7" s="15" t="s">
        <v>140</v>
      </c>
      <c r="B7" s="3">
        <f>-aprēķini!H5</f>
        <v>-1107802</v>
      </c>
      <c r="C7" s="16"/>
    </row>
    <row r="8" spans="1:4" x14ac:dyDescent="0.25">
      <c r="A8" s="15" t="s">
        <v>140</v>
      </c>
      <c r="B8" s="3">
        <f>-aprēķini!H6</f>
        <v>-167365</v>
      </c>
      <c r="C8" s="18"/>
    </row>
    <row r="9" spans="1:4" x14ac:dyDescent="0.25">
      <c r="A9" s="15" t="s">
        <v>140</v>
      </c>
      <c r="B9" s="3">
        <f>-aprēķini!H7</f>
        <v>-828802</v>
      </c>
      <c r="C9" s="20"/>
    </row>
    <row r="10" spans="1:4" ht="32.25" customHeight="1" x14ac:dyDescent="0.25">
      <c r="A10" s="24" t="s">
        <v>164</v>
      </c>
      <c r="B10" s="10"/>
      <c r="C10" s="20">
        <f>-aprēķini!H14</f>
        <v>2103969</v>
      </c>
    </row>
    <row r="11" spans="1:4" x14ac:dyDescent="0.25">
      <c r="A11" s="14" t="s">
        <v>130</v>
      </c>
      <c r="B11" s="2">
        <f>SUM(B12:B14)</f>
        <v>-651981</v>
      </c>
      <c r="C11" s="2">
        <f>SUM(C12:C14)</f>
        <v>651981</v>
      </c>
    </row>
    <row r="12" spans="1:4" x14ac:dyDescent="0.25">
      <c r="A12" s="15" t="s">
        <v>140</v>
      </c>
      <c r="B12" s="3">
        <f>-aprēķini!H28</f>
        <v>-651981</v>
      </c>
      <c r="C12" s="16"/>
    </row>
    <row r="13" spans="1:4" x14ac:dyDescent="0.25">
      <c r="A13" s="17" t="s">
        <v>15</v>
      </c>
      <c r="B13" s="4"/>
      <c r="C13" s="18">
        <f>-aprēķini!H35</f>
        <v>432593</v>
      </c>
    </row>
    <row r="14" spans="1:4" x14ac:dyDescent="0.25">
      <c r="A14" s="23" t="s">
        <v>16</v>
      </c>
      <c r="B14" s="10"/>
      <c r="C14" s="18">
        <f>-aprēķini!H36</f>
        <v>219388</v>
      </c>
    </row>
    <row r="15" spans="1:4" x14ac:dyDescent="0.25">
      <c r="A15" s="14" t="s">
        <v>131</v>
      </c>
      <c r="B15" s="2">
        <f>SUM(B16:B21)</f>
        <v>-4026934</v>
      </c>
      <c r="C15" s="2">
        <f>SUM(C16:C21)</f>
        <v>1094225</v>
      </c>
    </row>
    <row r="16" spans="1:4" s="9" customFormat="1" x14ac:dyDescent="0.25">
      <c r="A16" s="15" t="s">
        <v>140</v>
      </c>
      <c r="B16" s="3">
        <f>-aprēķini!H51</f>
        <v>-19948</v>
      </c>
      <c r="C16" s="16"/>
    </row>
    <row r="17" spans="1:3" s="9" customFormat="1" x14ac:dyDescent="0.25">
      <c r="A17" s="15" t="s">
        <v>140</v>
      </c>
      <c r="B17" s="3">
        <f>-aprēķini!H52</f>
        <v>-400000</v>
      </c>
      <c r="C17" s="19"/>
    </row>
    <row r="18" spans="1:3" s="9" customFormat="1" x14ac:dyDescent="0.25">
      <c r="A18" s="15" t="s">
        <v>140</v>
      </c>
      <c r="B18" s="3">
        <f>-aprēķini!H53</f>
        <v>-150000</v>
      </c>
      <c r="C18" s="19"/>
    </row>
    <row r="19" spans="1:3" s="9" customFormat="1" x14ac:dyDescent="0.25">
      <c r="A19" s="17" t="s">
        <v>132</v>
      </c>
      <c r="B19" s="4"/>
      <c r="C19" s="18">
        <f>-aprēķini!H62</f>
        <v>569948</v>
      </c>
    </row>
    <row r="20" spans="1:3" s="9" customFormat="1" x14ac:dyDescent="0.25">
      <c r="A20" s="15" t="s">
        <v>140</v>
      </c>
      <c r="B20" s="10">
        <f>-aprēķini!H77</f>
        <v>-3456986</v>
      </c>
      <c r="C20" s="20"/>
    </row>
    <row r="21" spans="1:3" s="9" customFormat="1" x14ac:dyDescent="0.25">
      <c r="A21" s="15" t="s">
        <v>140</v>
      </c>
      <c r="B21" s="10"/>
      <c r="C21" s="20">
        <f>-aprēķini!H162</f>
        <v>524277</v>
      </c>
    </row>
    <row r="22" spans="1:3" x14ac:dyDescent="0.25">
      <c r="A22" s="14" t="s">
        <v>133</v>
      </c>
      <c r="B22" s="2">
        <f>SUM(B23:B27)</f>
        <v>-579463</v>
      </c>
      <c r="C22" s="2">
        <f>SUM(C23:C27)</f>
        <v>55186</v>
      </c>
    </row>
    <row r="23" spans="1:3" x14ac:dyDescent="0.25">
      <c r="A23" s="15" t="s">
        <v>140</v>
      </c>
      <c r="B23" s="27">
        <f>-aprēķini!H153</f>
        <v>-524277</v>
      </c>
      <c r="C23" s="16"/>
    </row>
    <row r="24" spans="1:3" s="9" customFormat="1" x14ac:dyDescent="0.25">
      <c r="A24" s="15" t="s">
        <v>140</v>
      </c>
      <c r="B24" s="3">
        <f>-aprēķini!H176</f>
        <v>-30805</v>
      </c>
      <c r="C24" s="16"/>
    </row>
    <row r="25" spans="1:3" s="9" customFormat="1" x14ac:dyDescent="0.25">
      <c r="A25" s="15" t="s">
        <v>140</v>
      </c>
      <c r="B25" s="3">
        <f>-aprēķini!H177</f>
        <v>-8813</v>
      </c>
      <c r="C25" s="19"/>
    </row>
    <row r="26" spans="1:3" s="9" customFormat="1" x14ac:dyDescent="0.25">
      <c r="A26" s="15" t="s">
        <v>140</v>
      </c>
      <c r="B26" s="3">
        <f>-aprēķini!H178</f>
        <v>-15568</v>
      </c>
      <c r="C26" s="18"/>
    </row>
    <row r="27" spans="1:3" s="9" customFormat="1" ht="31.5" x14ac:dyDescent="0.25">
      <c r="A27" s="24" t="s">
        <v>142</v>
      </c>
      <c r="B27" s="10"/>
      <c r="C27" s="20">
        <f>-aprēķini!H185</f>
        <v>55186</v>
      </c>
    </row>
    <row r="28" spans="1:3" s="9" customFormat="1" x14ac:dyDescent="0.25">
      <c r="A28" s="14" t="s">
        <v>138</v>
      </c>
      <c r="B28" s="2">
        <f>SUM(B29:B39)</f>
        <v>-1047538</v>
      </c>
      <c r="C28" s="2">
        <f>SUM(C29:C39)</f>
        <v>2732585</v>
      </c>
    </row>
    <row r="29" spans="1:3" s="9" customFormat="1" x14ac:dyDescent="0.25">
      <c r="A29" s="15" t="s">
        <v>140</v>
      </c>
      <c r="B29" s="27">
        <f>-aprēķini!H199</f>
        <v>-403827</v>
      </c>
      <c r="C29" s="28"/>
    </row>
    <row r="30" spans="1:3" s="9" customFormat="1" x14ac:dyDescent="0.25">
      <c r="A30" s="15" t="s">
        <v>140</v>
      </c>
      <c r="B30" s="27">
        <f>-aprēķini!H200</f>
        <v>-100435</v>
      </c>
      <c r="C30" s="28"/>
    </row>
    <row r="31" spans="1:3" s="9" customFormat="1" x14ac:dyDescent="0.25">
      <c r="A31" s="15" t="s">
        <v>140</v>
      </c>
      <c r="B31" s="27">
        <f>-aprēķini!H201</f>
        <v>-87776</v>
      </c>
      <c r="C31" s="28"/>
    </row>
    <row r="32" spans="1:3" s="9" customFormat="1" x14ac:dyDescent="0.25">
      <c r="A32" s="15" t="s">
        <v>140</v>
      </c>
      <c r="B32" s="27">
        <f>-aprēķini!H202</f>
        <v>-189699</v>
      </c>
      <c r="C32" s="28"/>
    </row>
    <row r="33" spans="1:3" s="9" customFormat="1" x14ac:dyDescent="0.25">
      <c r="A33" s="15" t="s">
        <v>140</v>
      </c>
      <c r="B33" s="27">
        <f>-aprēķini!H203</f>
        <v>-10000</v>
      </c>
      <c r="C33" s="28"/>
    </row>
    <row r="34" spans="1:3" s="9" customFormat="1" x14ac:dyDescent="0.25">
      <c r="A34" s="15" t="s">
        <v>140</v>
      </c>
      <c r="B34" s="27">
        <f>-aprēķini!H204</f>
        <v>-48771</v>
      </c>
      <c r="C34" s="28"/>
    </row>
    <row r="35" spans="1:3" s="9" customFormat="1" x14ac:dyDescent="0.25">
      <c r="A35" s="15" t="s">
        <v>140</v>
      </c>
      <c r="B35" s="27">
        <f>-aprēķini!H205</f>
        <v>-157783</v>
      </c>
      <c r="C35" s="28"/>
    </row>
    <row r="36" spans="1:3" s="9" customFormat="1" x14ac:dyDescent="0.25">
      <c r="A36" s="15" t="s">
        <v>140</v>
      </c>
      <c r="B36" s="27">
        <f>-aprēķini!H206</f>
        <v>-40491</v>
      </c>
      <c r="C36" s="28"/>
    </row>
    <row r="37" spans="1:3" s="9" customFormat="1" x14ac:dyDescent="0.25">
      <c r="A37" s="15" t="s">
        <v>140</v>
      </c>
      <c r="B37" s="27">
        <f>-aprēķini!H207</f>
        <v>-8756</v>
      </c>
      <c r="C37" s="28"/>
    </row>
    <row r="38" spans="1:3" s="9" customFormat="1" x14ac:dyDescent="0.25">
      <c r="A38" s="15" t="s">
        <v>140</v>
      </c>
      <c r="B38" s="26"/>
      <c r="C38" s="29">
        <f>-aprēķini!H214</f>
        <v>1047538</v>
      </c>
    </row>
    <row r="39" spans="1:3" s="9" customFormat="1" ht="31.5" x14ac:dyDescent="0.25">
      <c r="A39" s="24" t="s">
        <v>57</v>
      </c>
      <c r="B39" s="26"/>
      <c r="C39" s="29">
        <f>aprēķini!H320</f>
        <v>1685047</v>
      </c>
    </row>
    <row r="40" spans="1:3" x14ac:dyDescent="0.25">
      <c r="A40" s="14" t="s">
        <v>139</v>
      </c>
      <c r="B40" s="2">
        <f>SUM(B41:B42)</f>
        <v>-7620</v>
      </c>
      <c r="C40" s="2">
        <f>SUM(C41:C42)</f>
        <v>7620</v>
      </c>
    </row>
    <row r="41" spans="1:3" x14ac:dyDescent="0.25">
      <c r="A41" s="15" t="s">
        <v>140</v>
      </c>
      <c r="B41" s="5">
        <f>-aprēķini!H228</f>
        <v>-7620</v>
      </c>
      <c r="C41" s="21"/>
    </row>
    <row r="42" spans="1:3" x14ac:dyDescent="0.25">
      <c r="A42" s="15" t="s">
        <v>140</v>
      </c>
      <c r="B42" s="6"/>
      <c r="C42" s="22">
        <f>-aprēķini!H235</f>
        <v>7620</v>
      </c>
    </row>
    <row r="43" spans="1:3" s="97" customFormat="1" x14ac:dyDescent="0.25">
      <c r="A43" s="95" t="s">
        <v>134</v>
      </c>
      <c r="B43" s="96">
        <f>SUM(B44:B70)</f>
        <v>-1101656</v>
      </c>
      <c r="C43" s="96">
        <f>SUM(C44:C70)</f>
        <v>4674515</v>
      </c>
    </row>
    <row r="44" spans="1:3" x14ac:dyDescent="0.25">
      <c r="A44" s="15" t="s">
        <v>140</v>
      </c>
      <c r="B44" s="22">
        <f>-aprēķini!H249</f>
        <v>-126629</v>
      </c>
      <c r="C44" s="22"/>
    </row>
    <row r="45" spans="1:3" x14ac:dyDescent="0.25">
      <c r="A45" s="25" t="s">
        <v>143</v>
      </c>
      <c r="B45" s="22"/>
      <c r="C45" s="22">
        <v>76012</v>
      </c>
    </row>
    <row r="46" spans="1:3" x14ac:dyDescent="0.25">
      <c r="A46" s="15" t="s">
        <v>140</v>
      </c>
      <c r="B46" s="22"/>
      <c r="C46" s="22">
        <v>50617</v>
      </c>
    </row>
    <row r="47" spans="1:3" x14ac:dyDescent="0.25">
      <c r="A47" s="15" t="s">
        <v>140</v>
      </c>
      <c r="B47" s="22">
        <f>-aprēķini!H250</f>
        <v>-230577</v>
      </c>
      <c r="C47" s="22"/>
    </row>
    <row r="48" spans="1:3" x14ac:dyDescent="0.25">
      <c r="A48" s="25" t="s">
        <v>143</v>
      </c>
      <c r="B48" s="22"/>
      <c r="C48" s="22">
        <v>230577</v>
      </c>
    </row>
    <row r="49" spans="1:3" x14ac:dyDescent="0.25">
      <c r="A49" s="15" t="s">
        <v>140</v>
      </c>
      <c r="B49" s="22">
        <f>-aprēķini!H251</f>
        <v>-41972</v>
      </c>
      <c r="C49" s="22"/>
    </row>
    <row r="50" spans="1:3" x14ac:dyDescent="0.25">
      <c r="A50" s="25" t="s">
        <v>143</v>
      </c>
      <c r="B50" s="22"/>
      <c r="C50" s="22">
        <v>41972</v>
      </c>
    </row>
    <row r="51" spans="1:3" x14ac:dyDescent="0.25">
      <c r="A51" s="15" t="s">
        <v>140</v>
      </c>
      <c r="B51" s="22">
        <f>-aprēķini!H252</f>
        <v>-106505</v>
      </c>
      <c r="C51" s="22"/>
    </row>
    <row r="52" spans="1:3" x14ac:dyDescent="0.25">
      <c r="A52" s="25" t="s">
        <v>143</v>
      </c>
      <c r="B52" s="22"/>
      <c r="C52" s="22">
        <v>106505</v>
      </c>
    </row>
    <row r="53" spans="1:3" x14ac:dyDescent="0.25">
      <c r="A53" s="15" t="s">
        <v>140</v>
      </c>
      <c r="B53" s="22">
        <f>-aprēķini!H253</f>
        <v>-58656</v>
      </c>
      <c r="C53" s="22"/>
    </row>
    <row r="54" spans="1:3" ht="31.5" x14ac:dyDescent="0.25">
      <c r="A54" s="25" t="s">
        <v>164</v>
      </c>
      <c r="B54" s="22"/>
      <c r="C54" s="22">
        <v>56520</v>
      </c>
    </row>
    <row r="55" spans="1:3" x14ac:dyDescent="0.25">
      <c r="A55" s="15" t="s">
        <v>140</v>
      </c>
      <c r="B55" s="22"/>
      <c r="C55" s="22">
        <v>2136</v>
      </c>
    </row>
    <row r="56" spans="1:3" x14ac:dyDescent="0.25">
      <c r="A56" s="15" t="s">
        <v>140</v>
      </c>
      <c r="B56" s="22">
        <f>-aprēķini!H254</f>
        <v>-5181</v>
      </c>
      <c r="C56" s="22"/>
    </row>
    <row r="57" spans="1:3" x14ac:dyDescent="0.25">
      <c r="A57" s="15" t="s">
        <v>140</v>
      </c>
      <c r="B57" s="22"/>
      <c r="C57" s="22">
        <v>5181</v>
      </c>
    </row>
    <row r="58" spans="1:3" x14ac:dyDescent="0.25">
      <c r="A58" s="15" t="s">
        <v>140</v>
      </c>
      <c r="B58" s="22">
        <f>-aprēķini!H255</f>
        <v>-36000</v>
      </c>
      <c r="C58" s="22"/>
    </row>
    <row r="59" spans="1:3" x14ac:dyDescent="0.25">
      <c r="A59" s="15" t="s">
        <v>140</v>
      </c>
      <c r="B59" s="22"/>
      <c r="C59" s="22">
        <v>36000</v>
      </c>
    </row>
    <row r="60" spans="1:3" x14ac:dyDescent="0.25">
      <c r="A60" s="15" t="s">
        <v>140</v>
      </c>
      <c r="B60" s="22">
        <f>-aprēķini!H256</f>
        <v>-47436</v>
      </c>
      <c r="C60" s="22"/>
    </row>
    <row r="61" spans="1:3" x14ac:dyDescent="0.25">
      <c r="A61" s="15" t="s">
        <v>140</v>
      </c>
      <c r="B61" s="22"/>
      <c r="C61" s="22">
        <v>47436</v>
      </c>
    </row>
    <row r="62" spans="1:3" x14ac:dyDescent="0.25">
      <c r="A62" s="15" t="s">
        <v>140</v>
      </c>
      <c r="B62" s="22">
        <f>-aprēķini!H257</f>
        <v>-448700</v>
      </c>
      <c r="C62" s="22"/>
    </row>
    <row r="63" spans="1:3" x14ac:dyDescent="0.25">
      <c r="A63" s="15" t="s">
        <v>143</v>
      </c>
      <c r="B63" s="22"/>
      <c r="C63" s="22">
        <v>222988</v>
      </c>
    </row>
    <row r="64" spans="1:3" x14ac:dyDescent="0.25">
      <c r="A64" s="15" t="s">
        <v>140</v>
      </c>
      <c r="B64" s="22"/>
      <c r="C64" s="22">
        <v>182034</v>
      </c>
    </row>
    <row r="65" spans="1:3" x14ac:dyDescent="0.25">
      <c r="A65" s="15" t="s">
        <v>140</v>
      </c>
      <c r="B65" s="22"/>
      <c r="C65" s="22">
        <v>43678</v>
      </c>
    </row>
    <row r="66" spans="1:3" x14ac:dyDescent="0.25">
      <c r="A66" s="15" t="s">
        <v>141</v>
      </c>
      <c r="B66" s="22"/>
      <c r="C66" s="22">
        <f>-aprēķini!H85</f>
        <v>3456986</v>
      </c>
    </row>
    <row r="67" spans="1:3" x14ac:dyDescent="0.25">
      <c r="A67" s="93" t="s">
        <v>143</v>
      </c>
      <c r="B67" s="94"/>
      <c r="C67" s="94">
        <v>8664</v>
      </c>
    </row>
    <row r="68" spans="1:3" x14ac:dyDescent="0.25">
      <c r="A68" s="93" t="s">
        <v>143</v>
      </c>
      <c r="B68" s="94"/>
      <c r="C68" s="94">
        <v>2183</v>
      </c>
    </row>
    <row r="69" spans="1:3" x14ac:dyDescent="0.25">
      <c r="A69" s="93" t="s">
        <v>143</v>
      </c>
      <c r="B69" s="94"/>
      <c r="C69" s="94">
        <v>2643</v>
      </c>
    </row>
    <row r="70" spans="1:3" x14ac:dyDescent="0.25">
      <c r="A70" s="93" t="s">
        <v>143</v>
      </c>
      <c r="B70" s="94"/>
      <c r="C70" s="94">
        <v>102383</v>
      </c>
    </row>
    <row r="71" spans="1:3" x14ac:dyDescent="0.25">
      <c r="A71" s="14" t="s">
        <v>165</v>
      </c>
      <c r="B71" s="2">
        <f>SUM(B72:B76)</f>
        <v>-1800920</v>
      </c>
      <c r="C71" s="2">
        <f>SUM(C72:C76)</f>
        <v>0</v>
      </c>
    </row>
    <row r="72" spans="1:3" x14ac:dyDescent="0.25">
      <c r="A72" s="30" t="s">
        <v>140</v>
      </c>
      <c r="B72" s="31">
        <f>-aprēķini!H312</f>
        <v>-1685047</v>
      </c>
      <c r="C72" s="31"/>
    </row>
    <row r="73" spans="1:3" x14ac:dyDescent="0.25">
      <c r="A73" s="30" t="s">
        <v>140</v>
      </c>
      <c r="B73" s="31">
        <f>-aprēķini!H333</f>
        <v>-8664</v>
      </c>
      <c r="C73" s="31"/>
    </row>
    <row r="74" spans="1:3" x14ac:dyDescent="0.25">
      <c r="A74" s="30" t="s">
        <v>140</v>
      </c>
      <c r="B74" s="31">
        <f>-aprēķini!H334</f>
        <v>-2183</v>
      </c>
      <c r="C74" s="31"/>
    </row>
    <row r="75" spans="1:3" x14ac:dyDescent="0.25">
      <c r="A75" s="30" t="s">
        <v>140</v>
      </c>
      <c r="B75" s="31">
        <f>-aprēķini!H335</f>
        <v>-2643</v>
      </c>
      <c r="C75" s="31"/>
    </row>
    <row r="76" spans="1:3" x14ac:dyDescent="0.25">
      <c r="A76" s="30" t="s">
        <v>140</v>
      </c>
      <c r="B76" s="31">
        <f>-aprēķini!H336</f>
        <v>-102383</v>
      </c>
      <c r="C76" s="31"/>
    </row>
    <row r="77" spans="1:3" x14ac:dyDescent="0.25">
      <c r="A77" s="7" t="s">
        <v>135</v>
      </c>
      <c r="B77" s="8">
        <f>B6+B11+B15+B22+B28+B40+B43+B71</f>
        <v>-11320081</v>
      </c>
      <c r="C77" s="8">
        <f>C6+C11+C15+C22+C28+C40+C43+C71</f>
        <v>11320081</v>
      </c>
    </row>
  </sheetData>
  <mergeCells count="2">
    <mergeCell ref="A3:C3"/>
    <mergeCell ref="B1:C1"/>
  </mergeCells>
  <pageMargins left="0.7" right="0.7" top="0.75" bottom="0.75" header="0.3" footer="0.3"/>
  <pageSetup paperSize="9" scale="67"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A351E-EA1A-4E5D-9CAE-6C3FEB15FE1D}">
  <dimension ref="A1:O350"/>
  <sheetViews>
    <sheetView tabSelected="1" topLeftCell="A107" zoomScale="90" zoomScaleNormal="90" workbookViewId="0">
      <selection activeCell="F5" sqref="F5"/>
    </sheetView>
  </sheetViews>
  <sheetFormatPr defaultColWidth="8.5" defaultRowHeight="12.75" x14ac:dyDescent="0.2"/>
  <cols>
    <col min="1" max="1" width="27.5" style="1" customWidth="1"/>
    <col min="2" max="2" width="19.625" style="1" customWidth="1"/>
    <col min="3" max="3" width="14.625" style="1" customWidth="1"/>
    <col min="4" max="4" width="16.5" style="1" customWidth="1"/>
    <col min="5" max="8" width="10.125" style="1" customWidth="1"/>
    <col min="9" max="9" width="70.75" style="1" customWidth="1"/>
    <col min="10" max="10" width="20.375" style="1" customWidth="1"/>
    <col min="11" max="11" width="29.875" style="1" customWidth="1"/>
    <col min="12" max="13" width="8.5" style="1"/>
    <col min="14" max="14" width="11.125" style="1" customWidth="1"/>
    <col min="15" max="15" width="10.875" style="1" customWidth="1"/>
    <col min="16" max="36" width="8.5" style="1"/>
    <col min="37" max="37" width="8.5" style="1" customWidth="1"/>
    <col min="38" max="16384" width="8.5" style="1"/>
  </cols>
  <sheetData>
    <row r="1" spans="1:15" x14ac:dyDescent="0.2">
      <c r="I1" s="98" t="s">
        <v>163</v>
      </c>
    </row>
    <row r="2" spans="1:15" ht="30.75" customHeight="1" x14ac:dyDescent="0.2">
      <c r="A2" s="122" t="s">
        <v>0</v>
      </c>
      <c r="B2" s="122"/>
      <c r="C2" s="122"/>
      <c r="D2" s="122"/>
      <c r="E2" s="122"/>
      <c r="F2" s="122"/>
      <c r="G2" s="122"/>
      <c r="H2" s="122"/>
    </row>
    <row r="3" spans="1:15" ht="63.75" x14ac:dyDescent="0.2">
      <c r="A3" s="33" t="s">
        <v>1</v>
      </c>
      <c r="B3" s="33" t="s">
        <v>144</v>
      </c>
      <c r="C3" s="33" t="s">
        <v>145</v>
      </c>
      <c r="D3" s="33" t="s">
        <v>146</v>
      </c>
      <c r="E3" s="33" t="s">
        <v>147</v>
      </c>
      <c r="F3" s="33" t="s">
        <v>2</v>
      </c>
      <c r="G3" s="33" t="s">
        <v>3</v>
      </c>
      <c r="H3" s="33" t="s">
        <v>4</v>
      </c>
      <c r="I3" s="33" t="s">
        <v>5</v>
      </c>
    </row>
    <row r="4" spans="1:15" ht="18" customHeight="1" x14ac:dyDescent="0.2">
      <c r="A4" s="112" t="s">
        <v>64</v>
      </c>
      <c r="B4" s="113"/>
      <c r="C4" s="113"/>
      <c r="D4" s="113"/>
      <c r="E4" s="113"/>
      <c r="F4" s="113"/>
      <c r="G4" s="113"/>
      <c r="H4" s="114"/>
      <c r="I4" s="35"/>
    </row>
    <row r="5" spans="1:15" ht="114.75" x14ac:dyDescent="0.25">
      <c r="A5" s="36" t="s">
        <v>6</v>
      </c>
      <c r="B5" s="37">
        <v>1650000</v>
      </c>
      <c r="C5" s="37">
        <v>361465</v>
      </c>
      <c r="D5" s="37">
        <v>180733</v>
      </c>
      <c r="E5" s="37">
        <f>D5+C5</f>
        <v>542198</v>
      </c>
      <c r="F5" s="38">
        <f>ROUND((E5/B5)*100,1)</f>
        <v>32.9</v>
      </c>
      <c r="G5" s="37">
        <f>B5-E5</f>
        <v>1107802</v>
      </c>
      <c r="H5" s="39">
        <f>SUM(G5)</f>
        <v>1107802</v>
      </c>
      <c r="I5" s="40" t="s">
        <v>192</v>
      </c>
      <c r="J5" s="41"/>
      <c r="K5" s="123"/>
      <c r="L5" s="123"/>
      <c r="M5" s="123"/>
      <c r="N5" s="123"/>
      <c r="O5" s="42"/>
    </row>
    <row r="6" spans="1:15" ht="132.75" customHeight="1" x14ac:dyDescent="0.2">
      <c r="A6" s="36" t="s">
        <v>230</v>
      </c>
      <c r="B6" s="37">
        <v>180000</v>
      </c>
      <c r="C6" s="37">
        <v>8423</v>
      </c>
      <c r="D6" s="37">
        <v>4212</v>
      </c>
      <c r="E6" s="37">
        <f>D6+C6</f>
        <v>12635</v>
      </c>
      <c r="F6" s="43">
        <f>ROUND((E6/B6)*100,1)</f>
        <v>7</v>
      </c>
      <c r="G6" s="37">
        <f>B6-E6</f>
        <v>167365</v>
      </c>
      <c r="H6" s="39">
        <f>SUM(G6)</f>
        <v>167365</v>
      </c>
      <c r="I6" s="40" t="s">
        <v>193</v>
      </c>
      <c r="J6" s="41"/>
      <c r="K6" s="41"/>
    </row>
    <row r="7" spans="1:15" ht="118.5" customHeight="1" x14ac:dyDescent="0.2">
      <c r="A7" s="36" t="s">
        <v>169</v>
      </c>
      <c r="B7" s="37">
        <v>3407727</v>
      </c>
      <c r="C7" s="37">
        <v>1719283</v>
      </c>
      <c r="D7" s="37">
        <v>859642</v>
      </c>
      <c r="E7" s="37">
        <f>D7+C7</f>
        <v>2578925</v>
      </c>
      <c r="F7" s="43">
        <f>ROUND((E7/B7)*100,1)</f>
        <v>75.7</v>
      </c>
      <c r="G7" s="37">
        <f>B7-E7</f>
        <v>828802</v>
      </c>
      <c r="H7" s="39">
        <f>SUM(G7)</f>
        <v>828802</v>
      </c>
      <c r="I7" s="40" t="s">
        <v>194</v>
      </c>
      <c r="J7" s="41"/>
      <c r="K7" s="41"/>
    </row>
    <row r="8" spans="1:15" x14ac:dyDescent="0.2">
      <c r="A8" s="109" t="s">
        <v>158</v>
      </c>
      <c r="B8" s="110"/>
      <c r="C8" s="110"/>
      <c r="D8" s="110"/>
      <c r="E8" s="110"/>
      <c r="F8" s="110"/>
      <c r="G8" s="116"/>
      <c r="H8" s="44">
        <f>SUM(H5:H7)</f>
        <v>2103969</v>
      </c>
      <c r="I8" s="40"/>
    </row>
    <row r="9" spans="1:15" s="45" customFormat="1" ht="68.25" customHeight="1" x14ac:dyDescent="0.2">
      <c r="A9" s="134" t="s">
        <v>188</v>
      </c>
      <c r="B9" s="134"/>
      <c r="C9" s="134"/>
      <c r="D9" s="134"/>
      <c r="E9" s="134"/>
      <c r="F9" s="134"/>
      <c r="G9" s="134"/>
      <c r="H9" s="134"/>
      <c r="I9" s="134"/>
    </row>
    <row r="10" spans="1:15" s="45" customFormat="1" ht="16.5" customHeight="1" x14ac:dyDescent="0.2">
      <c r="A10" s="109" t="s">
        <v>69</v>
      </c>
      <c r="B10" s="110"/>
      <c r="C10" s="110"/>
      <c r="D10" s="110"/>
      <c r="E10" s="110"/>
      <c r="F10" s="110"/>
      <c r="G10" s="116"/>
      <c r="H10" s="46">
        <f>H8</f>
        <v>2103969</v>
      </c>
      <c r="I10" s="47"/>
    </row>
    <row r="11" spans="1:15" s="45" customFormat="1" ht="38.25" customHeight="1" x14ac:dyDescent="0.2">
      <c r="A11" s="47"/>
      <c r="B11" s="47"/>
      <c r="C11" s="47"/>
      <c r="D11" s="47"/>
      <c r="E11" s="47"/>
      <c r="F11" s="48"/>
      <c r="G11" s="48"/>
      <c r="H11" s="49"/>
      <c r="I11" s="47"/>
    </row>
    <row r="12" spans="1:15" s="45" customFormat="1" ht="15" customHeight="1" x14ac:dyDescent="0.2">
      <c r="A12" s="128" t="s">
        <v>65</v>
      </c>
      <c r="B12" s="128"/>
      <c r="C12" s="128"/>
      <c r="D12" s="128"/>
      <c r="E12" s="128"/>
      <c r="F12" s="128"/>
      <c r="G12" s="128"/>
      <c r="H12" s="128"/>
    </row>
    <row r="13" spans="1:15" ht="76.5" x14ac:dyDescent="0.2">
      <c r="A13" s="33" t="s">
        <v>1</v>
      </c>
      <c r="B13" s="33" t="s">
        <v>144</v>
      </c>
      <c r="C13" s="33" t="s">
        <v>145</v>
      </c>
      <c r="D13" s="33" t="s">
        <v>146</v>
      </c>
      <c r="E13" s="33" t="s">
        <v>147</v>
      </c>
      <c r="F13" s="33" t="s">
        <v>2</v>
      </c>
      <c r="G13" s="33" t="s">
        <v>149</v>
      </c>
      <c r="H13" s="33" t="s">
        <v>150</v>
      </c>
      <c r="I13" s="33" t="s">
        <v>5</v>
      </c>
    </row>
    <row r="14" spans="1:15" s="45" customFormat="1" ht="89.25" x14ac:dyDescent="0.2">
      <c r="A14" s="36" t="s">
        <v>236</v>
      </c>
      <c r="B14" s="37">
        <v>12414897</v>
      </c>
      <c r="C14" s="37">
        <v>12702283</v>
      </c>
      <c r="D14" s="37">
        <v>6351142</v>
      </c>
      <c r="E14" s="37">
        <f>C14+D14</f>
        <v>19053425</v>
      </c>
      <c r="F14" s="38">
        <f>ROUND((E14/B14)*100,1)</f>
        <v>153.5</v>
      </c>
      <c r="G14" s="37">
        <f>SUM(B14-E14)</f>
        <v>-6638528</v>
      </c>
      <c r="H14" s="37">
        <f>-H8</f>
        <v>-2103969</v>
      </c>
      <c r="I14" s="40" t="s">
        <v>195</v>
      </c>
      <c r="J14" s="1"/>
      <c r="L14" s="50"/>
    </row>
    <row r="15" spans="1:15" x14ac:dyDescent="0.2">
      <c r="A15" s="109" t="s">
        <v>158</v>
      </c>
      <c r="B15" s="110"/>
      <c r="C15" s="110"/>
      <c r="D15" s="110"/>
      <c r="E15" s="110"/>
      <c r="F15" s="110"/>
      <c r="G15" s="116"/>
      <c r="H15" s="46">
        <f>SUM(H14:H14)</f>
        <v>-2103969</v>
      </c>
    </row>
    <row r="16" spans="1:15" x14ac:dyDescent="0.2">
      <c r="A16" s="51"/>
      <c r="B16" s="52"/>
      <c r="C16" s="52"/>
      <c r="D16" s="52"/>
      <c r="E16" s="52"/>
      <c r="F16" s="52"/>
      <c r="G16" s="52"/>
      <c r="H16" s="52"/>
    </row>
    <row r="17" spans="1:12" x14ac:dyDescent="0.2">
      <c r="A17" s="120" t="s">
        <v>7</v>
      </c>
      <c r="B17" s="120"/>
      <c r="C17" s="120"/>
      <c r="D17" s="120"/>
      <c r="E17" s="120"/>
      <c r="F17" s="120"/>
      <c r="G17" s="120"/>
      <c r="H17" s="120"/>
    </row>
    <row r="18" spans="1:12" x14ac:dyDescent="0.2">
      <c r="A18" s="51"/>
      <c r="B18" s="52"/>
      <c r="C18" s="52"/>
      <c r="D18" s="52"/>
      <c r="E18" s="52"/>
      <c r="F18" s="52"/>
      <c r="G18" s="52"/>
      <c r="H18" s="52"/>
    </row>
    <row r="19" spans="1:12" x14ac:dyDescent="0.2">
      <c r="A19" s="111" t="s">
        <v>8</v>
      </c>
      <c r="B19" s="111"/>
      <c r="C19" s="111"/>
      <c r="D19" s="111"/>
      <c r="E19" s="111"/>
      <c r="F19" s="111"/>
      <c r="G19" s="111" t="s">
        <v>9</v>
      </c>
      <c r="H19" s="111"/>
    </row>
    <row r="20" spans="1:12" ht="25.5" customHeight="1" x14ac:dyDescent="0.2">
      <c r="A20" s="133" t="s">
        <v>10</v>
      </c>
      <c r="B20" s="133"/>
      <c r="C20" s="133"/>
      <c r="D20" s="133"/>
      <c r="E20" s="133"/>
      <c r="F20" s="133"/>
      <c r="G20" s="115">
        <v>107</v>
      </c>
      <c r="H20" s="115"/>
    </row>
    <row r="21" spans="1:12" x14ac:dyDescent="0.2">
      <c r="A21" s="109" t="s">
        <v>11</v>
      </c>
      <c r="B21" s="110"/>
      <c r="C21" s="110"/>
      <c r="D21" s="110"/>
      <c r="E21" s="110"/>
      <c r="F21" s="116"/>
      <c r="G21" s="117">
        <f>SUM(G20)</f>
        <v>107</v>
      </c>
      <c r="H21" s="118"/>
    </row>
    <row r="22" spans="1:12" x14ac:dyDescent="0.2">
      <c r="A22" s="54"/>
      <c r="B22" s="54"/>
      <c r="C22" s="54"/>
      <c r="D22" s="54"/>
      <c r="E22" s="54"/>
      <c r="F22" s="54"/>
      <c r="G22" s="55"/>
      <c r="H22" s="55"/>
    </row>
    <row r="23" spans="1:12" x14ac:dyDescent="0.2">
      <c r="A23" s="54"/>
      <c r="B23" s="54"/>
      <c r="C23" s="54"/>
      <c r="D23" s="54"/>
      <c r="E23" s="54"/>
      <c r="F23" s="54"/>
      <c r="G23" s="55"/>
      <c r="H23" s="55"/>
    </row>
    <row r="24" spans="1:12" x14ac:dyDescent="0.2">
      <c r="A24" s="51"/>
      <c r="B24" s="52"/>
      <c r="C24" s="52"/>
      <c r="D24" s="52"/>
      <c r="E24" s="52"/>
      <c r="F24" s="52"/>
      <c r="G24" s="52"/>
    </row>
    <row r="25" spans="1:12" ht="27.95" customHeight="1" x14ac:dyDescent="0.2">
      <c r="A25" s="122" t="s">
        <v>12</v>
      </c>
      <c r="B25" s="122"/>
      <c r="C25" s="122"/>
      <c r="D25" s="122"/>
      <c r="E25" s="122"/>
      <c r="F25" s="122"/>
      <c r="G25" s="122"/>
      <c r="H25" s="122"/>
    </row>
    <row r="26" spans="1:12" ht="63.75" x14ac:dyDescent="0.2">
      <c r="A26" s="33" t="s">
        <v>1</v>
      </c>
      <c r="B26" s="33" t="s">
        <v>144</v>
      </c>
      <c r="C26" s="33" t="s">
        <v>145</v>
      </c>
      <c r="D26" s="33" t="s">
        <v>146</v>
      </c>
      <c r="E26" s="33" t="s">
        <v>147</v>
      </c>
      <c r="F26" s="33" t="s">
        <v>2</v>
      </c>
      <c r="G26" s="33" t="s">
        <v>3</v>
      </c>
      <c r="H26" s="33" t="s">
        <v>4</v>
      </c>
      <c r="I26" s="33" t="s">
        <v>5</v>
      </c>
    </row>
    <row r="27" spans="1:12" ht="12.95" customHeight="1" x14ac:dyDescent="0.2">
      <c r="A27" s="112" t="s">
        <v>64</v>
      </c>
      <c r="B27" s="113"/>
      <c r="C27" s="113"/>
      <c r="D27" s="113"/>
      <c r="E27" s="113"/>
      <c r="F27" s="113"/>
      <c r="G27" s="113"/>
      <c r="H27" s="114"/>
      <c r="I27" s="35"/>
    </row>
    <row r="28" spans="1:12" ht="130.5" customHeight="1" x14ac:dyDescent="0.2">
      <c r="A28" s="36" t="s">
        <v>13</v>
      </c>
      <c r="B28" s="37">
        <v>1696493</v>
      </c>
      <c r="C28" s="37">
        <v>663712</v>
      </c>
      <c r="D28" s="37">
        <v>380800</v>
      </c>
      <c r="E28" s="37">
        <f>D28+C28</f>
        <v>1044512</v>
      </c>
      <c r="F28" s="56">
        <f>ROUND((E28/B28)*100,1)</f>
        <v>61.6</v>
      </c>
      <c r="G28" s="37">
        <f>SUM(B28-E28)</f>
        <v>651981</v>
      </c>
      <c r="H28" s="37">
        <f>G28</f>
        <v>651981</v>
      </c>
      <c r="I28" s="57" t="s">
        <v>196</v>
      </c>
      <c r="J28" s="41"/>
      <c r="L28" s="41"/>
    </row>
    <row r="29" spans="1:12" x14ac:dyDescent="0.2">
      <c r="A29" s="127" t="s">
        <v>14</v>
      </c>
      <c r="B29" s="127"/>
      <c r="C29" s="127"/>
      <c r="D29" s="127"/>
      <c r="E29" s="127"/>
      <c r="F29" s="127"/>
      <c r="G29" s="44">
        <f>G28</f>
        <v>651981</v>
      </c>
      <c r="H29" s="44">
        <f>H28</f>
        <v>651981</v>
      </c>
    </row>
    <row r="30" spans="1:12" ht="29.25" customHeight="1" x14ac:dyDescent="0.2">
      <c r="A30" s="132" t="s">
        <v>70</v>
      </c>
      <c r="B30" s="132"/>
      <c r="C30" s="132"/>
      <c r="D30" s="132"/>
      <c r="E30" s="132"/>
      <c r="F30" s="132"/>
      <c r="G30" s="132"/>
      <c r="H30" s="132"/>
      <c r="I30" s="132"/>
    </row>
    <row r="31" spans="1:12" ht="18" customHeight="1" x14ac:dyDescent="0.2">
      <c r="A31" s="127" t="s">
        <v>69</v>
      </c>
      <c r="B31" s="127"/>
      <c r="C31" s="127"/>
      <c r="D31" s="127"/>
      <c r="E31" s="127"/>
      <c r="F31" s="127"/>
      <c r="G31" s="127"/>
      <c r="H31" s="46">
        <f>H29</f>
        <v>651981</v>
      </c>
      <c r="I31" s="47"/>
    </row>
    <row r="32" spans="1:12" ht="24" customHeight="1" x14ac:dyDescent="0.2">
      <c r="A32" s="47"/>
      <c r="B32" s="47"/>
      <c r="C32" s="47"/>
      <c r="D32" s="47"/>
      <c r="E32" s="47"/>
      <c r="F32" s="47"/>
      <c r="G32" s="47"/>
      <c r="H32" s="49"/>
      <c r="I32" s="47"/>
    </row>
    <row r="33" spans="1:13" ht="12.95" customHeight="1" x14ac:dyDescent="0.2">
      <c r="A33" s="128" t="s">
        <v>65</v>
      </c>
      <c r="B33" s="128"/>
      <c r="C33" s="128"/>
      <c r="D33" s="128"/>
      <c r="E33" s="128"/>
      <c r="F33" s="128"/>
      <c r="G33" s="128"/>
      <c r="H33" s="128"/>
    </row>
    <row r="34" spans="1:13" ht="76.5" x14ac:dyDescent="0.2">
      <c r="A34" s="33" t="s">
        <v>1</v>
      </c>
      <c r="B34" s="33" t="s">
        <v>144</v>
      </c>
      <c r="C34" s="33" t="s">
        <v>145</v>
      </c>
      <c r="D34" s="33" t="s">
        <v>146</v>
      </c>
      <c r="E34" s="33" t="s">
        <v>147</v>
      </c>
      <c r="F34" s="33" t="s">
        <v>2</v>
      </c>
      <c r="G34" s="33" t="s">
        <v>149</v>
      </c>
      <c r="H34" s="33" t="s">
        <v>150</v>
      </c>
      <c r="I34" s="33" t="s">
        <v>5</v>
      </c>
      <c r="J34" s="41"/>
    </row>
    <row r="35" spans="1:13" s="45" customFormat="1" ht="115.5" customHeight="1" x14ac:dyDescent="0.2">
      <c r="A35" s="36" t="s">
        <v>15</v>
      </c>
      <c r="B35" s="37">
        <v>2938559</v>
      </c>
      <c r="C35" s="37">
        <v>3235718.85</v>
      </c>
      <c r="D35" s="37">
        <v>1617859.425</v>
      </c>
      <c r="E35" s="37">
        <f>C35+D35</f>
        <v>4853578.2750000004</v>
      </c>
      <c r="F35" s="38">
        <f>ROUND((E35/B35)*100,1)</f>
        <v>165.2</v>
      </c>
      <c r="G35" s="37">
        <f>SUM(B35-E35)</f>
        <v>-1915019.2750000004</v>
      </c>
      <c r="H35" s="39">
        <v>-432593</v>
      </c>
      <c r="I35" s="57" t="s">
        <v>197</v>
      </c>
      <c r="J35" s="1"/>
      <c r="M35" s="50"/>
    </row>
    <row r="36" spans="1:13" s="45" customFormat="1" ht="63.75" customHeight="1" x14ac:dyDescent="0.2">
      <c r="A36" s="36" t="s">
        <v>71</v>
      </c>
      <c r="B36" s="37">
        <v>2718086</v>
      </c>
      <c r="C36" s="37">
        <v>1953610</v>
      </c>
      <c r="D36" s="37">
        <v>983864</v>
      </c>
      <c r="E36" s="37">
        <f>D36+C36</f>
        <v>2937474</v>
      </c>
      <c r="F36" s="38">
        <f>ROUND((E36/B36)*100,1)</f>
        <v>108.1</v>
      </c>
      <c r="G36" s="37">
        <f>SUM(B36-E36)</f>
        <v>-219388</v>
      </c>
      <c r="H36" s="39">
        <v>-219388</v>
      </c>
      <c r="I36" s="59" t="s">
        <v>198</v>
      </c>
      <c r="J36" s="41"/>
    </row>
    <row r="37" spans="1:13" ht="15" customHeight="1" x14ac:dyDescent="0.2">
      <c r="A37" s="109" t="s">
        <v>158</v>
      </c>
      <c r="B37" s="110"/>
      <c r="C37" s="110"/>
      <c r="D37" s="110"/>
      <c r="E37" s="110"/>
      <c r="F37" s="110"/>
      <c r="G37" s="46">
        <f>SUM(G35:G36)</f>
        <v>-2134407.2750000004</v>
      </c>
      <c r="H37" s="46">
        <f>SUM(H35:H36)</f>
        <v>-651981</v>
      </c>
      <c r="J37" s="60"/>
    </row>
    <row r="38" spans="1:13" ht="15" customHeight="1" x14ac:dyDescent="0.2">
      <c r="A38" s="61"/>
      <c r="B38" s="61"/>
      <c r="C38" s="61"/>
      <c r="D38" s="61"/>
      <c r="E38" s="61"/>
      <c r="F38" s="61"/>
      <c r="G38" s="61"/>
      <c r="H38" s="62"/>
      <c r="I38" s="50"/>
    </row>
    <row r="39" spans="1:13" s="45" customFormat="1" ht="15" customHeight="1" x14ac:dyDescent="0.2">
      <c r="A39" s="120" t="s">
        <v>7</v>
      </c>
      <c r="B39" s="120"/>
      <c r="C39" s="120"/>
      <c r="D39" s="120"/>
      <c r="E39" s="120"/>
      <c r="F39" s="120"/>
      <c r="G39" s="120"/>
      <c r="H39" s="120"/>
      <c r="I39" s="50"/>
    </row>
    <row r="40" spans="1:13" ht="15" customHeight="1" x14ac:dyDescent="0.2">
      <c r="A40" s="63"/>
      <c r="B40" s="63"/>
      <c r="C40" s="63"/>
      <c r="D40" s="63"/>
      <c r="E40" s="63"/>
      <c r="F40" s="63"/>
      <c r="G40" s="64"/>
      <c r="H40" s="55"/>
    </row>
    <row r="41" spans="1:13" ht="18" customHeight="1" x14ac:dyDescent="0.2">
      <c r="A41" s="111" t="s">
        <v>17</v>
      </c>
      <c r="B41" s="111"/>
      <c r="C41" s="111"/>
      <c r="D41" s="111"/>
      <c r="E41" s="111"/>
      <c r="F41" s="126"/>
      <c r="G41" s="111" t="s">
        <v>18</v>
      </c>
      <c r="H41" s="111"/>
      <c r="J41" s="41"/>
    </row>
    <row r="42" spans="1:13" ht="17.25" customHeight="1" x14ac:dyDescent="0.2">
      <c r="A42" s="112" t="s">
        <v>15</v>
      </c>
      <c r="B42" s="113"/>
      <c r="C42" s="113"/>
      <c r="D42" s="113"/>
      <c r="E42" s="113"/>
      <c r="F42" s="113"/>
      <c r="G42" s="115">
        <v>728</v>
      </c>
      <c r="H42" s="115"/>
      <c r="I42" s="41"/>
      <c r="J42" s="41"/>
      <c r="K42" s="41"/>
    </row>
    <row r="43" spans="1:13" ht="17.25" customHeight="1" x14ac:dyDescent="0.2">
      <c r="A43" s="124" t="s">
        <v>71</v>
      </c>
      <c r="B43" s="125"/>
      <c r="C43" s="125"/>
      <c r="D43" s="125"/>
      <c r="E43" s="125"/>
      <c r="F43" s="125"/>
      <c r="G43" s="115">
        <v>114</v>
      </c>
      <c r="H43" s="115"/>
      <c r="I43" s="41"/>
      <c r="J43" s="41"/>
      <c r="K43" s="41"/>
    </row>
    <row r="44" spans="1:13" s="45" customFormat="1" ht="15.75" customHeight="1" x14ac:dyDescent="0.2">
      <c r="A44" s="129" t="s">
        <v>19</v>
      </c>
      <c r="B44" s="130"/>
      <c r="C44" s="130"/>
      <c r="D44" s="130"/>
      <c r="E44" s="130"/>
      <c r="F44" s="130"/>
      <c r="G44" s="131">
        <f>SUM(G42:H43)</f>
        <v>842</v>
      </c>
      <c r="H44" s="131"/>
    </row>
    <row r="45" spans="1:13" ht="15" customHeight="1" x14ac:dyDescent="0.2">
      <c r="A45" s="64"/>
      <c r="B45" s="64"/>
      <c r="C45" s="64"/>
      <c r="D45" s="64"/>
      <c r="E45" s="64"/>
      <c r="F45" s="64"/>
      <c r="G45" s="64"/>
      <c r="H45" s="55"/>
    </row>
    <row r="46" spans="1:13" x14ac:dyDescent="0.2">
      <c r="A46" s="54"/>
      <c r="B46" s="54"/>
      <c r="C46" s="54"/>
      <c r="D46" s="54"/>
      <c r="E46" s="54"/>
      <c r="F46" s="54"/>
      <c r="G46" s="55"/>
      <c r="H46" s="55"/>
    </row>
    <row r="47" spans="1:13" x14ac:dyDescent="0.2">
      <c r="A47" s="51"/>
      <c r="B47" s="52"/>
      <c r="C47" s="52"/>
      <c r="D47" s="52"/>
      <c r="E47" s="52"/>
      <c r="F47" s="52"/>
      <c r="G47" s="52"/>
    </row>
    <row r="48" spans="1:13" ht="27.95" customHeight="1" x14ac:dyDescent="0.2">
      <c r="A48" s="122" t="s">
        <v>20</v>
      </c>
      <c r="B48" s="122"/>
      <c r="C48" s="122"/>
      <c r="D48" s="122"/>
      <c r="E48" s="122"/>
      <c r="F48" s="122"/>
      <c r="G48" s="122"/>
      <c r="H48" s="122"/>
    </row>
    <row r="49" spans="1:14" ht="63.75" x14ac:dyDescent="0.2">
      <c r="A49" s="33" t="s">
        <v>1</v>
      </c>
      <c r="B49" s="33" t="s">
        <v>144</v>
      </c>
      <c r="C49" s="33" t="s">
        <v>151</v>
      </c>
      <c r="D49" s="33" t="s">
        <v>146</v>
      </c>
      <c r="E49" s="33" t="s">
        <v>147</v>
      </c>
      <c r="F49" s="33" t="s">
        <v>2</v>
      </c>
      <c r="G49" s="33" t="s">
        <v>3</v>
      </c>
      <c r="H49" s="33" t="s">
        <v>4</v>
      </c>
      <c r="I49" s="33" t="s">
        <v>5</v>
      </c>
    </row>
    <row r="50" spans="1:14" ht="12.95" customHeight="1" x14ac:dyDescent="0.2">
      <c r="A50" s="112" t="s">
        <v>64</v>
      </c>
      <c r="B50" s="113"/>
      <c r="C50" s="113"/>
      <c r="D50" s="113"/>
      <c r="E50" s="113"/>
      <c r="F50" s="113"/>
      <c r="G50" s="113"/>
      <c r="H50" s="114"/>
      <c r="I50" s="35"/>
    </row>
    <row r="51" spans="1:14" ht="102" customHeight="1" x14ac:dyDescent="0.2">
      <c r="A51" s="36" t="s">
        <v>231</v>
      </c>
      <c r="B51" s="37">
        <v>979158</v>
      </c>
      <c r="C51" s="37">
        <v>959210</v>
      </c>
      <c r="D51" s="37">
        <v>0</v>
      </c>
      <c r="E51" s="37">
        <f>SUM(C51:D51)</f>
        <v>959210</v>
      </c>
      <c r="F51" s="56">
        <f>ROUND((E51/B51)*100,1)</f>
        <v>98</v>
      </c>
      <c r="G51" s="37">
        <f>B51-E51</f>
        <v>19948</v>
      </c>
      <c r="H51" s="37">
        <f>SUM(G51)</f>
        <v>19948</v>
      </c>
      <c r="I51" s="66" t="s">
        <v>152</v>
      </c>
      <c r="J51" s="41"/>
      <c r="K51" s="41"/>
    </row>
    <row r="52" spans="1:14" ht="91.5" customHeight="1" x14ac:dyDescent="0.2">
      <c r="A52" s="36" t="s">
        <v>122</v>
      </c>
      <c r="B52" s="37">
        <f>5798896+180446</f>
        <v>5979342</v>
      </c>
      <c r="C52" s="37">
        <v>5546392</v>
      </c>
      <c r="D52" s="37">
        <v>32950</v>
      </c>
      <c r="E52" s="37">
        <f>SUM(C52:D52)</f>
        <v>5579342</v>
      </c>
      <c r="F52" s="56">
        <f t="shared" ref="F52:F53" si="0">ROUND((E52/B52)*100,1)</f>
        <v>93.3</v>
      </c>
      <c r="G52" s="37">
        <f>B52-E52</f>
        <v>400000</v>
      </c>
      <c r="H52" s="37">
        <f>G52</f>
        <v>400000</v>
      </c>
      <c r="I52" s="66" t="s">
        <v>153</v>
      </c>
      <c r="J52" s="41"/>
      <c r="N52" s="41"/>
    </row>
    <row r="53" spans="1:14" ht="89.25" x14ac:dyDescent="0.2">
      <c r="A53" s="36" t="s">
        <v>170</v>
      </c>
      <c r="B53" s="37">
        <f>4554939+90556</f>
        <v>4645495</v>
      </c>
      <c r="C53" s="37">
        <v>2977547</v>
      </c>
      <c r="D53" s="37">
        <v>1517948</v>
      </c>
      <c r="E53" s="37">
        <f>SUM(C53:D53)</f>
        <v>4495495</v>
      </c>
      <c r="F53" s="56">
        <f t="shared" si="0"/>
        <v>96.8</v>
      </c>
      <c r="G53" s="37">
        <f>B53-E53</f>
        <v>150000</v>
      </c>
      <c r="H53" s="37">
        <v>150000</v>
      </c>
      <c r="I53" s="66" t="s">
        <v>154</v>
      </c>
      <c r="J53" s="41"/>
      <c r="N53" s="41"/>
    </row>
    <row r="54" spans="1:14" x14ac:dyDescent="0.2">
      <c r="A54" s="127" t="s">
        <v>14</v>
      </c>
      <c r="B54" s="127"/>
      <c r="C54" s="127"/>
      <c r="D54" s="127"/>
      <c r="E54" s="127"/>
      <c r="F54" s="127"/>
      <c r="G54" s="44">
        <f>SUM(G51:G53)</f>
        <v>569948</v>
      </c>
      <c r="H54" s="44">
        <f>SUM(H51:H53)</f>
        <v>569948</v>
      </c>
    </row>
    <row r="55" spans="1:14" x14ac:dyDescent="0.2">
      <c r="A55" s="139" t="s">
        <v>123</v>
      </c>
      <c r="B55" s="139"/>
      <c r="C55" s="139"/>
      <c r="D55" s="139"/>
      <c r="E55" s="139"/>
      <c r="F55" s="139"/>
      <c r="G55" s="139"/>
      <c r="H55" s="139"/>
      <c r="I55" s="139"/>
    </row>
    <row r="56" spans="1:14" x14ac:dyDescent="0.2">
      <c r="A56" s="139" t="s">
        <v>124</v>
      </c>
      <c r="B56" s="139"/>
      <c r="C56" s="139"/>
      <c r="D56" s="139"/>
      <c r="E56" s="139"/>
      <c r="F56" s="139"/>
      <c r="G56" s="139"/>
      <c r="H56" s="139"/>
      <c r="I56" s="139"/>
    </row>
    <row r="57" spans="1:14" ht="56.25" customHeight="1" x14ac:dyDescent="0.2">
      <c r="A57" s="132" t="s">
        <v>171</v>
      </c>
      <c r="B57" s="132"/>
      <c r="C57" s="132"/>
      <c r="D57" s="132"/>
      <c r="E57" s="132"/>
      <c r="F57" s="132"/>
      <c r="G57" s="132"/>
      <c r="H57" s="132"/>
      <c r="I57" s="132"/>
    </row>
    <row r="58" spans="1:14" ht="15.75" customHeight="1" x14ac:dyDescent="0.2">
      <c r="A58" s="127" t="s">
        <v>69</v>
      </c>
      <c r="B58" s="127"/>
      <c r="C58" s="127"/>
      <c r="D58" s="127"/>
      <c r="E58" s="127"/>
      <c r="F58" s="127"/>
      <c r="G58" s="127"/>
      <c r="H58" s="44">
        <f>H54</f>
        <v>569948</v>
      </c>
    </row>
    <row r="59" spans="1:14" x14ac:dyDescent="0.2">
      <c r="A59" s="54"/>
      <c r="B59" s="54"/>
      <c r="C59" s="54"/>
      <c r="D59" s="54"/>
      <c r="E59" s="54"/>
      <c r="F59" s="54"/>
      <c r="G59" s="68"/>
      <c r="H59" s="68"/>
    </row>
    <row r="60" spans="1:14" ht="12.95" customHeight="1" x14ac:dyDescent="0.2">
      <c r="A60" s="119" t="s">
        <v>65</v>
      </c>
      <c r="B60" s="119"/>
      <c r="C60" s="119"/>
      <c r="D60" s="119"/>
      <c r="E60" s="119"/>
      <c r="F60" s="119"/>
      <c r="G60" s="119"/>
      <c r="H60" s="119"/>
    </row>
    <row r="61" spans="1:14" ht="76.5" x14ac:dyDescent="0.2">
      <c r="A61" s="33" t="s">
        <v>1</v>
      </c>
      <c r="B61" s="33" t="s">
        <v>144</v>
      </c>
      <c r="C61" s="33" t="s">
        <v>145</v>
      </c>
      <c r="D61" s="33" t="s">
        <v>146</v>
      </c>
      <c r="E61" s="33" t="s">
        <v>147</v>
      </c>
      <c r="F61" s="33" t="s">
        <v>2</v>
      </c>
      <c r="G61" s="33" t="s">
        <v>149</v>
      </c>
      <c r="H61" s="33" t="s">
        <v>150</v>
      </c>
      <c r="I61" s="33" t="s">
        <v>5</v>
      </c>
      <c r="J61" s="41"/>
    </row>
    <row r="62" spans="1:14" ht="140.25" x14ac:dyDescent="0.2">
      <c r="A62" s="36" t="s">
        <v>66</v>
      </c>
      <c r="B62" s="37">
        <v>520000</v>
      </c>
      <c r="C62" s="37">
        <v>1332460</v>
      </c>
      <c r="D62" s="37">
        <v>0</v>
      </c>
      <c r="E62" s="37">
        <v>1332460</v>
      </c>
      <c r="F62" s="38">
        <v>256.2</v>
      </c>
      <c r="G62" s="37">
        <v>-812460</v>
      </c>
      <c r="H62" s="39">
        <f>-H54</f>
        <v>-569948</v>
      </c>
      <c r="I62" s="40" t="s">
        <v>199</v>
      </c>
      <c r="J62" s="41"/>
    </row>
    <row r="63" spans="1:14" ht="15" customHeight="1" x14ac:dyDescent="0.2">
      <c r="A63" s="109" t="s">
        <v>158</v>
      </c>
      <c r="B63" s="110"/>
      <c r="C63" s="110"/>
      <c r="D63" s="110"/>
      <c r="E63" s="110"/>
      <c r="F63" s="110"/>
      <c r="G63" s="46">
        <f>SUM(G62:G62)</f>
        <v>-812460</v>
      </c>
      <c r="H63" s="46">
        <f>SUM(H62:H62)</f>
        <v>-569948</v>
      </c>
    </row>
    <row r="64" spans="1:14" ht="15" customHeight="1" x14ac:dyDescent="0.2">
      <c r="A64" s="61"/>
      <c r="B64" s="61"/>
      <c r="C64" s="61"/>
      <c r="D64" s="61"/>
      <c r="E64" s="61"/>
      <c r="F64" s="61"/>
      <c r="G64" s="61"/>
      <c r="H64" s="62"/>
    </row>
    <row r="65" spans="1:15" s="45" customFormat="1" ht="15" customHeight="1" x14ac:dyDescent="0.2">
      <c r="A65" s="120" t="s">
        <v>7</v>
      </c>
      <c r="B65" s="120"/>
      <c r="C65" s="120"/>
      <c r="D65" s="120"/>
      <c r="E65" s="120"/>
      <c r="F65" s="120"/>
      <c r="G65" s="120"/>
      <c r="H65" s="120"/>
      <c r="I65" s="1"/>
    </row>
    <row r="66" spans="1:15" ht="15" customHeight="1" x14ac:dyDescent="0.2">
      <c r="A66" s="63"/>
      <c r="B66" s="63"/>
      <c r="C66" s="63"/>
      <c r="D66" s="63"/>
      <c r="E66" s="63"/>
      <c r="F66" s="63"/>
      <c r="G66" s="63"/>
      <c r="H66" s="69"/>
    </row>
    <row r="67" spans="1:15" ht="42.6" customHeight="1" x14ac:dyDescent="0.2">
      <c r="A67" s="111" t="s">
        <v>17</v>
      </c>
      <c r="B67" s="111"/>
      <c r="C67" s="111"/>
      <c r="D67" s="111"/>
      <c r="E67" s="111"/>
      <c r="F67" s="111"/>
      <c r="G67" s="111" t="s">
        <v>21</v>
      </c>
      <c r="H67" s="111"/>
    </row>
    <row r="68" spans="1:15" x14ac:dyDescent="0.2">
      <c r="A68" s="112" t="s">
        <v>166</v>
      </c>
      <c r="B68" s="113"/>
      <c r="C68" s="113"/>
      <c r="D68" s="113"/>
      <c r="E68" s="113"/>
      <c r="F68" s="114"/>
      <c r="G68" s="115">
        <v>191</v>
      </c>
      <c r="H68" s="115"/>
      <c r="I68" s="45"/>
      <c r="J68" s="41"/>
      <c r="L68" s="70"/>
    </row>
    <row r="69" spans="1:15" x14ac:dyDescent="0.2">
      <c r="A69" s="112" t="s">
        <v>67</v>
      </c>
      <c r="B69" s="113"/>
      <c r="C69" s="113"/>
      <c r="D69" s="113"/>
      <c r="E69" s="113"/>
      <c r="F69" s="114"/>
      <c r="G69" s="115">
        <v>305</v>
      </c>
      <c r="H69" s="115"/>
      <c r="J69" s="41"/>
    </row>
    <row r="70" spans="1:15" s="45" customFormat="1" x14ac:dyDescent="0.2">
      <c r="A70" s="109" t="s">
        <v>11</v>
      </c>
      <c r="B70" s="110"/>
      <c r="C70" s="110"/>
      <c r="D70" s="110"/>
      <c r="E70" s="110"/>
      <c r="F70" s="116"/>
      <c r="G70" s="131">
        <f>SUM(G68:H69)</f>
        <v>496</v>
      </c>
      <c r="H70" s="131"/>
      <c r="I70" s="1"/>
      <c r="L70" s="50"/>
    </row>
    <row r="71" spans="1:15" s="45" customFormat="1" x14ac:dyDescent="0.2">
      <c r="A71" s="54"/>
      <c r="B71" s="54"/>
      <c r="C71" s="54"/>
      <c r="D71" s="54"/>
      <c r="E71" s="54"/>
      <c r="F71" s="54"/>
      <c r="G71" s="55"/>
      <c r="H71" s="55"/>
      <c r="I71" s="1"/>
      <c r="L71" s="50"/>
    </row>
    <row r="72" spans="1:15" s="45" customFormat="1" x14ac:dyDescent="0.2">
      <c r="A72" s="54"/>
      <c r="B72" s="54"/>
      <c r="C72" s="54"/>
      <c r="D72" s="54"/>
      <c r="E72" s="54"/>
      <c r="F72" s="54"/>
      <c r="G72" s="55"/>
      <c r="H72" s="55"/>
      <c r="I72" s="1"/>
      <c r="L72" s="50"/>
    </row>
    <row r="73" spans="1:15" s="45" customFormat="1" x14ac:dyDescent="0.2">
      <c r="A73" s="54"/>
      <c r="B73" s="54"/>
      <c r="C73" s="54"/>
      <c r="D73" s="54"/>
      <c r="E73" s="54"/>
      <c r="F73" s="54"/>
      <c r="G73" s="55"/>
      <c r="H73" s="1"/>
      <c r="I73" s="1"/>
      <c r="L73" s="50"/>
    </row>
    <row r="74" spans="1:15" s="45" customFormat="1" ht="28.5" customHeight="1" x14ac:dyDescent="0.2">
      <c r="A74" s="137" t="s">
        <v>74</v>
      </c>
      <c r="B74" s="137"/>
      <c r="C74" s="137"/>
      <c r="D74" s="137"/>
      <c r="E74" s="137"/>
      <c r="F74" s="137"/>
      <c r="G74" s="137"/>
      <c r="H74" s="137"/>
      <c r="I74" s="1"/>
      <c r="L74" s="50"/>
    </row>
    <row r="75" spans="1:15" s="45" customFormat="1" ht="63.75" x14ac:dyDescent="0.2">
      <c r="A75" s="33" t="s">
        <v>1</v>
      </c>
      <c r="B75" s="33" t="s">
        <v>155</v>
      </c>
      <c r="C75" s="33" t="s">
        <v>145</v>
      </c>
      <c r="D75" s="33" t="s">
        <v>146</v>
      </c>
      <c r="E75" s="33" t="s">
        <v>147</v>
      </c>
      <c r="F75" s="33" t="s">
        <v>2</v>
      </c>
      <c r="G75" s="33" t="s">
        <v>3</v>
      </c>
      <c r="H75" s="65" t="s">
        <v>4</v>
      </c>
      <c r="I75" s="33" t="s">
        <v>5</v>
      </c>
      <c r="L75" s="50"/>
    </row>
    <row r="76" spans="1:15" s="45" customFormat="1" x14ac:dyDescent="0.2">
      <c r="A76" s="112" t="s">
        <v>64</v>
      </c>
      <c r="B76" s="113"/>
      <c r="C76" s="113"/>
      <c r="D76" s="113"/>
      <c r="E76" s="113"/>
      <c r="F76" s="113"/>
      <c r="G76" s="113"/>
      <c r="H76" s="113"/>
      <c r="I76" s="35"/>
      <c r="L76" s="50"/>
    </row>
    <row r="77" spans="1:15" s="45" customFormat="1" ht="99" customHeight="1" x14ac:dyDescent="0.2">
      <c r="A77" s="71" t="s">
        <v>237</v>
      </c>
      <c r="B77" s="39">
        <f>6818090+2142705</f>
        <v>8960795</v>
      </c>
      <c r="C77" s="39">
        <f>3999809</f>
        <v>3999809</v>
      </c>
      <c r="D77" s="39">
        <v>300000</v>
      </c>
      <c r="E77" s="72">
        <f>C77+D77</f>
        <v>4299809</v>
      </c>
      <c r="F77" s="73">
        <f>ROUND((E77/B77)*100,1)</f>
        <v>48</v>
      </c>
      <c r="G77" s="72">
        <f>B77-E77</f>
        <v>4660986</v>
      </c>
      <c r="H77" s="72">
        <v>3456986</v>
      </c>
      <c r="I77" s="74" t="s">
        <v>156</v>
      </c>
      <c r="L77" s="50"/>
    </row>
    <row r="78" spans="1:15" s="45" customFormat="1" ht="15" x14ac:dyDescent="0.25">
      <c r="A78" s="136" t="s">
        <v>157</v>
      </c>
      <c r="B78" s="136"/>
      <c r="C78" s="136"/>
      <c r="D78" s="136"/>
      <c r="E78" s="136"/>
      <c r="F78" s="136"/>
      <c r="G78" s="75">
        <f>G77</f>
        <v>4660986</v>
      </c>
      <c r="H78" s="76">
        <f>H77</f>
        <v>3456986</v>
      </c>
      <c r="I78" s="1"/>
      <c r="J78" s="1"/>
      <c r="K78" s="142"/>
      <c r="L78" s="142"/>
      <c r="M78" s="142"/>
      <c r="N78" s="142"/>
      <c r="O78" s="142"/>
    </row>
    <row r="79" spans="1:15" s="45" customFormat="1" ht="17.25" customHeight="1" x14ac:dyDescent="0.25">
      <c r="A79" s="138" t="s">
        <v>121</v>
      </c>
      <c r="B79" s="138"/>
      <c r="C79" s="138"/>
      <c r="D79" s="138"/>
      <c r="E79" s="138"/>
      <c r="F79" s="138"/>
      <c r="G79" s="138"/>
      <c r="H79" s="138"/>
      <c r="I79" s="138"/>
      <c r="J79" s="1"/>
      <c r="K79" s="142"/>
      <c r="L79" s="142"/>
      <c r="M79" s="142"/>
      <c r="N79" s="142"/>
      <c r="O79" s="142"/>
    </row>
    <row r="80" spans="1:15" s="45" customFormat="1" ht="42" customHeight="1" x14ac:dyDescent="0.2">
      <c r="A80" s="132" t="s">
        <v>238</v>
      </c>
      <c r="B80" s="132"/>
      <c r="C80" s="132"/>
      <c r="D80" s="132"/>
      <c r="E80" s="132"/>
      <c r="F80" s="132"/>
      <c r="G80" s="132"/>
      <c r="H80" s="132"/>
      <c r="I80" s="132"/>
      <c r="L80" s="50"/>
    </row>
    <row r="81" spans="1:12" s="45" customFormat="1" ht="13.5" customHeight="1" x14ac:dyDescent="0.2">
      <c r="A81" s="127" t="s">
        <v>69</v>
      </c>
      <c r="B81" s="127"/>
      <c r="C81" s="127"/>
      <c r="D81" s="127"/>
      <c r="E81" s="127"/>
      <c r="F81" s="127"/>
      <c r="G81" s="127"/>
      <c r="H81" s="44">
        <f>H78</f>
        <v>3456986</v>
      </c>
      <c r="I81" s="58"/>
      <c r="L81" s="50"/>
    </row>
    <row r="82" spans="1:12" s="45" customFormat="1" ht="13.5" customHeight="1" x14ac:dyDescent="0.2">
      <c r="A82" s="54"/>
      <c r="B82" s="54"/>
      <c r="C82" s="54"/>
      <c r="D82" s="54"/>
      <c r="E82" s="54"/>
      <c r="F82" s="54"/>
      <c r="G82" s="54"/>
      <c r="H82" s="68"/>
      <c r="I82" s="58"/>
      <c r="L82" s="50"/>
    </row>
    <row r="83" spans="1:12" s="45" customFormat="1" ht="13.5" customHeight="1" x14ac:dyDescent="0.2">
      <c r="A83" s="119" t="s">
        <v>65</v>
      </c>
      <c r="B83" s="119"/>
      <c r="C83" s="119"/>
      <c r="D83" s="119"/>
      <c r="E83" s="119"/>
      <c r="F83" s="119"/>
      <c r="G83" s="119"/>
      <c r="H83" s="119"/>
      <c r="I83" s="1"/>
      <c r="L83" s="50"/>
    </row>
    <row r="84" spans="1:12" s="45" customFormat="1" ht="79.5" customHeight="1" x14ac:dyDescent="0.2">
      <c r="A84" s="33" t="s">
        <v>1</v>
      </c>
      <c r="B84" s="33" t="s">
        <v>144</v>
      </c>
      <c r="C84" s="33" t="s">
        <v>145</v>
      </c>
      <c r="D84" s="33" t="s">
        <v>146</v>
      </c>
      <c r="E84" s="33" t="s">
        <v>147</v>
      </c>
      <c r="F84" s="33" t="s">
        <v>2</v>
      </c>
      <c r="G84" s="33" t="s">
        <v>149</v>
      </c>
      <c r="H84" s="33" t="s">
        <v>150</v>
      </c>
      <c r="I84" s="33" t="s">
        <v>5</v>
      </c>
      <c r="L84" s="50"/>
    </row>
    <row r="85" spans="1:12" s="45" customFormat="1" ht="57" customHeight="1" x14ac:dyDescent="0.2">
      <c r="A85" s="36" t="s">
        <v>119</v>
      </c>
      <c r="B85" s="37">
        <v>34009140</v>
      </c>
      <c r="C85" s="37">
        <v>28923332</v>
      </c>
      <c r="D85" s="37">
        <v>8542794</v>
      </c>
      <c r="E85" s="37">
        <f>C85+D85</f>
        <v>37466126</v>
      </c>
      <c r="F85" s="73">
        <f>ROUND((E85/B85)*100,1)</f>
        <v>110.2</v>
      </c>
      <c r="G85" s="37">
        <f>B85-E85</f>
        <v>-3456986</v>
      </c>
      <c r="H85" s="39">
        <f>-H78</f>
        <v>-3456986</v>
      </c>
      <c r="I85" s="40" t="s">
        <v>120</v>
      </c>
      <c r="L85" s="50"/>
    </row>
    <row r="86" spans="1:12" s="45" customFormat="1" ht="13.5" customHeight="1" x14ac:dyDescent="0.2">
      <c r="A86" s="109" t="s">
        <v>158</v>
      </c>
      <c r="B86" s="110"/>
      <c r="C86" s="110"/>
      <c r="D86" s="110"/>
      <c r="E86" s="110"/>
      <c r="F86" s="110"/>
      <c r="G86" s="46">
        <f>SUM(G85:G85)</f>
        <v>-3456986</v>
      </c>
      <c r="H86" s="46">
        <f>SUM(H85:H85)</f>
        <v>-3456986</v>
      </c>
      <c r="I86" s="1"/>
      <c r="L86" s="50"/>
    </row>
    <row r="87" spans="1:12" s="45" customFormat="1" ht="13.5" customHeight="1" x14ac:dyDescent="0.2">
      <c r="A87" s="54"/>
      <c r="B87" s="54"/>
      <c r="C87" s="54"/>
      <c r="D87" s="54"/>
      <c r="E87" s="54"/>
      <c r="F87" s="54"/>
      <c r="G87" s="55"/>
      <c r="H87" s="55"/>
      <c r="I87" s="1"/>
      <c r="L87" s="50"/>
    </row>
    <row r="88" spans="1:12" s="45" customFormat="1" ht="13.5" customHeight="1" x14ac:dyDescent="0.2">
      <c r="A88" s="120" t="s">
        <v>7</v>
      </c>
      <c r="B88" s="120"/>
      <c r="C88" s="120"/>
      <c r="D88" s="120"/>
      <c r="E88" s="120"/>
      <c r="F88" s="120"/>
      <c r="G88" s="120"/>
      <c r="H88" s="120"/>
      <c r="I88" s="1"/>
      <c r="L88" s="50"/>
    </row>
    <row r="89" spans="1:12" s="45" customFormat="1" ht="13.5" customHeight="1" thickBot="1" x14ac:dyDescent="0.25">
      <c r="A89" s="53"/>
      <c r="B89" s="53"/>
      <c r="C89" s="53"/>
      <c r="D89" s="53"/>
      <c r="E89" s="53"/>
      <c r="F89" s="53"/>
      <c r="G89" s="55"/>
      <c r="H89" s="53"/>
      <c r="I89" s="1"/>
      <c r="L89" s="50"/>
    </row>
    <row r="90" spans="1:12" s="45" customFormat="1" ht="72" thickBot="1" x14ac:dyDescent="0.25">
      <c r="A90" s="77" t="s">
        <v>75</v>
      </c>
      <c r="B90" s="78" t="s">
        <v>76</v>
      </c>
      <c r="C90" s="79" t="s">
        <v>77</v>
      </c>
      <c r="D90" s="80" t="s">
        <v>78</v>
      </c>
      <c r="E90" s="54"/>
      <c r="F90" s="54"/>
      <c r="G90" s="55"/>
      <c r="H90" s="55"/>
      <c r="I90" s="1"/>
      <c r="L90" s="50"/>
    </row>
    <row r="91" spans="1:12" s="45" customFormat="1" ht="15" x14ac:dyDescent="0.25">
      <c r="A91" s="99" t="s">
        <v>79</v>
      </c>
      <c r="B91" s="100" t="s">
        <v>80</v>
      </c>
      <c r="C91" s="101">
        <v>520</v>
      </c>
      <c r="D91" s="102">
        <v>898451</v>
      </c>
      <c r="E91" s="54"/>
      <c r="F91" s="54"/>
      <c r="G91" s="55"/>
      <c r="H91" s="55"/>
      <c r="I91" s="1"/>
      <c r="L91" s="50"/>
    </row>
    <row r="92" spans="1:12" s="45" customFormat="1" ht="15" x14ac:dyDescent="0.25">
      <c r="A92" s="103" t="s">
        <v>81</v>
      </c>
      <c r="B92" s="104" t="s">
        <v>82</v>
      </c>
      <c r="C92" s="105">
        <v>2</v>
      </c>
      <c r="D92" s="106">
        <v>4837</v>
      </c>
      <c r="E92" s="54"/>
      <c r="F92" s="54"/>
      <c r="G92" s="55"/>
      <c r="H92" s="55"/>
      <c r="I92" s="1"/>
      <c r="L92" s="50"/>
    </row>
    <row r="93" spans="1:12" s="45" customFormat="1" ht="15" x14ac:dyDescent="0.25">
      <c r="A93" s="103" t="s">
        <v>81</v>
      </c>
      <c r="B93" s="104" t="s">
        <v>83</v>
      </c>
      <c r="C93" s="105">
        <v>14</v>
      </c>
      <c r="D93" s="106">
        <v>53260</v>
      </c>
      <c r="E93" s="54"/>
      <c r="F93" s="54"/>
      <c r="G93" s="55"/>
      <c r="H93" s="55"/>
      <c r="I93" s="1"/>
      <c r="L93" s="50"/>
    </row>
    <row r="94" spans="1:12" s="45" customFormat="1" ht="15" x14ac:dyDescent="0.25">
      <c r="A94" s="103" t="s">
        <v>84</v>
      </c>
      <c r="B94" s="104" t="s">
        <v>85</v>
      </c>
      <c r="C94" s="105">
        <v>81</v>
      </c>
      <c r="D94" s="106">
        <v>60689</v>
      </c>
      <c r="E94" s="54"/>
      <c r="F94" s="54"/>
      <c r="G94" s="55"/>
      <c r="H94" s="55"/>
      <c r="I94" s="1"/>
      <c r="L94" s="50"/>
    </row>
    <row r="95" spans="1:12" s="45" customFormat="1" ht="15" x14ac:dyDescent="0.25">
      <c r="A95" s="103" t="s">
        <v>84</v>
      </c>
      <c r="B95" s="104" t="s">
        <v>86</v>
      </c>
      <c r="C95" s="105">
        <v>8</v>
      </c>
      <c r="D95" s="106">
        <v>5994</v>
      </c>
      <c r="E95" s="54"/>
      <c r="F95" s="54"/>
      <c r="G95" s="55"/>
      <c r="H95" s="55"/>
      <c r="I95" s="1"/>
      <c r="L95" s="50"/>
    </row>
    <row r="96" spans="1:12" s="45" customFormat="1" ht="15" x14ac:dyDescent="0.25">
      <c r="A96" s="103" t="s">
        <v>84</v>
      </c>
      <c r="B96" s="104" t="s">
        <v>87</v>
      </c>
      <c r="C96" s="105">
        <v>22</v>
      </c>
      <c r="D96" s="106">
        <v>19191</v>
      </c>
      <c r="E96" s="54"/>
      <c r="F96" s="54"/>
      <c r="G96" s="55"/>
      <c r="H96" s="55"/>
      <c r="I96" s="1"/>
      <c r="L96" s="50"/>
    </row>
    <row r="97" spans="1:12" s="45" customFormat="1" ht="15" x14ac:dyDescent="0.25">
      <c r="A97" s="103" t="s">
        <v>84</v>
      </c>
      <c r="B97" s="104" t="s">
        <v>88</v>
      </c>
      <c r="C97" s="105">
        <v>87</v>
      </c>
      <c r="D97" s="106">
        <v>33473</v>
      </c>
      <c r="E97" s="54"/>
      <c r="F97" s="54"/>
      <c r="G97" s="55"/>
      <c r="H97" s="55"/>
      <c r="I97" s="1"/>
      <c r="L97" s="50"/>
    </row>
    <row r="98" spans="1:12" s="45" customFormat="1" ht="15" x14ac:dyDescent="0.25">
      <c r="A98" s="103" t="s">
        <v>84</v>
      </c>
      <c r="B98" s="104" t="s">
        <v>89</v>
      </c>
      <c r="C98" s="105">
        <v>96</v>
      </c>
      <c r="D98" s="106">
        <v>210050</v>
      </c>
      <c r="E98" s="54"/>
      <c r="F98" s="54"/>
      <c r="G98" s="55"/>
      <c r="H98" s="55"/>
      <c r="I98" s="1"/>
      <c r="L98" s="50"/>
    </row>
    <row r="99" spans="1:12" s="45" customFormat="1" ht="15" x14ac:dyDescent="0.25">
      <c r="A99" s="103" t="s">
        <v>84</v>
      </c>
      <c r="B99" s="104" t="s">
        <v>90</v>
      </c>
      <c r="C99" s="105">
        <v>3</v>
      </c>
      <c r="D99" s="106">
        <v>2248</v>
      </c>
      <c r="E99" s="54"/>
      <c r="F99" s="54"/>
      <c r="G99" s="55"/>
      <c r="H99" s="55"/>
      <c r="I99" s="1"/>
      <c r="L99" s="50"/>
    </row>
    <row r="100" spans="1:12" s="45" customFormat="1" ht="15" x14ac:dyDescent="0.25">
      <c r="A100" s="103" t="s">
        <v>84</v>
      </c>
      <c r="B100" s="104" t="s">
        <v>91</v>
      </c>
      <c r="C100" s="105">
        <v>28</v>
      </c>
      <c r="D100" s="106">
        <v>14868</v>
      </c>
      <c r="E100" s="54"/>
      <c r="F100" s="54"/>
      <c r="G100" s="55"/>
      <c r="H100" s="55"/>
      <c r="I100" s="1"/>
      <c r="L100" s="50"/>
    </row>
    <row r="101" spans="1:12" s="45" customFormat="1" ht="15" x14ac:dyDescent="0.25">
      <c r="A101" s="103" t="s">
        <v>84</v>
      </c>
      <c r="B101" s="104" t="s">
        <v>92</v>
      </c>
      <c r="C101" s="105">
        <v>74</v>
      </c>
      <c r="D101" s="106">
        <v>293429</v>
      </c>
      <c r="E101" s="54"/>
      <c r="F101" s="54"/>
      <c r="G101" s="55"/>
      <c r="H101" s="55"/>
      <c r="I101" s="1"/>
      <c r="L101" s="50"/>
    </row>
    <row r="102" spans="1:12" s="45" customFormat="1" ht="15" x14ac:dyDescent="0.25">
      <c r="A102" s="103" t="s">
        <v>84</v>
      </c>
      <c r="B102" s="104" t="s">
        <v>93</v>
      </c>
      <c r="C102" s="105">
        <v>4</v>
      </c>
      <c r="D102" s="106">
        <v>2997</v>
      </c>
      <c r="E102" s="54"/>
      <c r="F102" s="54"/>
      <c r="G102" s="55"/>
      <c r="H102" s="55"/>
      <c r="I102" s="1"/>
      <c r="L102" s="50"/>
    </row>
    <row r="103" spans="1:12" s="45" customFormat="1" ht="15" x14ac:dyDescent="0.25">
      <c r="A103" s="103" t="s">
        <v>84</v>
      </c>
      <c r="B103" s="104" t="s">
        <v>94</v>
      </c>
      <c r="C103" s="105">
        <v>9</v>
      </c>
      <c r="D103" s="106">
        <v>5589</v>
      </c>
      <c r="E103" s="54"/>
      <c r="F103" s="54"/>
      <c r="G103" s="55"/>
      <c r="H103" s="55"/>
      <c r="I103" s="1"/>
      <c r="L103" s="50"/>
    </row>
    <row r="104" spans="1:12" s="45" customFormat="1" ht="15" x14ac:dyDescent="0.25">
      <c r="A104" s="103" t="s">
        <v>84</v>
      </c>
      <c r="B104" s="104" t="s">
        <v>95</v>
      </c>
      <c r="C104" s="105">
        <v>136</v>
      </c>
      <c r="D104" s="106">
        <v>17859</v>
      </c>
      <c r="E104" s="54"/>
      <c r="F104" s="54"/>
      <c r="G104" s="55"/>
      <c r="H104" s="55"/>
      <c r="I104" s="1"/>
      <c r="L104" s="50"/>
    </row>
    <row r="105" spans="1:12" s="45" customFormat="1" ht="15" x14ac:dyDescent="0.25">
      <c r="A105" s="103" t="s">
        <v>84</v>
      </c>
      <c r="B105" s="104" t="s">
        <v>96</v>
      </c>
      <c r="C105" s="105">
        <v>1</v>
      </c>
      <c r="D105" s="106">
        <v>1651</v>
      </c>
      <c r="E105" s="54"/>
      <c r="F105" s="54"/>
      <c r="G105" s="55"/>
      <c r="H105" s="55"/>
      <c r="I105" s="1"/>
      <c r="L105" s="50"/>
    </row>
    <row r="106" spans="1:12" s="45" customFormat="1" ht="15" x14ac:dyDescent="0.25">
      <c r="A106" s="103" t="s">
        <v>84</v>
      </c>
      <c r="B106" s="104" t="s">
        <v>82</v>
      </c>
      <c r="C106" s="105">
        <v>78</v>
      </c>
      <c r="D106" s="106">
        <v>69072</v>
      </c>
      <c r="E106" s="54"/>
      <c r="F106" s="54"/>
      <c r="G106" s="55"/>
      <c r="H106" s="55"/>
      <c r="I106" s="1"/>
      <c r="L106" s="50"/>
    </row>
    <row r="107" spans="1:12" s="45" customFormat="1" ht="15" x14ac:dyDescent="0.25">
      <c r="A107" s="103" t="s">
        <v>84</v>
      </c>
      <c r="B107" s="104" t="s">
        <v>97</v>
      </c>
      <c r="C107" s="105">
        <v>134</v>
      </c>
      <c r="D107" s="106">
        <v>100070</v>
      </c>
      <c r="E107" s="54"/>
      <c r="F107" s="54"/>
      <c r="G107" s="55"/>
      <c r="H107" s="55"/>
      <c r="I107" s="1"/>
      <c r="L107" s="50"/>
    </row>
    <row r="108" spans="1:12" s="45" customFormat="1" ht="15" x14ac:dyDescent="0.25">
      <c r="A108" s="103" t="s">
        <v>84</v>
      </c>
      <c r="B108" s="104" t="s">
        <v>98</v>
      </c>
      <c r="C108" s="105">
        <v>104</v>
      </c>
      <c r="D108" s="106">
        <v>77922</v>
      </c>
      <c r="E108" s="54"/>
      <c r="F108" s="54"/>
      <c r="G108" s="55"/>
      <c r="H108" s="55"/>
      <c r="I108" s="1"/>
      <c r="L108" s="50"/>
    </row>
    <row r="109" spans="1:12" s="45" customFormat="1" ht="15" x14ac:dyDescent="0.25">
      <c r="A109" s="103" t="s">
        <v>84</v>
      </c>
      <c r="B109" s="104" t="s">
        <v>99</v>
      </c>
      <c r="C109" s="105">
        <v>18</v>
      </c>
      <c r="D109" s="106">
        <v>60111</v>
      </c>
      <c r="E109" s="54"/>
      <c r="F109" s="54"/>
      <c r="G109" s="55"/>
      <c r="H109" s="55"/>
      <c r="I109" s="1"/>
      <c r="L109" s="50"/>
    </row>
    <row r="110" spans="1:12" s="45" customFormat="1" ht="15" x14ac:dyDescent="0.25">
      <c r="A110" s="103" t="s">
        <v>84</v>
      </c>
      <c r="B110" s="104" t="s">
        <v>100</v>
      </c>
      <c r="C110" s="105">
        <v>1</v>
      </c>
      <c r="D110" s="106">
        <v>625</v>
      </c>
      <c r="E110" s="54"/>
      <c r="F110" s="54"/>
      <c r="G110" s="55"/>
      <c r="H110" s="55"/>
      <c r="I110" s="1"/>
      <c r="L110" s="50"/>
    </row>
    <row r="111" spans="1:12" s="45" customFormat="1" ht="15" x14ac:dyDescent="0.25">
      <c r="A111" s="103" t="s">
        <v>84</v>
      </c>
      <c r="B111" s="104" t="s">
        <v>101</v>
      </c>
      <c r="C111" s="105">
        <v>0</v>
      </c>
      <c r="D111" s="106">
        <v>3314</v>
      </c>
      <c r="E111" s="54"/>
      <c r="F111" s="54"/>
      <c r="G111" s="55"/>
      <c r="H111" s="55"/>
      <c r="I111" s="1"/>
      <c r="L111" s="50"/>
    </row>
    <row r="112" spans="1:12" s="45" customFormat="1" ht="15" x14ac:dyDescent="0.25">
      <c r="A112" s="103" t="s">
        <v>84</v>
      </c>
      <c r="B112" s="104" t="s">
        <v>102</v>
      </c>
      <c r="C112" s="105">
        <v>9</v>
      </c>
      <c r="D112" s="106">
        <v>5258</v>
      </c>
      <c r="E112" s="54"/>
      <c r="F112" s="54"/>
      <c r="G112" s="55"/>
      <c r="H112" s="55"/>
      <c r="I112" s="1"/>
      <c r="L112" s="50"/>
    </row>
    <row r="113" spans="1:12" s="45" customFormat="1" ht="15" x14ac:dyDescent="0.25">
      <c r="A113" s="103" t="s">
        <v>84</v>
      </c>
      <c r="B113" s="104" t="s">
        <v>103</v>
      </c>
      <c r="C113" s="105">
        <v>41</v>
      </c>
      <c r="D113" s="106">
        <v>143817</v>
      </c>
      <c r="E113" s="54"/>
      <c r="F113" s="54"/>
      <c r="G113" s="55"/>
      <c r="H113" s="55"/>
      <c r="I113" s="1"/>
      <c r="L113" s="50"/>
    </row>
    <row r="114" spans="1:12" s="45" customFormat="1" ht="15" x14ac:dyDescent="0.25">
      <c r="A114" s="103" t="s">
        <v>84</v>
      </c>
      <c r="B114" s="104" t="s">
        <v>104</v>
      </c>
      <c r="C114" s="105">
        <v>58</v>
      </c>
      <c r="D114" s="106">
        <v>159439</v>
      </c>
      <c r="E114" s="54"/>
      <c r="F114" s="54"/>
      <c r="G114" s="55"/>
      <c r="H114" s="55"/>
      <c r="I114" s="1"/>
      <c r="L114" s="50"/>
    </row>
    <row r="115" spans="1:12" s="45" customFormat="1" ht="15" x14ac:dyDescent="0.25">
      <c r="A115" s="103" t="s">
        <v>84</v>
      </c>
      <c r="B115" s="104" t="s">
        <v>105</v>
      </c>
      <c r="C115" s="105">
        <v>2</v>
      </c>
      <c r="D115" s="106">
        <v>1498</v>
      </c>
      <c r="E115" s="54"/>
      <c r="F115" s="54"/>
      <c r="G115" s="55"/>
      <c r="H115" s="55"/>
      <c r="I115" s="1"/>
      <c r="L115" s="50"/>
    </row>
    <row r="116" spans="1:12" s="45" customFormat="1" ht="15" x14ac:dyDescent="0.25">
      <c r="A116" s="103" t="s">
        <v>84</v>
      </c>
      <c r="B116" s="104" t="s">
        <v>106</v>
      </c>
      <c r="C116" s="105">
        <v>64</v>
      </c>
      <c r="D116" s="106">
        <v>40076</v>
      </c>
      <c r="E116" s="54"/>
      <c r="F116" s="54"/>
      <c r="G116" s="55"/>
      <c r="H116" s="55"/>
      <c r="I116" s="1"/>
      <c r="L116" s="50"/>
    </row>
    <row r="117" spans="1:12" s="45" customFormat="1" ht="15" x14ac:dyDescent="0.25">
      <c r="A117" s="103" t="s">
        <v>84</v>
      </c>
      <c r="B117" s="104" t="s">
        <v>107</v>
      </c>
      <c r="C117" s="105">
        <v>28</v>
      </c>
      <c r="D117" s="106">
        <v>113786</v>
      </c>
      <c r="E117" s="54"/>
      <c r="F117" s="54"/>
      <c r="G117" s="55"/>
      <c r="H117" s="55"/>
      <c r="I117" s="1"/>
      <c r="L117" s="50"/>
    </row>
    <row r="118" spans="1:12" s="45" customFormat="1" ht="15" x14ac:dyDescent="0.25">
      <c r="A118" s="103" t="s">
        <v>84</v>
      </c>
      <c r="B118" s="104" t="s">
        <v>108</v>
      </c>
      <c r="C118" s="105">
        <v>132</v>
      </c>
      <c r="D118" s="106">
        <v>564965</v>
      </c>
      <c r="E118" s="54"/>
      <c r="F118" s="54"/>
      <c r="G118" s="55"/>
      <c r="H118" s="55"/>
      <c r="I118" s="1"/>
      <c r="L118" s="50"/>
    </row>
    <row r="119" spans="1:12" s="45" customFormat="1" ht="15" x14ac:dyDescent="0.25">
      <c r="A119" s="103" t="s">
        <v>84</v>
      </c>
      <c r="B119" s="104" t="s">
        <v>109</v>
      </c>
      <c r="C119" s="105">
        <v>4</v>
      </c>
      <c r="D119" s="106">
        <v>2997</v>
      </c>
      <c r="E119" s="54"/>
      <c r="F119" s="54"/>
      <c r="G119" s="55"/>
      <c r="H119" s="55"/>
      <c r="I119" s="1"/>
      <c r="L119" s="50"/>
    </row>
    <row r="120" spans="1:12" s="45" customFormat="1" ht="15" x14ac:dyDescent="0.25">
      <c r="A120" s="103" t="s">
        <v>84</v>
      </c>
      <c r="B120" s="104" t="s">
        <v>110</v>
      </c>
      <c r="C120" s="105">
        <v>80</v>
      </c>
      <c r="D120" s="106">
        <v>96211</v>
      </c>
      <c r="E120" s="54"/>
      <c r="F120" s="54"/>
      <c r="G120" s="55"/>
      <c r="H120" s="55"/>
      <c r="I120" s="1"/>
      <c r="L120" s="50"/>
    </row>
    <row r="121" spans="1:12" s="45" customFormat="1" ht="15" x14ac:dyDescent="0.25">
      <c r="A121" s="103" t="s">
        <v>84</v>
      </c>
      <c r="B121" s="104" t="s">
        <v>111</v>
      </c>
      <c r="C121" s="105">
        <v>35</v>
      </c>
      <c r="D121" s="106">
        <v>83193</v>
      </c>
      <c r="E121" s="54"/>
      <c r="F121" s="54"/>
      <c r="G121" s="55"/>
      <c r="H121" s="55"/>
      <c r="I121" s="1"/>
      <c r="L121" s="50"/>
    </row>
    <row r="122" spans="1:12" s="45" customFormat="1" ht="15" x14ac:dyDescent="0.25">
      <c r="A122" s="103" t="s">
        <v>112</v>
      </c>
      <c r="B122" s="104" t="s">
        <v>86</v>
      </c>
      <c r="C122" s="105">
        <v>0</v>
      </c>
      <c r="D122" s="106">
        <v>1275</v>
      </c>
      <c r="E122" s="54"/>
      <c r="F122" s="54"/>
      <c r="G122" s="55"/>
      <c r="H122" s="55"/>
      <c r="I122" s="1"/>
      <c r="L122" s="50"/>
    </row>
    <row r="123" spans="1:12" s="45" customFormat="1" ht="15" x14ac:dyDescent="0.25">
      <c r="A123" s="103" t="s">
        <v>112</v>
      </c>
      <c r="B123" s="104" t="s">
        <v>87</v>
      </c>
      <c r="C123" s="105">
        <v>0</v>
      </c>
      <c r="D123" s="106">
        <v>79</v>
      </c>
      <c r="E123" s="54"/>
      <c r="F123" s="54"/>
      <c r="G123" s="55"/>
      <c r="H123" s="55"/>
      <c r="I123" s="1"/>
      <c r="L123" s="50"/>
    </row>
    <row r="124" spans="1:12" s="45" customFormat="1" ht="15" x14ac:dyDescent="0.25">
      <c r="A124" s="103" t="s">
        <v>112</v>
      </c>
      <c r="B124" s="104" t="s">
        <v>88</v>
      </c>
      <c r="C124" s="105">
        <v>0</v>
      </c>
      <c r="D124" s="106">
        <v>5140</v>
      </c>
      <c r="E124" s="54"/>
      <c r="F124" s="54"/>
      <c r="G124" s="55"/>
      <c r="H124" s="55"/>
      <c r="I124" s="1"/>
      <c r="L124" s="50"/>
    </row>
    <row r="125" spans="1:12" s="45" customFormat="1" ht="15" x14ac:dyDescent="0.25">
      <c r="A125" s="103" t="s">
        <v>112</v>
      </c>
      <c r="B125" s="104" t="s">
        <v>89</v>
      </c>
      <c r="C125" s="105">
        <v>0</v>
      </c>
      <c r="D125" s="106">
        <v>45194</v>
      </c>
      <c r="E125" s="54"/>
      <c r="F125" s="54"/>
      <c r="G125" s="55"/>
      <c r="H125" s="55"/>
      <c r="I125" s="1"/>
      <c r="L125" s="50"/>
    </row>
    <row r="126" spans="1:12" s="45" customFormat="1" ht="15" x14ac:dyDescent="0.25">
      <c r="A126" s="103" t="s">
        <v>112</v>
      </c>
      <c r="B126" s="104" t="s">
        <v>90</v>
      </c>
      <c r="C126" s="105">
        <v>0</v>
      </c>
      <c r="D126" s="106">
        <v>421</v>
      </c>
      <c r="E126" s="54"/>
      <c r="F126" s="54"/>
      <c r="G126" s="55"/>
      <c r="H126" s="55"/>
      <c r="I126" s="1"/>
      <c r="L126" s="50"/>
    </row>
    <row r="127" spans="1:12" s="45" customFormat="1" ht="15" x14ac:dyDescent="0.25">
      <c r="A127" s="103" t="s">
        <v>112</v>
      </c>
      <c r="B127" s="104" t="s">
        <v>91</v>
      </c>
      <c r="C127" s="105">
        <v>0</v>
      </c>
      <c r="D127" s="106">
        <v>16689</v>
      </c>
      <c r="E127" s="54"/>
      <c r="F127" s="54"/>
      <c r="G127" s="55"/>
      <c r="H127" s="55"/>
      <c r="I127" s="1"/>
      <c r="L127" s="50"/>
    </row>
    <row r="128" spans="1:12" s="45" customFormat="1" ht="15" x14ac:dyDescent="0.25">
      <c r="A128" s="103" t="s">
        <v>112</v>
      </c>
      <c r="B128" s="104" t="s">
        <v>92</v>
      </c>
      <c r="C128" s="105">
        <v>0</v>
      </c>
      <c r="D128" s="106">
        <v>9589</v>
      </c>
      <c r="E128" s="54"/>
      <c r="F128" s="54"/>
      <c r="G128" s="55"/>
      <c r="H128" s="55"/>
      <c r="I128" s="1"/>
      <c r="L128" s="50"/>
    </row>
    <row r="129" spans="1:12" s="45" customFormat="1" ht="15" x14ac:dyDescent="0.25">
      <c r="A129" s="103" t="s">
        <v>112</v>
      </c>
      <c r="B129" s="104" t="s">
        <v>93</v>
      </c>
      <c r="C129" s="105">
        <v>0</v>
      </c>
      <c r="D129" s="106">
        <v>338</v>
      </c>
      <c r="E129" s="54"/>
      <c r="F129" s="54"/>
      <c r="G129" s="55"/>
      <c r="H129" s="55"/>
      <c r="I129" s="1"/>
      <c r="L129" s="50"/>
    </row>
    <row r="130" spans="1:12" s="45" customFormat="1" ht="15" x14ac:dyDescent="0.25">
      <c r="A130" s="103" t="s">
        <v>112</v>
      </c>
      <c r="B130" s="104" t="s">
        <v>95</v>
      </c>
      <c r="C130" s="105">
        <v>0</v>
      </c>
      <c r="D130" s="106">
        <v>2019</v>
      </c>
      <c r="E130" s="54"/>
      <c r="F130" s="54"/>
      <c r="G130" s="55"/>
      <c r="H130" s="55"/>
      <c r="I130" s="1"/>
      <c r="L130" s="50"/>
    </row>
    <row r="131" spans="1:12" s="45" customFormat="1" ht="15" x14ac:dyDescent="0.25">
      <c r="A131" s="103" t="s">
        <v>112</v>
      </c>
      <c r="B131" s="104" t="s">
        <v>82</v>
      </c>
      <c r="C131" s="105">
        <v>0</v>
      </c>
      <c r="D131" s="106">
        <v>43049</v>
      </c>
      <c r="E131" s="54"/>
      <c r="F131" s="54"/>
      <c r="G131" s="55"/>
      <c r="H131" s="55"/>
      <c r="I131" s="1"/>
      <c r="L131" s="50"/>
    </row>
    <row r="132" spans="1:12" s="45" customFormat="1" ht="15" x14ac:dyDescent="0.25">
      <c r="A132" s="103" t="s">
        <v>112</v>
      </c>
      <c r="B132" s="104" t="s">
        <v>113</v>
      </c>
      <c r="C132" s="105">
        <v>0</v>
      </c>
      <c r="D132" s="106">
        <v>1100</v>
      </c>
      <c r="E132" s="54"/>
      <c r="F132" s="54"/>
      <c r="G132" s="55"/>
      <c r="H132" s="55"/>
      <c r="I132" s="1"/>
      <c r="L132" s="50"/>
    </row>
    <row r="133" spans="1:12" s="45" customFormat="1" ht="15" x14ac:dyDescent="0.25">
      <c r="A133" s="103" t="s">
        <v>112</v>
      </c>
      <c r="B133" s="104" t="s">
        <v>99</v>
      </c>
      <c r="C133" s="105">
        <v>0</v>
      </c>
      <c r="D133" s="106">
        <v>1413</v>
      </c>
      <c r="E133" s="54"/>
      <c r="F133" s="54"/>
      <c r="G133" s="55"/>
      <c r="H133" s="55"/>
      <c r="I133" s="1"/>
      <c r="L133" s="50"/>
    </row>
    <row r="134" spans="1:12" s="45" customFormat="1" ht="15" x14ac:dyDescent="0.25">
      <c r="A134" s="103" t="s">
        <v>112</v>
      </c>
      <c r="B134" s="104" t="s">
        <v>114</v>
      </c>
      <c r="C134" s="105">
        <v>0</v>
      </c>
      <c r="D134" s="106">
        <v>1249</v>
      </c>
      <c r="E134" s="54"/>
      <c r="F134" s="54"/>
      <c r="G134" s="55"/>
      <c r="H134" s="55"/>
      <c r="I134" s="1"/>
      <c r="L134" s="50"/>
    </row>
    <row r="135" spans="1:12" s="45" customFormat="1" ht="15" x14ac:dyDescent="0.25">
      <c r="A135" s="103" t="s">
        <v>112</v>
      </c>
      <c r="B135" s="104" t="s">
        <v>100</v>
      </c>
      <c r="C135" s="105">
        <v>0</v>
      </c>
      <c r="D135" s="106">
        <v>791</v>
      </c>
      <c r="E135" s="54"/>
      <c r="F135" s="54"/>
      <c r="G135" s="55"/>
      <c r="H135" s="55"/>
      <c r="I135" s="1"/>
      <c r="L135" s="50"/>
    </row>
    <row r="136" spans="1:12" s="45" customFormat="1" ht="15" x14ac:dyDescent="0.25">
      <c r="A136" s="103" t="s">
        <v>112</v>
      </c>
      <c r="B136" s="104" t="s">
        <v>102</v>
      </c>
      <c r="C136" s="105">
        <v>0</v>
      </c>
      <c r="D136" s="106">
        <v>2674</v>
      </c>
      <c r="E136" s="54"/>
      <c r="F136" s="54"/>
      <c r="G136" s="55"/>
      <c r="H136" s="55"/>
      <c r="I136" s="1"/>
      <c r="L136" s="50"/>
    </row>
    <row r="137" spans="1:12" s="45" customFormat="1" ht="15" x14ac:dyDescent="0.25">
      <c r="A137" s="103" t="s">
        <v>112</v>
      </c>
      <c r="B137" s="104" t="s">
        <v>103</v>
      </c>
      <c r="C137" s="105">
        <v>0</v>
      </c>
      <c r="D137" s="106">
        <v>9404</v>
      </c>
      <c r="E137" s="54"/>
      <c r="F137" s="54"/>
      <c r="G137" s="55"/>
      <c r="H137" s="55"/>
      <c r="I137" s="1"/>
      <c r="L137" s="50"/>
    </row>
    <row r="138" spans="1:12" s="45" customFormat="1" ht="15" x14ac:dyDescent="0.25">
      <c r="A138" s="103" t="s">
        <v>112</v>
      </c>
      <c r="B138" s="104" t="s">
        <v>115</v>
      </c>
      <c r="C138" s="105">
        <v>0</v>
      </c>
      <c r="D138" s="106">
        <v>67444</v>
      </c>
      <c r="E138" s="54"/>
      <c r="F138" s="54"/>
      <c r="G138" s="55"/>
      <c r="H138" s="55"/>
      <c r="I138" s="1"/>
      <c r="L138" s="50"/>
    </row>
    <row r="139" spans="1:12" s="45" customFormat="1" ht="15" x14ac:dyDescent="0.25">
      <c r="A139" s="103" t="s">
        <v>112</v>
      </c>
      <c r="B139" s="104" t="s">
        <v>107</v>
      </c>
      <c r="C139" s="105">
        <v>0</v>
      </c>
      <c r="D139" s="106">
        <v>819</v>
      </c>
      <c r="E139" s="54"/>
      <c r="F139" s="54"/>
      <c r="G139" s="55"/>
      <c r="H139" s="55"/>
      <c r="I139" s="1"/>
      <c r="L139" s="50"/>
    </row>
    <row r="140" spans="1:12" s="45" customFormat="1" ht="15" x14ac:dyDescent="0.25">
      <c r="A140" s="103" t="s">
        <v>112</v>
      </c>
      <c r="B140" s="104" t="s">
        <v>116</v>
      </c>
      <c r="C140" s="105">
        <v>0</v>
      </c>
      <c r="D140" s="106">
        <v>10235</v>
      </c>
      <c r="E140" s="54"/>
      <c r="F140" s="54"/>
      <c r="G140" s="55"/>
      <c r="H140" s="55"/>
      <c r="I140" s="1"/>
      <c r="L140" s="50"/>
    </row>
    <row r="141" spans="1:12" s="45" customFormat="1" ht="15" x14ac:dyDescent="0.25">
      <c r="A141" s="103" t="s">
        <v>112</v>
      </c>
      <c r="B141" s="104" t="s">
        <v>108</v>
      </c>
      <c r="C141" s="105">
        <v>0</v>
      </c>
      <c r="D141" s="106">
        <v>53710</v>
      </c>
      <c r="E141" s="54"/>
      <c r="F141" s="54"/>
      <c r="G141" s="55"/>
      <c r="H141" s="55"/>
      <c r="I141" s="1"/>
      <c r="L141" s="50"/>
    </row>
    <row r="142" spans="1:12" s="45" customFormat="1" ht="15" x14ac:dyDescent="0.25">
      <c r="A142" s="103" t="s">
        <v>112</v>
      </c>
      <c r="B142" s="104" t="s">
        <v>109</v>
      </c>
      <c r="C142" s="105">
        <v>0</v>
      </c>
      <c r="D142" s="106">
        <v>6647</v>
      </c>
      <c r="E142" s="54"/>
      <c r="F142" s="54"/>
      <c r="G142" s="55"/>
      <c r="H142" s="55"/>
      <c r="I142" s="1"/>
      <c r="L142" s="50"/>
    </row>
    <row r="143" spans="1:12" s="45" customFormat="1" ht="15" x14ac:dyDescent="0.25">
      <c r="A143" s="103" t="s">
        <v>112</v>
      </c>
      <c r="B143" s="104" t="s">
        <v>117</v>
      </c>
      <c r="C143" s="105">
        <v>0</v>
      </c>
      <c r="D143" s="106">
        <v>16669</v>
      </c>
      <c r="E143" s="54"/>
      <c r="F143" s="54"/>
      <c r="G143" s="55"/>
      <c r="H143" s="55"/>
      <c r="I143" s="1"/>
      <c r="L143" s="50"/>
    </row>
    <row r="144" spans="1:12" s="45" customFormat="1" ht="15" x14ac:dyDescent="0.25">
      <c r="A144" s="103" t="s">
        <v>112</v>
      </c>
      <c r="B144" s="104" t="s">
        <v>110</v>
      </c>
      <c r="C144" s="105">
        <v>0</v>
      </c>
      <c r="D144" s="106">
        <v>11150</v>
      </c>
      <c r="E144" s="54"/>
      <c r="F144" s="54"/>
      <c r="G144" s="55"/>
      <c r="H144" s="55"/>
      <c r="I144" s="1"/>
      <c r="L144" s="50"/>
    </row>
    <row r="145" spans="1:12" s="45" customFormat="1" ht="15.75" thickBot="1" x14ac:dyDescent="0.3">
      <c r="A145" s="103" t="s">
        <v>112</v>
      </c>
      <c r="B145" s="104" t="s">
        <v>111</v>
      </c>
      <c r="C145" s="105">
        <v>0</v>
      </c>
      <c r="D145" s="106">
        <v>2948</v>
      </c>
      <c r="E145" s="54"/>
      <c r="F145" s="54"/>
      <c r="G145" s="55"/>
      <c r="H145" s="55"/>
      <c r="I145" s="1"/>
      <c r="L145" s="50"/>
    </row>
    <row r="146" spans="1:12" s="45" customFormat="1" ht="15" thickBot="1" x14ac:dyDescent="0.25">
      <c r="A146" s="81" t="s">
        <v>118</v>
      </c>
      <c r="B146" s="82"/>
      <c r="C146" s="83">
        <f>SUM(C91:C145)</f>
        <v>1873</v>
      </c>
      <c r="D146" s="84">
        <f>SUM(D91:D145)</f>
        <v>3456986</v>
      </c>
      <c r="E146" s="54"/>
      <c r="F146" s="54"/>
      <c r="G146" s="55"/>
      <c r="H146" s="55"/>
      <c r="I146" s="1"/>
      <c r="L146" s="50"/>
    </row>
    <row r="147" spans="1:12" s="45" customFormat="1" x14ac:dyDescent="0.2">
      <c r="A147" s="54"/>
      <c r="B147" s="54"/>
      <c r="C147" s="54"/>
      <c r="D147" s="54"/>
      <c r="E147" s="54"/>
      <c r="F147" s="54"/>
      <c r="G147" s="55"/>
      <c r="H147" s="55"/>
      <c r="I147" s="1"/>
      <c r="L147" s="50"/>
    </row>
    <row r="148" spans="1:12" ht="15" customHeight="1" x14ac:dyDescent="0.2">
      <c r="A148" s="64"/>
      <c r="B148" s="64"/>
      <c r="C148" s="64"/>
      <c r="D148" s="64"/>
      <c r="E148" s="64"/>
      <c r="F148" s="64"/>
      <c r="G148" s="64"/>
      <c r="H148" s="55"/>
    </row>
    <row r="149" spans="1:12" s="45" customFormat="1" x14ac:dyDescent="0.2">
      <c r="A149" s="54"/>
      <c r="B149" s="54"/>
      <c r="C149" s="54"/>
      <c r="D149" s="54"/>
      <c r="E149" s="54"/>
      <c r="F149" s="54"/>
      <c r="G149" s="55"/>
      <c r="H149" s="1"/>
      <c r="I149" s="1"/>
    </row>
    <row r="150" spans="1:12" ht="27.95" customHeight="1" x14ac:dyDescent="0.2">
      <c r="A150" s="121" t="s">
        <v>22</v>
      </c>
      <c r="B150" s="121"/>
      <c r="C150" s="121"/>
      <c r="D150" s="121"/>
      <c r="E150" s="121"/>
      <c r="F150" s="121"/>
      <c r="G150" s="121"/>
      <c r="H150" s="121"/>
    </row>
    <row r="151" spans="1:12" ht="63.75" x14ac:dyDescent="0.2">
      <c r="A151" s="33" t="s">
        <v>1</v>
      </c>
      <c r="B151" s="33" t="s">
        <v>144</v>
      </c>
      <c r="C151" s="33" t="s">
        <v>145</v>
      </c>
      <c r="D151" s="33" t="s">
        <v>200</v>
      </c>
      <c r="E151" s="33" t="s">
        <v>147</v>
      </c>
      <c r="F151" s="33" t="s">
        <v>2</v>
      </c>
      <c r="G151" s="33" t="s">
        <v>3</v>
      </c>
      <c r="H151" s="33" t="s">
        <v>4</v>
      </c>
      <c r="I151" s="33" t="s">
        <v>5</v>
      </c>
    </row>
    <row r="152" spans="1:12" x14ac:dyDescent="0.2">
      <c r="A152" s="112" t="s">
        <v>64</v>
      </c>
      <c r="B152" s="113"/>
      <c r="C152" s="113"/>
      <c r="D152" s="113"/>
      <c r="E152" s="113"/>
      <c r="F152" s="113"/>
      <c r="G152" s="113"/>
      <c r="H152" s="114"/>
      <c r="I152" s="35"/>
    </row>
    <row r="153" spans="1:12" ht="127.5" customHeight="1" x14ac:dyDescent="0.2">
      <c r="A153" s="36" t="s">
        <v>239</v>
      </c>
      <c r="B153" s="37">
        <f>10305039+2802467</f>
        <v>13107506</v>
      </c>
      <c r="C153" s="37">
        <v>6870026</v>
      </c>
      <c r="D153" s="37">
        <v>5713203</v>
      </c>
      <c r="E153" s="37">
        <f>SUM(C153:D153)</f>
        <v>12583229</v>
      </c>
      <c r="F153" s="43">
        <f>ROUND((E153/B153)*100,1)</f>
        <v>96</v>
      </c>
      <c r="G153" s="37">
        <f t="shared" ref="G153" si="1">B153-E153</f>
        <v>524277</v>
      </c>
      <c r="H153" s="37">
        <f>SUM(G153)</f>
        <v>524277</v>
      </c>
      <c r="I153" s="66" t="s">
        <v>201</v>
      </c>
      <c r="J153" s="85"/>
      <c r="K153" s="86"/>
    </row>
    <row r="154" spans="1:12" x14ac:dyDescent="0.2">
      <c r="A154" s="109" t="s">
        <v>158</v>
      </c>
      <c r="B154" s="110"/>
      <c r="C154" s="110"/>
      <c r="D154" s="110"/>
      <c r="E154" s="110"/>
      <c r="F154" s="110"/>
      <c r="G154" s="44">
        <f>SUM(G153:G153)</f>
        <v>524277</v>
      </c>
      <c r="H154" s="44">
        <f>SUM(H153:H153)</f>
        <v>524277</v>
      </c>
    </row>
    <row r="155" spans="1:12" x14ac:dyDescent="0.2">
      <c r="A155" s="140" t="s">
        <v>125</v>
      </c>
      <c r="B155" s="140"/>
      <c r="C155" s="140"/>
      <c r="D155" s="140"/>
      <c r="E155" s="140"/>
      <c r="F155" s="140"/>
      <c r="G155" s="140"/>
      <c r="H155" s="140"/>
      <c r="I155" s="140"/>
    </row>
    <row r="156" spans="1:12" ht="14.25" customHeight="1" x14ac:dyDescent="0.2">
      <c r="A156" s="138" t="s">
        <v>185</v>
      </c>
      <c r="B156" s="138"/>
      <c r="C156" s="138"/>
      <c r="D156" s="138"/>
      <c r="E156" s="138"/>
      <c r="F156" s="138"/>
      <c r="G156" s="138"/>
      <c r="H156" s="138"/>
      <c r="I156" s="67"/>
    </row>
    <row r="157" spans="1:12" ht="41.25" customHeight="1" x14ac:dyDescent="0.2">
      <c r="A157" s="132" t="s">
        <v>187</v>
      </c>
      <c r="B157" s="132"/>
      <c r="C157" s="132"/>
      <c r="D157" s="132"/>
      <c r="E157" s="132"/>
      <c r="F157" s="132"/>
      <c r="G157" s="132"/>
      <c r="H157" s="132"/>
      <c r="I157" s="132"/>
    </row>
    <row r="158" spans="1:12" ht="15.75" customHeight="1" x14ac:dyDescent="0.2">
      <c r="A158" s="109" t="s">
        <v>69</v>
      </c>
      <c r="B158" s="110"/>
      <c r="C158" s="110"/>
      <c r="D158" s="110"/>
      <c r="E158" s="110"/>
      <c r="F158" s="110"/>
      <c r="G158" s="116"/>
      <c r="H158" s="44">
        <f>H154</f>
        <v>524277</v>
      </c>
    </row>
    <row r="159" spans="1:12" s="45" customFormat="1" ht="15" customHeight="1" x14ac:dyDescent="0.2">
      <c r="A159" s="54"/>
      <c r="B159" s="54"/>
      <c r="C159" s="54"/>
      <c r="D159" s="54"/>
      <c r="E159" s="54"/>
      <c r="F159" s="54"/>
      <c r="G159" s="54"/>
      <c r="H159" s="55"/>
    </row>
    <row r="160" spans="1:12" ht="12.95" customHeight="1" x14ac:dyDescent="0.2">
      <c r="A160" s="119" t="s">
        <v>65</v>
      </c>
      <c r="B160" s="119"/>
      <c r="C160" s="119"/>
      <c r="D160" s="119"/>
      <c r="E160" s="119"/>
      <c r="F160" s="119"/>
      <c r="G160" s="119"/>
      <c r="H160" s="119"/>
    </row>
    <row r="161" spans="1:11" ht="76.5" x14ac:dyDescent="0.2">
      <c r="A161" s="33" t="s">
        <v>1</v>
      </c>
      <c r="B161" s="33" t="s">
        <v>144</v>
      </c>
      <c r="C161" s="33" t="s">
        <v>145</v>
      </c>
      <c r="D161" s="33" t="s">
        <v>146</v>
      </c>
      <c r="E161" s="33" t="s">
        <v>147</v>
      </c>
      <c r="F161" s="33" t="s">
        <v>2</v>
      </c>
      <c r="G161" s="33" t="s">
        <v>149</v>
      </c>
      <c r="H161" s="33" t="s">
        <v>150</v>
      </c>
      <c r="I161" s="33" t="s">
        <v>5</v>
      </c>
    </row>
    <row r="162" spans="1:11" ht="114.75" x14ac:dyDescent="0.2">
      <c r="A162" s="36" t="s">
        <v>186</v>
      </c>
      <c r="B162" s="37">
        <v>2888567</v>
      </c>
      <c r="C162" s="37">
        <v>3097480</v>
      </c>
      <c r="D162" s="37">
        <v>1548740</v>
      </c>
      <c r="E162" s="37">
        <f>D162+C162</f>
        <v>4646220</v>
      </c>
      <c r="F162" s="38">
        <f>ROUND((E162/B162)*100,1)</f>
        <v>160.80000000000001</v>
      </c>
      <c r="G162" s="37">
        <f>B162-E162</f>
        <v>-1757653</v>
      </c>
      <c r="H162" s="39">
        <f>-H154</f>
        <v>-524277</v>
      </c>
      <c r="I162" s="40" t="s">
        <v>167</v>
      </c>
    </row>
    <row r="163" spans="1:11" ht="15" customHeight="1" x14ac:dyDescent="0.2">
      <c r="A163" s="109" t="s">
        <v>158</v>
      </c>
      <c r="B163" s="110"/>
      <c r="C163" s="110"/>
      <c r="D163" s="110"/>
      <c r="E163" s="110"/>
      <c r="F163" s="110"/>
      <c r="G163" s="46">
        <f>SUM(G162:G162)</f>
        <v>-1757653</v>
      </c>
      <c r="H163" s="46">
        <f>SUM(H162:H162)</f>
        <v>-524277</v>
      </c>
    </row>
    <row r="164" spans="1:11" s="45" customFormat="1" ht="15" customHeight="1" x14ac:dyDescent="0.2">
      <c r="A164" s="54"/>
      <c r="B164" s="54"/>
      <c r="C164" s="54"/>
      <c r="D164" s="54"/>
      <c r="E164" s="54"/>
      <c r="F164" s="54"/>
      <c r="G164" s="54"/>
      <c r="H164" s="55"/>
    </row>
    <row r="165" spans="1:11" s="45" customFormat="1" ht="15" customHeight="1" x14ac:dyDescent="0.2">
      <c r="A165" s="120" t="s">
        <v>7</v>
      </c>
      <c r="B165" s="120"/>
      <c r="C165" s="120"/>
      <c r="D165" s="120"/>
      <c r="E165" s="120"/>
      <c r="F165" s="120"/>
      <c r="G165" s="120"/>
      <c r="H165" s="120"/>
    </row>
    <row r="166" spans="1:11" ht="15" customHeight="1" x14ac:dyDescent="0.2">
      <c r="A166" s="63"/>
      <c r="B166" s="63"/>
      <c r="C166" s="63"/>
      <c r="D166" s="63"/>
      <c r="E166" s="63"/>
      <c r="F166" s="63"/>
      <c r="G166" s="63"/>
      <c r="H166" s="69"/>
    </row>
    <row r="167" spans="1:11" ht="18.95" customHeight="1" x14ac:dyDescent="0.2">
      <c r="A167" s="111" t="s">
        <v>17</v>
      </c>
      <c r="B167" s="111"/>
      <c r="C167" s="111"/>
      <c r="D167" s="111"/>
      <c r="E167" s="111"/>
      <c r="F167" s="111"/>
      <c r="G167" s="111" t="s">
        <v>23</v>
      </c>
      <c r="H167" s="111"/>
    </row>
    <row r="168" spans="1:11" ht="36.75" customHeight="1" x14ac:dyDescent="0.2">
      <c r="A168" s="112" t="s">
        <v>24</v>
      </c>
      <c r="B168" s="113"/>
      <c r="C168" s="113"/>
      <c r="D168" s="113"/>
      <c r="E168" s="113"/>
      <c r="F168" s="114"/>
      <c r="G168" s="115" t="s">
        <v>25</v>
      </c>
      <c r="H168" s="115"/>
    </row>
    <row r="169" spans="1:11" s="45" customFormat="1" x14ac:dyDescent="0.2">
      <c r="A169" s="109" t="s">
        <v>158</v>
      </c>
      <c r="B169" s="110"/>
      <c r="C169" s="110"/>
      <c r="D169" s="110"/>
      <c r="E169" s="110"/>
      <c r="F169" s="110"/>
      <c r="G169" s="117" t="str">
        <f>G168</f>
        <v>8 228</v>
      </c>
      <c r="H169" s="118"/>
    </row>
    <row r="170" spans="1:11" s="45" customFormat="1" ht="15" customHeight="1" x14ac:dyDescent="0.2">
      <c r="A170" s="54"/>
      <c r="B170" s="54"/>
      <c r="C170" s="54"/>
      <c r="D170" s="54"/>
      <c r="E170" s="54"/>
      <c r="F170" s="54"/>
      <c r="G170" s="54"/>
      <c r="H170" s="55"/>
    </row>
    <row r="171" spans="1:11" s="45" customFormat="1" ht="15" customHeight="1" x14ac:dyDescent="0.2">
      <c r="A171" s="54"/>
      <c r="B171" s="54"/>
      <c r="C171" s="54"/>
      <c r="D171" s="54"/>
      <c r="E171" s="54"/>
      <c r="F171" s="54"/>
      <c r="G171" s="54"/>
      <c r="H171" s="55"/>
    </row>
    <row r="172" spans="1:11" s="45" customFormat="1" x14ac:dyDescent="0.2">
      <c r="A172" s="54"/>
      <c r="B172" s="54"/>
      <c r="C172" s="54"/>
      <c r="D172" s="54"/>
      <c r="E172" s="54"/>
      <c r="F172" s="54"/>
      <c r="G172" s="55"/>
      <c r="H172" s="1"/>
    </row>
    <row r="173" spans="1:11" ht="27.95" customHeight="1" x14ac:dyDescent="0.2">
      <c r="A173" s="121" t="s">
        <v>26</v>
      </c>
      <c r="B173" s="121"/>
      <c r="C173" s="121"/>
      <c r="D173" s="121"/>
      <c r="E173" s="121"/>
      <c r="F173" s="121"/>
      <c r="G173" s="121"/>
      <c r="H173" s="121"/>
    </row>
    <row r="174" spans="1:11" ht="63.75" x14ac:dyDescent="0.2">
      <c r="A174" s="33" t="s">
        <v>1</v>
      </c>
      <c r="B174" s="33" t="s">
        <v>144</v>
      </c>
      <c r="C174" s="33" t="s">
        <v>145</v>
      </c>
      <c r="D174" s="33" t="s">
        <v>146</v>
      </c>
      <c r="E174" s="33" t="s">
        <v>147</v>
      </c>
      <c r="F174" s="33" t="s">
        <v>2</v>
      </c>
      <c r="G174" s="33" t="s">
        <v>3</v>
      </c>
      <c r="H174" s="33" t="s">
        <v>4</v>
      </c>
      <c r="I174" s="33" t="s">
        <v>5</v>
      </c>
    </row>
    <row r="175" spans="1:11" x14ac:dyDescent="0.2">
      <c r="A175" s="112" t="s">
        <v>64</v>
      </c>
      <c r="B175" s="113"/>
      <c r="C175" s="113"/>
      <c r="D175" s="113"/>
      <c r="E175" s="113"/>
      <c r="F175" s="113"/>
      <c r="G175" s="113"/>
      <c r="H175" s="114"/>
      <c r="I175" s="35"/>
    </row>
    <row r="176" spans="1:11" ht="118.5" customHeight="1" x14ac:dyDescent="0.25">
      <c r="A176" s="36" t="s">
        <v>240</v>
      </c>
      <c r="B176" s="37">
        <v>590300</v>
      </c>
      <c r="C176" s="37">
        <v>372997</v>
      </c>
      <c r="D176" s="37">
        <v>186498</v>
      </c>
      <c r="E176" s="37">
        <f>SUM(C176:D176)</f>
        <v>559495</v>
      </c>
      <c r="F176" s="43">
        <f>ROUND((E176/B176)*100,1)</f>
        <v>94.8</v>
      </c>
      <c r="G176" s="37">
        <f t="shared" ref="G176" si="2">B176-E176</f>
        <v>30805</v>
      </c>
      <c r="H176" s="37">
        <f>SUM(G176)</f>
        <v>30805</v>
      </c>
      <c r="I176" s="74" t="s">
        <v>202</v>
      </c>
      <c r="J176" s="41"/>
      <c r="K176" s="87"/>
    </row>
    <row r="177" spans="1:10" ht="140.25" x14ac:dyDescent="0.2">
      <c r="A177" s="36" t="s">
        <v>172</v>
      </c>
      <c r="B177" s="37">
        <v>9188</v>
      </c>
      <c r="C177" s="37">
        <v>250</v>
      </c>
      <c r="D177" s="37">
        <v>125</v>
      </c>
      <c r="E177" s="37">
        <f t="shared" ref="E177:E178" si="3">SUM(C177:D177)</f>
        <v>375</v>
      </c>
      <c r="F177" s="43">
        <f t="shared" ref="F177:F178" si="4">ROUND((E177/B177)*100,1)</f>
        <v>4.0999999999999996</v>
      </c>
      <c r="G177" s="37">
        <f t="shared" ref="G177:G178" si="5">B177-E177</f>
        <v>8813</v>
      </c>
      <c r="H177" s="37">
        <v>8813</v>
      </c>
      <c r="I177" s="66" t="s">
        <v>203</v>
      </c>
      <c r="J177" s="41"/>
    </row>
    <row r="178" spans="1:10" ht="255" x14ac:dyDescent="0.2">
      <c r="A178" s="36" t="s">
        <v>241</v>
      </c>
      <c r="B178" s="37">
        <v>66480</v>
      </c>
      <c r="C178" s="37">
        <v>33941</v>
      </c>
      <c r="D178" s="37">
        <v>16971</v>
      </c>
      <c r="E178" s="37">
        <f t="shared" si="3"/>
        <v>50912</v>
      </c>
      <c r="F178" s="43">
        <f t="shared" si="4"/>
        <v>76.599999999999994</v>
      </c>
      <c r="G178" s="37">
        <f t="shared" si="5"/>
        <v>15568</v>
      </c>
      <c r="H178" s="37">
        <v>15568</v>
      </c>
      <c r="I178" s="74" t="s">
        <v>204</v>
      </c>
      <c r="J178" s="41"/>
    </row>
    <row r="179" spans="1:10" x14ac:dyDescent="0.2">
      <c r="A179" s="109" t="s">
        <v>158</v>
      </c>
      <c r="B179" s="110"/>
      <c r="C179" s="110"/>
      <c r="D179" s="110"/>
      <c r="E179" s="110"/>
      <c r="F179" s="110"/>
      <c r="G179" s="44">
        <f>SUM(G176:G178)</f>
        <v>55186</v>
      </c>
      <c r="H179" s="44">
        <f>SUM(H176:H178)</f>
        <v>55186</v>
      </c>
    </row>
    <row r="180" spans="1:10" ht="97.5" customHeight="1" x14ac:dyDescent="0.2">
      <c r="A180" s="132" t="s">
        <v>182</v>
      </c>
      <c r="B180" s="132"/>
      <c r="C180" s="132"/>
      <c r="D180" s="132"/>
      <c r="E180" s="132"/>
      <c r="F180" s="132"/>
      <c r="G180" s="132"/>
      <c r="H180" s="132"/>
      <c r="I180" s="132"/>
    </row>
    <row r="181" spans="1:10" ht="15.75" customHeight="1" x14ac:dyDescent="0.2">
      <c r="A181" s="109" t="s">
        <v>69</v>
      </c>
      <c r="B181" s="110"/>
      <c r="C181" s="110"/>
      <c r="D181" s="110"/>
      <c r="E181" s="110"/>
      <c r="F181" s="110"/>
      <c r="G181" s="116"/>
      <c r="H181" s="44">
        <f>H179</f>
        <v>55186</v>
      </c>
    </row>
    <row r="182" spans="1:10" s="45" customFormat="1" ht="15" customHeight="1" x14ac:dyDescent="0.2">
      <c r="A182" s="54"/>
      <c r="B182" s="54"/>
      <c r="C182" s="54"/>
      <c r="D182" s="54"/>
      <c r="E182" s="54"/>
      <c r="F182" s="54"/>
      <c r="G182" s="54"/>
      <c r="H182" s="55"/>
    </row>
    <row r="183" spans="1:10" ht="12.95" customHeight="1" x14ac:dyDescent="0.2">
      <c r="A183" s="119" t="s">
        <v>65</v>
      </c>
      <c r="B183" s="119"/>
      <c r="C183" s="119"/>
      <c r="D183" s="119"/>
      <c r="E183" s="119"/>
      <c r="F183" s="119"/>
      <c r="G183" s="119"/>
      <c r="H183" s="119"/>
    </row>
    <row r="184" spans="1:10" ht="76.5" x14ac:dyDescent="0.2">
      <c r="A184" s="33" t="s">
        <v>1</v>
      </c>
      <c r="B184" s="33" t="s">
        <v>144</v>
      </c>
      <c r="C184" s="33" t="s">
        <v>145</v>
      </c>
      <c r="D184" s="33" t="s">
        <v>205</v>
      </c>
      <c r="E184" s="33" t="s">
        <v>147</v>
      </c>
      <c r="F184" s="33" t="s">
        <v>2</v>
      </c>
      <c r="G184" s="33" t="s">
        <v>149</v>
      </c>
      <c r="H184" s="33" t="s">
        <v>150</v>
      </c>
      <c r="I184" s="33" t="s">
        <v>5</v>
      </c>
    </row>
    <row r="185" spans="1:10" ht="114.75" x14ac:dyDescent="0.2">
      <c r="A185" s="36" t="s">
        <v>242</v>
      </c>
      <c r="B185" s="37">
        <v>2861166</v>
      </c>
      <c r="C185" s="37">
        <v>2034195</v>
      </c>
      <c r="D185" s="37">
        <v>1017098</v>
      </c>
      <c r="E185" s="37">
        <f>D185+C185</f>
        <v>3051293</v>
      </c>
      <c r="F185" s="38">
        <f>ROUND((E185/B185)*100,1)</f>
        <v>106.6</v>
      </c>
      <c r="G185" s="37">
        <f>B185-E185</f>
        <v>-190127</v>
      </c>
      <c r="H185" s="39">
        <f>-H179</f>
        <v>-55186</v>
      </c>
      <c r="I185" s="40" t="s">
        <v>206</v>
      </c>
    </row>
    <row r="186" spans="1:10" ht="15" customHeight="1" x14ac:dyDescent="0.2">
      <c r="A186" s="109" t="s">
        <v>14</v>
      </c>
      <c r="B186" s="110"/>
      <c r="C186" s="110"/>
      <c r="D186" s="110"/>
      <c r="E186" s="110"/>
      <c r="F186" s="110"/>
      <c r="G186" s="46">
        <f>SUM(G185:G185)</f>
        <v>-190127</v>
      </c>
      <c r="H186" s="46">
        <f>SUM(H185:H185)</f>
        <v>-55186</v>
      </c>
    </row>
    <row r="187" spans="1:10" s="45" customFormat="1" ht="15" customHeight="1" x14ac:dyDescent="0.2">
      <c r="A187" s="141" t="s">
        <v>183</v>
      </c>
      <c r="B187" s="141"/>
      <c r="C187" s="141"/>
      <c r="D187" s="141"/>
      <c r="E187" s="141"/>
      <c r="F187" s="141"/>
      <c r="G187" s="141"/>
      <c r="H187" s="141"/>
    </row>
    <row r="188" spans="1:10" s="45" customFormat="1" ht="15" customHeight="1" x14ac:dyDescent="0.2">
      <c r="A188" s="120" t="s">
        <v>7</v>
      </c>
      <c r="B188" s="120"/>
      <c r="C188" s="120"/>
      <c r="D188" s="120"/>
      <c r="E188" s="120"/>
      <c r="F188" s="120"/>
      <c r="G188" s="120"/>
      <c r="H188" s="120"/>
    </row>
    <row r="189" spans="1:10" ht="15" customHeight="1" x14ac:dyDescent="0.2">
      <c r="A189" s="63"/>
      <c r="B189" s="63"/>
      <c r="C189" s="63"/>
      <c r="D189" s="63"/>
      <c r="E189" s="63"/>
      <c r="F189" s="63"/>
      <c r="G189" s="63"/>
      <c r="H189" s="69"/>
    </row>
    <row r="190" spans="1:10" ht="39.6" customHeight="1" x14ac:dyDescent="0.2">
      <c r="A190" s="111" t="s">
        <v>17</v>
      </c>
      <c r="B190" s="111"/>
      <c r="C190" s="111"/>
      <c r="D190" s="111"/>
      <c r="E190" s="111"/>
      <c r="F190" s="111"/>
      <c r="G190" s="111" t="s">
        <v>27</v>
      </c>
      <c r="H190" s="111"/>
    </row>
    <row r="191" spans="1:10" x14ac:dyDescent="0.2">
      <c r="A191" s="112" t="s">
        <v>28</v>
      </c>
      <c r="B191" s="113"/>
      <c r="C191" s="113"/>
      <c r="D191" s="113"/>
      <c r="E191" s="113"/>
      <c r="F191" s="114"/>
      <c r="G191" s="115">
        <v>13182</v>
      </c>
      <c r="H191" s="115"/>
      <c r="I191" s="45"/>
    </row>
    <row r="192" spans="1:10" s="45" customFormat="1" x14ac:dyDescent="0.2">
      <c r="A192" s="109" t="s">
        <v>11</v>
      </c>
      <c r="B192" s="110"/>
      <c r="C192" s="110"/>
      <c r="D192" s="110"/>
      <c r="E192" s="110"/>
      <c r="F192" s="116"/>
      <c r="G192" s="117">
        <f>SUM(G191)</f>
        <v>13182</v>
      </c>
      <c r="H192" s="118"/>
    </row>
    <row r="195" spans="1:10" s="45" customFormat="1" x14ac:dyDescent="0.2">
      <c r="A195" s="54"/>
      <c r="B195" s="54"/>
      <c r="C195" s="54"/>
      <c r="D195" s="54"/>
      <c r="E195" s="54"/>
      <c r="F195" s="54"/>
      <c r="G195" s="55"/>
      <c r="H195" s="1"/>
    </row>
    <row r="196" spans="1:10" ht="27.95" customHeight="1" x14ac:dyDescent="0.2">
      <c r="A196" s="121" t="s">
        <v>29</v>
      </c>
      <c r="B196" s="121"/>
      <c r="C196" s="121"/>
      <c r="D196" s="121"/>
      <c r="E196" s="121"/>
      <c r="F196" s="121"/>
      <c r="G196" s="121"/>
      <c r="H196" s="121"/>
    </row>
    <row r="197" spans="1:10" ht="63.75" x14ac:dyDescent="0.2">
      <c r="A197" s="33" t="s">
        <v>1</v>
      </c>
      <c r="B197" s="33" t="s">
        <v>144</v>
      </c>
      <c r="C197" s="33" t="s">
        <v>145</v>
      </c>
      <c r="D197" s="33" t="s">
        <v>146</v>
      </c>
      <c r="E197" s="33" t="s">
        <v>147</v>
      </c>
      <c r="F197" s="33" t="s">
        <v>2</v>
      </c>
      <c r="G197" s="33" t="s">
        <v>3</v>
      </c>
      <c r="H197" s="33" t="s">
        <v>4</v>
      </c>
      <c r="I197" s="33" t="s">
        <v>5</v>
      </c>
    </row>
    <row r="198" spans="1:10" x14ac:dyDescent="0.2">
      <c r="A198" s="112" t="s">
        <v>64</v>
      </c>
      <c r="B198" s="113"/>
      <c r="C198" s="113"/>
      <c r="D198" s="113"/>
      <c r="E198" s="113"/>
      <c r="F198" s="113"/>
      <c r="G198" s="113"/>
      <c r="H198" s="114"/>
      <c r="I198" s="35"/>
    </row>
    <row r="199" spans="1:10" ht="89.25" customHeight="1" x14ac:dyDescent="0.2">
      <c r="A199" s="36" t="s">
        <v>30</v>
      </c>
      <c r="B199" s="37">
        <v>471764</v>
      </c>
      <c r="C199" s="37">
        <v>45291</v>
      </c>
      <c r="D199" s="37">
        <v>22646</v>
      </c>
      <c r="E199" s="37">
        <f>SUM(C199:D199)</f>
        <v>67937</v>
      </c>
      <c r="F199" s="43">
        <f>ROUND((E199/B199)*100,1)</f>
        <v>14.4</v>
      </c>
      <c r="G199" s="37">
        <f t="shared" ref="G199:G201" si="6">B199-E199</f>
        <v>403827</v>
      </c>
      <c r="H199" s="37">
        <v>403827</v>
      </c>
      <c r="I199" s="66" t="s">
        <v>207</v>
      </c>
      <c r="J199" s="41"/>
    </row>
    <row r="200" spans="1:10" ht="89.25" x14ac:dyDescent="0.2">
      <c r="A200" s="36" t="s">
        <v>174</v>
      </c>
      <c r="B200" s="37">
        <v>681664</v>
      </c>
      <c r="C200" s="37">
        <v>387486</v>
      </c>
      <c r="D200" s="37">
        <v>193743</v>
      </c>
      <c r="E200" s="37">
        <f t="shared" ref="E200:E201" si="7">SUM(C200:D200)</f>
        <v>581229</v>
      </c>
      <c r="F200" s="43">
        <f t="shared" ref="F200:F201" si="8">ROUND((E200/B200)*100,1)</f>
        <v>85.3</v>
      </c>
      <c r="G200" s="37">
        <f t="shared" si="6"/>
        <v>100435</v>
      </c>
      <c r="H200" s="37">
        <v>100435</v>
      </c>
      <c r="I200" s="66" t="s">
        <v>208</v>
      </c>
      <c r="J200" s="41"/>
    </row>
    <row r="201" spans="1:10" ht="102" x14ac:dyDescent="0.2">
      <c r="A201" s="36" t="s">
        <v>243</v>
      </c>
      <c r="B201" s="37">
        <v>136373</v>
      </c>
      <c r="C201" s="37">
        <v>32398</v>
      </c>
      <c r="D201" s="37">
        <v>16199</v>
      </c>
      <c r="E201" s="37">
        <f t="shared" si="7"/>
        <v>48597</v>
      </c>
      <c r="F201" s="43">
        <f t="shared" si="8"/>
        <v>35.6</v>
      </c>
      <c r="G201" s="37">
        <f t="shared" si="6"/>
        <v>87776</v>
      </c>
      <c r="H201" s="37">
        <v>87776</v>
      </c>
      <c r="I201" s="66" t="s">
        <v>209</v>
      </c>
      <c r="J201" s="41"/>
    </row>
    <row r="202" spans="1:10" ht="204" x14ac:dyDescent="0.2">
      <c r="A202" s="36" t="s">
        <v>175</v>
      </c>
      <c r="B202" s="37">
        <v>225878</v>
      </c>
      <c r="C202" s="37">
        <v>24119</v>
      </c>
      <c r="D202" s="37">
        <v>12060</v>
      </c>
      <c r="E202" s="37">
        <f t="shared" ref="E202:E206" si="9">SUM(C202:D202)</f>
        <v>36179</v>
      </c>
      <c r="F202" s="43">
        <f t="shared" ref="F202:F206" si="10">ROUND((E202/B202)*100,1)</f>
        <v>16</v>
      </c>
      <c r="G202" s="37">
        <f t="shared" ref="G202:G206" si="11">B202-E202</f>
        <v>189699</v>
      </c>
      <c r="H202" s="37">
        <v>189699</v>
      </c>
      <c r="I202" s="66" t="s">
        <v>210</v>
      </c>
      <c r="J202" s="41"/>
    </row>
    <row r="203" spans="1:10" ht="142.5" customHeight="1" x14ac:dyDescent="0.2">
      <c r="A203" s="36" t="s">
        <v>176</v>
      </c>
      <c r="B203" s="37">
        <v>54827</v>
      </c>
      <c r="C203" s="37">
        <v>27821</v>
      </c>
      <c r="D203" s="37">
        <v>17006</v>
      </c>
      <c r="E203" s="37">
        <f t="shared" si="9"/>
        <v>44827</v>
      </c>
      <c r="F203" s="43">
        <f t="shared" si="10"/>
        <v>81.8</v>
      </c>
      <c r="G203" s="37">
        <f t="shared" si="11"/>
        <v>10000</v>
      </c>
      <c r="H203" s="37">
        <v>10000</v>
      </c>
      <c r="I203" s="66" t="s">
        <v>211</v>
      </c>
      <c r="J203" s="41"/>
    </row>
    <row r="204" spans="1:10" ht="114.75" customHeight="1" x14ac:dyDescent="0.2">
      <c r="A204" s="36" t="s">
        <v>177</v>
      </c>
      <c r="B204" s="37">
        <v>125840</v>
      </c>
      <c r="C204" s="37">
        <v>51379</v>
      </c>
      <c r="D204" s="37">
        <v>25690</v>
      </c>
      <c r="E204" s="37">
        <f t="shared" si="9"/>
        <v>77069</v>
      </c>
      <c r="F204" s="43">
        <f t="shared" si="10"/>
        <v>61.2</v>
      </c>
      <c r="G204" s="37">
        <f t="shared" si="11"/>
        <v>48771</v>
      </c>
      <c r="H204" s="37">
        <v>48771</v>
      </c>
      <c r="I204" s="66" t="s">
        <v>212</v>
      </c>
      <c r="J204" s="41"/>
    </row>
    <row r="205" spans="1:10" ht="242.25" x14ac:dyDescent="0.2">
      <c r="A205" s="36" t="s">
        <v>244</v>
      </c>
      <c r="B205" s="37">
        <v>239820</v>
      </c>
      <c r="C205" s="37">
        <v>61528</v>
      </c>
      <c r="D205" s="37">
        <v>20509</v>
      </c>
      <c r="E205" s="37">
        <f t="shared" si="9"/>
        <v>82037</v>
      </c>
      <c r="F205" s="43">
        <f t="shared" si="10"/>
        <v>34.200000000000003</v>
      </c>
      <c r="G205" s="37">
        <f t="shared" si="11"/>
        <v>157783</v>
      </c>
      <c r="H205" s="37">
        <v>157783</v>
      </c>
      <c r="I205" s="74" t="s">
        <v>213</v>
      </c>
      <c r="J205" s="41"/>
    </row>
    <row r="206" spans="1:10" ht="165.75" x14ac:dyDescent="0.2">
      <c r="A206" s="36" t="s">
        <v>189</v>
      </c>
      <c r="B206" s="37">
        <v>261494</v>
      </c>
      <c r="C206" s="37">
        <v>147335</v>
      </c>
      <c r="D206" s="37">
        <v>73668</v>
      </c>
      <c r="E206" s="37">
        <f t="shared" si="9"/>
        <v>221003</v>
      </c>
      <c r="F206" s="43">
        <f t="shared" si="10"/>
        <v>84.5</v>
      </c>
      <c r="G206" s="37">
        <f t="shared" si="11"/>
        <v>40491</v>
      </c>
      <c r="H206" s="37">
        <v>40491</v>
      </c>
      <c r="I206" s="74" t="s">
        <v>214</v>
      </c>
      <c r="J206" s="41"/>
    </row>
    <row r="207" spans="1:10" ht="93.75" customHeight="1" x14ac:dyDescent="0.2">
      <c r="A207" s="36" t="s">
        <v>178</v>
      </c>
      <c r="B207" s="37">
        <v>67934</v>
      </c>
      <c r="C207" s="37">
        <v>39452</v>
      </c>
      <c r="D207" s="37">
        <v>19726</v>
      </c>
      <c r="E207" s="37">
        <f t="shared" ref="E207" si="12">SUM(C207:D207)</f>
        <v>59178</v>
      </c>
      <c r="F207" s="43">
        <f t="shared" ref="F207" si="13">ROUND((E207/B207)*100,1)</f>
        <v>87.1</v>
      </c>
      <c r="G207" s="37">
        <f t="shared" ref="G207" si="14">B207-E207</f>
        <v>8756</v>
      </c>
      <c r="H207" s="37">
        <v>8756</v>
      </c>
      <c r="I207" s="74" t="s">
        <v>215</v>
      </c>
      <c r="J207" s="41"/>
    </row>
    <row r="208" spans="1:10" x14ac:dyDescent="0.2">
      <c r="A208" s="109" t="s">
        <v>14</v>
      </c>
      <c r="B208" s="110"/>
      <c r="C208" s="110"/>
      <c r="D208" s="110"/>
      <c r="E208" s="110"/>
      <c r="F208" s="110"/>
      <c r="G208" s="44">
        <f>SUM(G199:G207)</f>
        <v>1047538</v>
      </c>
      <c r="H208" s="44">
        <f>SUM(H199:H207)</f>
        <v>1047538</v>
      </c>
    </row>
    <row r="209" spans="1:9" ht="147" customHeight="1" x14ac:dyDescent="0.2">
      <c r="A209" s="132" t="s">
        <v>190</v>
      </c>
      <c r="B209" s="132"/>
      <c r="C209" s="132"/>
      <c r="D209" s="132"/>
      <c r="E209" s="132"/>
      <c r="F209" s="132"/>
      <c r="G209" s="132"/>
      <c r="H209" s="132"/>
      <c r="I209" s="132"/>
    </row>
    <row r="210" spans="1:9" ht="19.5" customHeight="1" x14ac:dyDescent="0.2">
      <c r="A210" s="127" t="s">
        <v>69</v>
      </c>
      <c r="B210" s="127"/>
      <c r="C210" s="127"/>
      <c r="D210" s="127"/>
      <c r="E210" s="127"/>
      <c r="F210" s="127"/>
      <c r="G210" s="127"/>
      <c r="H210" s="44">
        <f>H208</f>
        <v>1047538</v>
      </c>
      <c r="I210" s="58"/>
    </row>
    <row r="211" spans="1:9" s="45" customFormat="1" ht="15" customHeight="1" x14ac:dyDescent="0.2">
      <c r="A211" s="54"/>
      <c r="B211" s="54"/>
      <c r="C211" s="54"/>
      <c r="D211" s="54"/>
      <c r="E211" s="54"/>
      <c r="F211" s="54"/>
      <c r="G211" s="54"/>
      <c r="H211" s="55"/>
    </row>
    <row r="212" spans="1:9" ht="12.95" customHeight="1" x14ac:dyDescent="0.2">
      <c r="A212" s="119" t="s">
        <v>65</v>
      </c>
      <c r="B212" s="119"/>
      <c r="C212" s="119"/>
      <c r="D212" s="119"/>
      <c r="E212" s="119"/>
      <c r="F212" s="119"/>
      <c r="G212" s="119"/>
      <c r="H212" s="119"/>
    </row>
    <row r="213" spans="1:9" ht="76.5" x14ac:dyDescent="0.2">
      <c r="A213" s="33" t="s">
        <v>1</v>
      </c>
      <c r="B213" s="33" t="s">
        <v>144</v>
      </c>
      <c r="C213" s="33" t="s">
        <v>145</v>
      </c>
      <c r="D213" s="33" t="s">
        <v>146</v>
      </c>
      <c r="E213" s="33" t="s">
        <v>147</v>
      </c>
      <c r="F213" s="33" t="s">
        <v>2</v>
      </c>
      <c r="G213" s="33" t="s">
        <v>149</v>
      </c>
      <c r="H213" s="33" t="s">
        <v>150</v>
      </c>
      <c r="I213" s="33" t="s">
        <v>5</v>
      </c>
    </row>
    <row r="214" spans="1:9" ht="114.75" x14ac:dyDescent="0.2">
      <c r="A214" s="36" t="s">
        <v>173</v>
      </c>
      <c r="B214" s="37">
        <v>4566408</v>
      </c>
      <c r="C214" s="37">
        <v>5064939</v>
      </c>
      <c r="D214" s="37">
        <v>2532470</v>
      </c>
      <c r="E214" s="37">
        <f>D214+C214</f>
        <v>7597409</v>
      </c>
      <c r="F214" s="38">
        <f>ROUND((E214/B214)*100,1)</f>
        <v>166.4</v>
      </c>
      <c r="G214" s="37">
        <f>B214-E214</f>
        <v>-3031001</v>
      </c>
      <c r="H214" s="39">
        <f>-H208</f>
        <v>-1047538</v>
      </c>
      <c r="I214" s="40" t="s">
        <v>216</v>
      </c>
    </row>
    <row r="215" spans="1:9" ht="15" customHeight="1" x14ac:dyDescent="0.2">
      <c r="A215" s="109" t="s">
        <v>158</v>
      </c>
      <c r="B215" s="110"/>
      <c r="C215" s="110"/>
      <c r="D215" s="110"/>
      <c r="E215" s="110"/>
      <c r="F215" s="110"/>
      <c r="G215" s="46">
        <f>SUM(G214:G214)</f>
        <v>-3031001</v>
      </c>
      <c r="H215" s="46">
        <f>SUM(H214:H214)</f>
        <v>-1047538</v>
      </c>
    </row>
    <row r="216" spans="1:9" s="45" customFormat="1" ht="15" customHeight="1" x14ac:dyDescent="0.2">
      <c r="A216" s="54"/>
      <c r="B216" s="54"/>
      <c r="C216" s="54"/>
      <c r="D216" s="54"/>
      <c r="E216" s="54"/>
      <c r="F216" s="54"/>
      <c r="G216" s="54"/>
      <c r="H216" s="55"/>
    </row>
    <row r="217" spans="1:9" s="45" customFormat="1" ht="15" customHeight="1" x14ac:dyDescent="0.2">
      <c r="A217" s="120" t="s">
        <v>7</v>
      </c>
      <c r="B217" s="120"/>
      <c r="C217" s="120"/>
      <c r="D217" s="120"/>
      <c r="E217" s="120"/>
      <c r="F217" s="120"/>
      <c r="G217" s="120"/>
      <c r="H217" s="120"/>
    </row>
    <row r="218" spans="1:9" ht="15" customHeight="1" x14ac:dyDescent="0.2">
      <c r="A218" s="63"/>
      <c r="B218" s="63"/>
      <c r="C218" s="63"/>
      <c r="D218" s="63"/>
      <c r="E218" s="63"/>
      <c r="F218" s="63"/>
      <c r="G218" s="63"/>
      <c r="H218" s="69"/>
    </row>
    <row r="219" spans="1:9" x14ac:dyDescent="0.2">
      <c r="A219" s="111" t="s">
        <v>17</v>
      </c>
      <c r="B219" s="111"/>
      <c r="C219" s="111"/>
      <c r="D219" s="111"/>
      <c r="E219" s="111"/>
      <c r="F219" s="111"/>
      <c r="G219" s="111" t="s">
        <v>31</v>
      </c>
      <c r="H219" s="111"/>
    </row>
    <row r="220" spans="1:9" x14ac:dyDescent="0.2">
      <c r="A220" s="112" t="s">
        <v>32</v>
      </c>
      <c r="B220" s="113"/>
      <c r="C220" s="113"/>
      <c r="D220" s="113"/>
      <c r="E220" s="113"/>
      <c r="F220" s="114"/>
      <c r="G220" s="115">
        <f>1047538/65.34</f>
        <v>16032.108968472605</v>
      </c>
      <c r="H220" s="115"/>
    </row>
    <row r="221" spans="1:9" s="45" customFormat="1" x14ac:dyDescent="0.2">
      <c r="A221" s="109" t="s">
        <v>11</v>
      </c>
      <c r="B221" s="110"/>
      <c r="C221" s="110"/>
      <c r="D221" s="110"/>
      <c r="E221" s="110"/>
      <c r="F221" s="116"/>
      <c r="G221" s="117">
        <f>SUM(G220)</f>
        <v>16032.108968472605</v>
      </c>
      <c r="H221" s="118"/>
    </row>
    <row r="224" spans="1:9" s="45" customFormat="1" x14ac:dyDescent="0.2">
      <c r="A224" s="54"/>
      <c r="B224" s="54"/>
      <c r="C224" s="54"/>
      <c r="D224" s="54"/>
      <c r="E224" s="54"/>
      <c r="F224" s="54"/>
      <c r="G224" s="55"/>
      <c r="H224" s="1"/>
    </row>
    <row r="225" spans="1:10" ht="39.6" customHeight="1" x14ac:dyDescent="0.2">
      <c r="A225" s="122" t="s">
        <v>33</v>
      </c>
      <c r="B225" s="122"/>
      <c r="C225" s="122"/>
      <c r="D225" s="122"/>
      <c r="E225" s="122"/>
      <c r="F225" s="122"/>
      <c r="G225" s="122"/>
      <c r="H225" s="122"/>
    </row>
    <row r="226" spans="1:10" ht="63.75" x14ac:dyDescent="0.2">
      <c r="A226" s="33" t="s">
        <v>1</v>
      </c>
      <c r="B226" s="33" t="s">
        <v>144</v>
      </c>
      <c r="C226" s="33" t="s">
        <v>145</v>
      </c>
      <c r="D226" s="33" t="s">
        <v>146</v>
      </c>
      <c r="E226" s="33" t="s">
        <v>147</v>
      </c>
      <c r="F226" s="33" t="s">
        <v>2</v>
      </c>
      <c r="G226" s="33" t="s">
        <v>3</v>
      </c>
      <c r="H226" s="33" t="s">
        <v>4</v>
      </c>
      <c r="I226" s="33" t="s">
        <v>5</v>
      </c>
    </row>
    <row r="227" spans="1:10" x14ac:dyDescent="0.2">
      <c r="A227" s="112" t="s">
        <v>64</v>
      </c>
      <c r="B227" s="113"/>
      <c r="C227" s="113"/>
      <c r="D227" s="113"/>
      <c r="E227" s="113"/>
      <c r="F227" s="113"/>
      <c r="G227" s="113"/>
      <c r="H227" s="114"/>
      <c r="I227" s="35"/>
    </row>
    <row r="228" spans="1:10" ht="232.5" customHeight="1" x14ac:dyDescent="0.2">
      <c r="A228" s="36" t="s">
        <v>245</v>
      </c>
      <c r="B228" s="37">
        <v>24570</v>
      </c>
      <c r="C228" s="37">
        <v>11300</v>
      </c>
      <c r="D228" s="37">
        <v>5650</v>
      </c>
      <c r="E228" s="37">
        <f>SUM(C228:D228)</f>
        <v>16950</v>
      </c>
      <c r="F228" s="43">
        <f>ROUND((E228/B228)*100,1)</f>
        <v>69</v>
      </c>
      <c r="G228" s="37">
        <f t="shared" ref="G228" si="15">B228-E228</f>
        <v>7620</v>
      </c>
      <c r="H228" s="37">
        <v>7620</v>
      </c>
      <c r="I228" s="74" t="s">
        <v>217</v>
      </c>
      <c r="J228" s="41"/>
    </row>
    <row r="229" spans="1:10" x14ac:dyDescent="0.2">
      <c r="A229" s="109" t="s">
        <v>158</v>
      </c>
      <c r="B229" s="110"/>
      <c r="C229" s="110"/>
      <c r="D229" s="110"/>
      <c r="E229" s="110"/>
      <c r="F229" s="110"/>
      <c r="G229" s="44">
        <f>SUM(G228:G228)</f>
        <v>7620</v>
      </c>
      <c r="H229" s="44">
        <f>SUM(H228:H228)</f>
        <v>7620</v>
      </c>
    </row>
    <row r="230" spans="1:10" ht="66.75" customHeight="1" x14ac:dyDescent="0.2">
      <c r="A230" s="132" t="s">
        <v>179</v>
      </c>
      <c r="B230" s="132"/>
      <c r="C230" s="132"/>
      <c r="D230" s="132"/>
      <c r="E230" s="132"/>
      <c r="F230" s="132"/>
      <c r="G230" s="132"/>
      <c r="H230" s="132"/>
      <c r="I230" s="132"/>
    </row>
    <row r="231" spans="1:10" ht="15.75" customHeight="1" x14ac:dyDescent="0.2">
      <c r="A231" s="127" t="s">
        <v>69</v>
      </c>
      <c r="B231" s="127"/>
      <c r="C231" s="127"/>
      <c r="D231" s="127"/>
      <c r="E231" s="127"/>
      <c r="F231" s="127"/>
      <c r="G231" s="127"/>
      <c r="H231" s="44">
        <f>H229</f>
        <v>7620</v>
      </c>
    </row>
    <row r="232" spans="1:10" s="45" customFormat="1" ht="15" customHeight="1" x14ac:dyDescent="0.2">
      <c r="A232" s="54"/>
      <c r="B232" s="54"/>
      <c r="C232" s="54"/>
      <c r="D232" s="54"/>
      <c r="E232" s="54"/>
      <c r="F232" s="54"/>
      <c r="G232" s="54"/>
      <c r="H232" s="55"/>
    </row>
    <row r="233" spans="1:10" ht="12.95" customHeight="1" x14ac:dyDescent="0.2">
      <c r="A233" s="119" t="s">
        <v>65</v>
      </c>
      <c r="B233" s="119"/>
      <c r="C233" s="119"/>
      <c r="D233" s="119"/>
      <c r="E233" s="119"/>
      <c r="F233" s="119"/>
      <c r="G233" s="119"/>
      <c r="H233" s="119"/>
    </row>
    <row r="234" spans="1:10" ht="76.5" x14ac:dyDescent="0.2">
      <c r="A234" s="33" t="s">
        <v>1</v>
      </c>
      <c r="B234" s="33" t="s">
        <v>144</v>
      </c>
      <c r="C234" s="33" t="s">
        <v>145</v>
      </c>
      <c r="D234" s="33" t="s">
        <v>146</v>
      </c>
      <c r="E234" s="33" t="s">
        <v>147</v>
      </c>
      <c r="F234" s="33" t="s">
        <v>2</v>
      </c>
      <c r="G234" s="33" t="s">
        <v>149</v>
      </c>
      <c r="H234" s="33" t="s">
        <v>150</v>
      </c>
      <c r="I234" s="33" t="s">
        <v>5</v>
      </c>
    </row>
    <row r="235" spans="1:10" ht="111.75" customHeight="1" x14ac:dyDescent="0.2">
      <c r="A235" s="36" t="s">
        <v>68</v>
      </c>
      <c r="B235" s="37">
        <v>34787</v>
      </c>
      <c r="C235" s="37">
        <v>96575</v>
      </c>
      <c r="D235" s="37">
        <v>48288</v>
      </c>
      <c r="E235" s="37">
        <f>D235+C235</f>
        <v>144863</v>
      </c>
      <c r="F235" s="38">
        <f>ROUND((E235/B235)*100,1)</f>
        <v>416.4</v>
      </c>
      <c r="G235" s="37">
        <f>B235-E235</f>
        <v>-110076</v>
      </c>
      <c r="H235" s="39">
        <f>-H229</f>
        <v>-7620</v>
      </c>
      <c r="I235" s="40" t="s">
        <v>218</v>
      </c>
    </row>
    <row r="236" spans="1:10" ht="15" customHeight="1" x14ac:dyDescent="0.2">
      <c r="A236" s="109" t="s">
        <v>158</v>
      </c>
      <c r="B236" s="110"/>
      <c r="C236" s="110"/>
      <c r="D236" s="110"/>
      <c r="E236" s="110"/>
      <c r="F236" s="110"/>
      <c r="G236" s="46">
        <f>SUM(G235:G235)</f>
        <v>-110076</v>
      </c>
      <c r="H236" s="46">
        <f>SUM(H235:H235)</f>
        <v>-7620</v>
      </c>
    </row>
    <row r="237" spans="1:10" s="45" customFormat="1" ht="15" customHeight="1" x14ac:dyDescent="0.2">
      <c r="A237" s="54"/>
      <c r="B237" s="54"/>
      <c r="C237" s="54"/>
      <c r="D237" s="54"/>
      <c r="E237" s="54"/>
      <c r="F237" s="54"/>
      <c r="G237" s="54"/>
      <c r="H237" s="55"/>
    </row>
    <row r="238" spans="1:10" s="45" customFormat="1" ht="15" customHeight="1" x14ac:dyDescent="0.2">
      <c r="A238" s="120" t="s">
        <v>7</v>
      </c>
      <c r="B238" s="120"/>
      <c r="C238" s="120"/>
      <c r="D238" s="120"/>
      <c r="E238" s="120"/>
      <c r="F238" s="120"/>
      <c r="G238" s="120"/>
      <c r="H238" s="120"/>
    </row>
    <row r="239" spans="1:10" ht="15" customHeight="1" x14ac:dyDescent="0.2">
      <c r="A239" s="63"/>
      <c r="B239" s="63"/>
      <c r="C239" s="63"/>
      <c r="D239" s="63"/>
      <c r="E239" s="63"/>
      <c r="F239" s="63"/>
      <c r="G239" s="63"/>
      <c r="H239" s="69"/>
    </row>
    <row r="240" spans="1:10" x14ac:dyDescent="0.2">
      <c r="A240" s="111" t="s">
        <v>17</v>
      </c>
      <c r="B240" s="111"/>
      <c r="C240" s="111"/>
      <c r="D240" s="111"/>
      <c r="E240" s="111"/>
      <c r="F240" s="111"/>
      <c r="G240" s="111" t="s">
        <v>34</v>
      </c>
      <c r="H240" s="111"/>
    </row>
    <row r="241" spans="1:11" ht="27" customHeight="1" x14ac:dyDescent="0.2">
      <c r="A241" s="112" t="s">
        <v>184</v>
      </c>
      <c r="B241" s="113"/>
      <c r="C241" s="113"/>
      <c r="D241" s="113"/>
      <c r="E241" s="113"/>
      <c r="F241" s="114"/>
      <c r="G241" s="115">
        <v>524</v>
      </c>
      <c r="H241" s="115"/>
      <c r="I241" s="88"/>
    </row>
    <row r="242" spans="1:11" s="45" customFormat="1" x14ac:dyDescent="0.2">
      <c r="A242" s="109" t="s">
        <v>11</v>
      </c>
      <c r="B242" s="110"/>
      <c r="C242" s="110"/>
      <c r="D242" s="110"/>
      <c r="E242" s="110"/>
      <c r="F242" s="116"/>
      <c r="G242" s="117">
        <f>SUM(G241)</f>
        <v>524</v>
      </c>
      <c r="H242" s="118"/>
    </row>
    <row r="245" spans="1:11" s="45" customFormat="1" x14ac:dyDescent="0.2">
      <c r="A245" s="54"/>
      <c r="B245" s="54"/>
      <c r="C245" s="54"/>
      <c r="D245" s="54"/>
      <c r="E245" s="54"/>
      <c r="F245" s="54"/>
      <c r="G245" s="55"/>
      <c r="H245" s="1"/>
    </row>
    <row r="246" spans="1:11" ht="39.6" customHeight="1" x14ac:dyDescent="0.2">
      <c r="A246" s="121" t="s">
        <v>35</v>
      </c>
      <c r="B246" s="121"/>
      <c r="C246" s="121"/>
      <c r="D246" s="121"/>
      <c r="E246" s="121"/>
      <c r="F246" s="121"/>
      <c r="G246" s="121"/>
      <c r="H246" s="121"/>
    </row>
    <row r="247" spans="1:11" ht="63.75" x14ac:dyDescent="0.2">
      <c r="A247" s="33" t="s">
        <v>1</v>
      </c>
      <c r="B247" s="33" t="s">
        <v>144</v>
      </c>
      <c r="C247" s="33" t="s">
        <v>145</v>
      </c>
      <c r="D247" s="33" t="s">
        <v>146</v>
      </c>
      <c r="E247" s="33" t="s">
        <v>147</v>
      </c>
      <c r="F247" s="33" t="s">
        <v>2</v>
      </c>
      <c r="G247" s="33" t="s">
        <v>3</v>
      </c>
      <c r="H247" s="33" t="s">
        <v>4</v>
      </c>
      <c r="I247" s="33" t="s">
        <v>5</v>
      </c>
    </row>
    <row r="248" spans="1:11" x14ac:dyDescent="0.2">
      <c r="A248" s="112" t="s">
        <v>64</v>
      </c>
      <c r="B248" s="113"/>
      <c r="C248" s="113"/>
      <c r="D248" s="113"/>
      <c r="E248" s="113"/>
      <c r="F248" s="113"/>
      <c r="G248" s="113"/>
      <c r="H248" s="114"/>
      <c r="I248" s="35"/>
      <c r="J248" s="41"/>
    </row>
    <row r="249" spans="1:11" ht="204" customHeight="1" x14ac:dyDescent="0.2">
      <c r="A249" s="36" t="s">
        <v>246</v>
      </c>
      <c r="B249" s="37">
        <v>2958051</v>
      </c>
      <c r="C249" s="37">
        <v>1879424</v>
      </c>
      <c r="D249" s="37">
        <v>939712</v>
      </c>
      <c r="E249" s="37">
        <f t="shared" ref="E249:E255" si="16">SUM(C249:D249)</f>
        <v>2819136</v>
      </c>
      <c r="F249" s="43">
        <f t="shared" ref="F249:F255" si="17">ROUND((E249/B249)*100,1)</f>
        <v>95.3</v>
      </c>
      <c r="G249" s="37">
        <f t="shared" ref="G249" si="18">B249-E249</f>
        <v>138915</v>
      </c>
      <c r="H249" s="37">
        <f>76012+50617</f>
        <v>126629</v>
      </c>
      <c r="I249" s="66" t="s">
        <v>219</v>
      </c>
      <c r="K249" s="88"/>
    </row>
    <row r="250" spans="1:11" ht="138.75" customHeight="1" x14ac:dyDescent="0.2">
      <c r="A250" s="36" t="s">
        <v>36</v>
      </c>
      <c r="B250" s="37">
        <v>402885</v>
      </c>
      <c r="C250" s="37">
        <v>102412</v>
      </c>
      <c r="D250" s="37">
        <v>69896</v>
      </c>
      <c r="E250" s="37">
        <f t="shared" si="16"/>
        <v>172308</v>
      </c>
      <c r="F250" s="43">
        <f t="shared" si="17"/>
        <v>42.8</v>
      </c>
      <c r="G250" s="37">
        <f t="shared" ref="G250" si="19">B250-E250</f>
        <v>230577</v>
      </c>
      <c r="H250" s="37">
        <v>230577</v>
      </c>
      <c r="I250" s="66" t="s">
        <v>159</v>
      </c>
      <c r="J250" s="41"/>
      <c r="K250" s="88"/>
    </row>
    <row r="251" spans="1:11" ht="131.25" customHeight="1" x14ac:dyDescent="0.2">
      <c r="A251" s="36" t="s">
        <v>37</v>
      </c>
      <c r="B251" s="37">
        <v>338877</v>
      </c>
      <c r="C251" s="37">
        <v>192888</v>
      </c>
      <c r="D251" s="37">
        <v>104017</v>
      </c>
      <c r="E251" s="37">
        <f t="shared" si="16"/>
        <v>296905</v>
      </c>
      <c r="F251" s="43">
        <f t="shared" si="17"/>
        <v>87.6</v>
      </c>
      <c r="G251" s="37">
        <f t="shared" ref="G251" si="20">B251-E251</f>
        <v>41972</v>
      </c>
      <c r="H251" s="37">
        <v>41972</v>
      </c>
      <c r="I251" s="66" t="s">
        <v>160</v>
      </c>
      <c r="J251" s="41"/>
    </row>
    <row r="252" spans="1:11" ht="221.25" customHeight="1" x14ac:dyDescent="0.2">
      <c r="A252" s="36" t="s">
        <v>180</v>
      </c>
      <c r="B252" s="37">
        <v>773298</v>
      </c>
      <c r="C252" s="37">
        <v>442497</v>
      </c>
      <c r="D252" s="37">
        <v>224296</v>
      </c>
      <c r="E252" s="37">
        <f t="shared" si="16"/>
        <v>666793</v>
      </c>
      <c r="F252" s="43">
        <f t="shared" si="17"/>
        <v>86.2</v>
      </c>
      <c r="G252" s="37">
        <f t="shared" ref="G252" si="21">B252-E252</f>
        <v>106505</v>
      </c>
      <c r="H252" s="37">
        <v>106505</v>
      </c>
      <c r="I252" s="74" t="s">
        <v>161</v>
      </c>
      <c r="J252" s="41"/>
    </row>
    <row r="253" spans="1:11" ht="158.25" customHeight="1" x14ac:dyDescent="0.2">
      <c r="A253" s="36" t="s">
        <v>247</v>
      </c>
      <c r="B253" s="37">
        <v>165737</v>
      </c>
      <c r="C253" s="37">
        <v>11728</v>
      </c>
      <c r="D253" s="37">
        <v>5864</v>
      </c>
      <c r="E253" s="37">
        <f t="shared" si="16"/>
        <v>17592</v>
      </c>
      <c r="F253" s="43">
        <f t="shared" si="17"/>
        <v>10.6</v>
      </c>
      <c r="G253" s="37">
        <f t="shared" ref="G253" si="22">B253-E253</f>
        <v>148145</v>
      </c>
      <c r="H253" s="37">
        <f>2136+56520</f>
        <v>58656</v>
      </c>
      <c r="I253" s="74" t="s">
        <v>220</v>
      </c>
      <c r="J253" s="41"/>
    </row>
    <row r="254" spans="1:11" ht="129" customHeight="1" x14ac:dyDescent="0.2">
      <c r="A254" s="36" t="s">
        <v>248</v>
      </c>
      <c r="B254" s="37">
        <v>7091</v>
      </c>
      <c r="C254" s="37">
        <v>1273</v>
      </c>
      <c r="D254" s="37">
        <v>637</v>
      </c>
      <c r="E254" s="37">
        <f t="shared" si="16"/>
        <v>1910</v>
      </c>
      <c r="F254" s="43">
        <f t="shared" si="17"/>
        <v>26.9</v>
      </c>
      <c r="G254" s="37">
        <f t="shared" ref="G254" si="23">B254-E254</f>
        <v>5181</v>
      </c>
      <c r="H254" s="37">
        <v>5181</v>
      </c>
      <c r="I254" s="74" t="s">
        <v>221</v>
      </c>
      <c r="J254" s="41"/>
    </row>
    <row r="255" spans="1:11" ht="178.5" x14ac:dyDescent="0.2">
      <c r="A255" s="36" t="s">
        <v>181</v>
      </c>
      <c r="B255" s="37">
        <v>40000</v>
      </c>
      <c r="C255" s="37">
        <v>0</v>
      </c>
      <c r="D255" s="37">
        <v>4000</v>
      </c>
      <c r="E255" s="37">
        <f t="shared" si="16"/>
        <v>4000</v>
      </c>
      <c r="F255" s="43">
        <f t="shared" si="17"/>
        <v>10</v>
      </c>
      <c r="G255" s="37">
        <f t="shared" ref="G255" si="24">B255-E255</f>
        <v>36000</v>
      </c>
      <c r="H255" s="37">
        <v>36000</v>
      </c>
      <c r="I255" s="74" t="s">
        <v>222</v>
      </c>
      <c r="J255" s="41"/>
      <c r="K255" s="88"/>
    </row>
    <row r="256" spans="1:11" ht="140.25" x14ac:dyDescent="0.2">
      <c r="A256" s="36" t="s">
        <v>38</v>
      </c>
      <c r="B256" s="37">
        <v>56184</v>
      </c>
      <c r="C256" s="37">
        <v>5832</v>
      </c>
      <c r="D256" s="37">
        <v>2916</v>
      </c>
      <c r="E256" s="37">
        <f t="shared" ref="E256" si="25">SUM(C256:D256)</f>
        <v>8748</v>
      </c>
      <c r="F256" s="43">
        <f t="shared" ref="F256" si="26">ROUND((E256/B256)*100,1)</f>
        <v>15.6</v>
      </c>
      <c r="G256" s="37">
        <f t="shared" ref="G256" si="27">B256-E256</f>
        <v>47436</v>
      </c>
      <c r="H256" s="37">
        <v>47436</v>
      </c>
      <c r="I256" s="66" t="s">
        <v>223</v>
      </c>
      <c r="J256" s="41"/>
    </row>
    <row r="257" spans="1:10" ht="339" customHeight="1" x14ac:dyDescent="0.2">
      <c r="A257" s="36" t="s">
        <v>249</v>
      </c>
      <c r="B257" s="37">
        <v>497554</v>
      </c>
      <c r="C257" s="37">
        <v>32569</v>
      </c>
      <c r="D257" s="37">
        <v>16285</v>
      </c>
      <c r="E257" s="37">
        <f>SUM(C257:D257)</f>
        <v>48854</v>
      </c>
      <c r="F257" s="43">
        <f>ROUND((E257/B257)*100,1)</f>
        <v>9.8000000000000007</v>
      </c>
      <c r="G257" s="37">
        <f t="shared" ref="G257" si="28">B257-E257</f>
        <v>448700</v>
      </c>
      <c r="H257" s="37">
        <v>448700</v>
      </c>
      <c r="I257" s="66" t="s">
        <v>224</v>
      </c>
      <c r="J257" s="41"/>
    </row>
    <row r="258" spans="1:10" x14ac:dyDescent="0.2">
      <c r="A258" s="109" t="s">
        <v>148</v>
      </c>
      <c r="B258" s="110"/>
      <c r="C258" s="110"/>
      <c r="D258" s="110"/>
      <c r="E258" s="110"/>
      <c r="F258" s="110"/>
      <c r="G258" s="44">
        <f>SUM(G249:G257)</f>
        <v>1203431</v>
      </c>
      <c r="H258" s="44">
        <f>SUM(H249:H257)</f>
        <v>1101656</v>
      </c>
    </row>
    <row r="259" spans="1:10" ht="244.5" customHeight="1" x14ac:dyDescent="0.2">
      <c r="A259" s="132" t="s">
        <v>191</v>
      </c>
      <c r="B259" s="132"/>
      <c r="C259" s="132"/>
      <c r="D259" s="132"/>
      <c r="E259" s="132"/>
      <c r="F259" s="132"/>
      <c r="G259" s="132"/>
      <c r="H259" s="132"/>
      <c r="I259" s="132"/>
    </row>
    <row r="260" spans="1:10" ht="15.75" customHeight="1" x14ac:dyDescent="0.2">
      <c r="A260" s="127" t="s">
        <v>69</v>
      </c>
      <c r="B260" s="127"/>
      <c r="C260" s="127"/>
      <c r="D260" s="127"/>
      <c r="E260" s="127"/>
      <c r="F260" s="127"/>
      <c r="G260" s="127"/>
      <c r="H260" s="44">
        <f>H258</f>
        <v>1101656</v>
      </c>
      <c r="I260" s="41"/>
    </row>
    <row r="261" spans="1:10" x14ac:dyDescent="0.2">
      <c r="A261" s="54"/>
      <c r="B261" s="54"/>
      <c r="C261" s="54"/>
      <c r="D261" s="54"/>
      <c r="E261" s="54"/>
      <c r="F261" s="54"/>
      <c r="G261" s="68"/>
      <c r="H261" s="68"/>
    </row>
    <row r="262" spans="1:10" s="45" customFormat="1" ht="15" customHeight="1" x14ac:dyDescent="0.2">
      <c r="A262" s="54"/>
      <c r="B262" s="54"/>
      <c r="C262" s="54"/>
      <c r="D262" s="54"/>
      <c r="E262" s="54"/>
      <c r="F262" s="54"/>
      <c r="G262" s="54"/>
      <c r="H262" s="55"/>
    </row>
    <row r="263" spans="1:10" ht="12.95" customHeight="1" x14ac:dyDescent="0.2">
      <c r="A263" s="119" t="s">
        <v>65</v>
      </c>
      <c r="B263" s="119"/>
      <c r="C263" s="119"/>
      <c r="D263" s="119"/>
      <c r="E263" s="119"/>
      <c r="F263" s="119"/>
      <c r="G263" s="119"/>
      <c r="H263" s="119"/>
    </row>
    <row r="264" spans="1:10" ht="76.5" x14ac:dyDescent="0.2">
      <c r="A264" s="33" t="s">
        <v>1</v>
      </c>
      <c r="B264" s="33" t="s">
        <v>144</v>
      </c>
      <c r="C264" s="33" t="s">
        <v>145</v>
      </c>
      <c r="D264" s="33" t="s">
        <v>146</v>
      </c>
      <c r="E264" s="33" t="s">
        <v>147</v>
      </c>
      <c r="F264" s="33" t="s">
        <v>2</v>
      </c>
      <c r="G264" s="33" t="s">
        <v>149</v>
      </c>
      <c r="H264" s="33" t="s">
        <v>150</v>
      </c>
      <c r="I264" s="33" t="s">
        <v>5</v>
      </c>
    </row>
    <row r="265" spans="1:10" ht="169.5" customHeight="1" x14ac:dyDescent="0.2">
      <c r="A265" s="36" t="s">
        <v>232</v>
      </c>
      <c r="B265" s="37">
        <v>5639819</v>
      </c>
      <c r="C265" s="37">
        <v>5131073</v>
      </c>
      <c r="D265" s="37">
        <v>2565537</v>
      </c>
      <c r="E265" s="37">
        <f>D265+C265</f>
        <v>7696610</v>
      </c>
      <c r="F265" s="38">
        <f>ROUND((E265/B265)*100,1)</f>
        <v>136.5</v>
      </c>
      <c r="G265" s="37">
        <f>B265-E265</f>
        <v>-2056791</v>
      </c>
      <c r="H265" s="39">
        <f>76012+230577+41972+106505+222988</f>
        <v>678054</v>
      </c>
      <c r="I265" s="40" t="s">
        <v>39</v>
      </c>
    </row>
    <row r="266" spans="1:10" ht="196.5" customHeight="1" x14ac:dyDescent="0.2">
      <c r="A266" s="34" t="s">
        <v>233</v>
      </c>
      <c r="B266" s="37">
        <v>886163</v>
      </c>
      <c r="C266" s="37">
        <v>624520</v>
      </c>
      <c r="D266" s="37">
        <v>312260</v>
      </c>
      <c r="E266" s="37">
        <f>D266+C266</f>
        <v>936780</v>
      </c>
      <c r="F266" s="38">
        <f t="shared" ref="F266:F270" si="29">ROUND((E266/B266)*100,1)</f>
        <v>105.7</v>
      </c>
      <c r="G266" s="37">
        <f t="shared" ref="G266:G270" si="30">B266-E266</f>
        <v>-50617</v>
      </c>
      <c r="H266" s="39">
        <v>50617</v>
      </c>
      <c r="I266" s="40" t="s">
        <v>40</v>
      </c>
    </row>
    <row r="267" spans="1:10" ht="102" x14ac:dyDescent="0.2">
      <c r="A267" s="34" t="s">
        <v>250</v>
      </c>
      <c r="B267" s="37">
        <v>273826</v>
      </c>
      <c r="C267" s="37">
        <v>453031</v>
      </c>
      <c r="D267" s="37">
        <v>226516</v>
      </c>
      <c r="E267" s="37">
        <f t="shared" ref="E267:E270" si="31">D267+C267</f>
        <v>679547</v>
      </c>
      <c r="F267" s="38">
        <f t="shared" si="29"/>
        <v>248.2</v>
      </c>
      <c r="G267" s="37">
        <f>B267-E267</f>
        <v>-405721</v>
      </c>
      <c r="H267" s="39">
        <f>H254+H255+H256+182034</f>
        <v>270651</v>
      </c>
      <c r="I267" s="40" t="s">
        <v>41</v>
      </c>
    </row>
    <row r="268" spans="1:10" ht="275.25" customHeight="1" x14ac:dyDescent="0.2">
      <c r="A268" s="34" t="s">
        <v>251</v>
      </c>
      <c r="B268" s="37">
        <v>39155</v>
      </c>
      <c r="C268" s="37">
        <v>55222</v>
      </c>
      <c r="D268" s="37">
        <v>27611</v>
      </c>
      <c r="E268" s="37">
        <f t="shared" si="31"/>
        <v>82833</v>
      </c>
      <c r="F268" s="38">
        <f t="shared" si="29"/>
        <v>211.6</v>
      </c>
      <c r="G268" s="37">
        <f t="shared" si="30"/>
        <v>-43678</v>
      </c>
      <c r="H268" s="39">
        <v>43678</v>
      </c>
      <c r="I268" s="40" t="s">
        <v>42</v>
      </c>
    </row>
    <row r="269" spans="1:10" ht="132.75" customHeight="1" x14ac:dyDescent="0.2">
      <c r="A269" s="34" t="s">
        <v>234</v>
      </c>
      <c r="B269" s="37">
        <v>3203</v>
      </c>
      <c r="C269" s="37">
        <v>3559</v>
      </c>
      <c r="D269" s="37">
        <v>1780</v>
      </c>
      <c r="E269" s="37">
        <f t="shared" si="31"/>
        <v>5339</v>
      </c>
      <c r="F269" s="38">
        <f t="shared" si="29"/>
        <v>166.7</v>
      </c>
      <c r="G269" s="37">
        <f t="shared" si="30"/>
        <v>-2136</v>
      </c>
      <c r="H269" s="39">
        <v>2136</v>
      </c>
      <c r="I269" s="40" t="s">
        <v>43</v>
      </c>
    </row>
    <row r="270" spans="1:10" ht="223.5" customHeight="1" x14ac:dyDescent="0.2">
      <c r="A270" s="34" t="s">
        <v>252</v>
      </c>
      <c r="B270" s="37">
        <v>40514</v>
      </c>
      <c r="C270" s="37">
        <v>90407</v>
      </c>
      <c r="D270" s="37">
        <v>45204</v>
      </c>
      <c r="E270" s="37">
        <f t="shared" si="31"/>
        <v>135611</v>
      </c>
      <c r="F270" s="38">
        <f t="shared" si="29"/>
        <v>334.7</v>
      </c>
      <c r="G270" s="37">
        <f t="shared" si="30"/>
        <v>-95097</v>
      </c>
      <c r="H270" s="39">
        <v>56520</v>
      </c>
      <c r="I270" s="40" t="s">
        <v>44</v>
      </c>
    </row>
    <row r="271" spans="1:10" ht="15" customHeight="1" x14ac:dyDescent="0.2">
      <c r="A271" s="109" t="s">
        <v>158</v>
      </c>
      <c r="B271" s="110"/>
      <c r="C271" s="110"/>
      <c r="D271" s="110"/>
      <c r="E271" s="110"/>
      <c r="F271" s="110"/>
      <c r="G271" s="46">
        <f>SUM(G265:G270)</f>
        <v>-2654040</v>
      </c>
      <c r="H271" s="46">
        <f>SUM(H265:H270)</f>
        <v>1101656</v>
      </c>
    </row>
    <row r="272" spans="1:10" s="45" customFormat="1" ht="15" customHeight="1" x14ac:dyDescent="0.2">
      <c r="A272" s="54"/>
      <c r="B272" s="54"/>
      <c r="C272" s="54"/>
      <c r="D272" s="54"/>
      <c r="E272" s="54"/>
      <c r="F272" s="54"/>
      <c r="G272" s="54"/>
      <c r="H272" s="55"/>
    </row>
    <row r="273" spans="1:10" s="45" customFormat="1" ht="15" customHeight="1" x14ac:dyDescent="0.2">
      <c r="A273" s="120" t="s">
        <v>7</v>
      </c>
      <c r="B273" s="120"/>
      <c r="C273" s="120"/>
      <c r="D273" s="120"/>
      <c r="E273" s="120"/>
      <c r="F273" s="120"/>
      <c r="G273" s="120"/>
      <c r="H273" s="120"/>
    </row>
    <row r="274" spans="1:10" ht="15" customHeight="1" x14ac:dyDescent="0.2">
      <c r="A274" s="63"/>
      <c r="B274" s="63"/>
      <c r="C274" s="63"/>
      <c r="D274" s="63"/>
      <c r="E274" s="63"/>
      <c r="F274" s="63"/>
      <c r="G274" s="63"/>
      <c r="H274" s="69"/>
    </row>
    <row r="275" spans="1:10" ht="39.6" customHeight="1" x14ac:dyDescent="0.2">
      <c r="A275" s="111" t="s">
        <v>17</v>
      </c>
      <c r="B275" s="111"/>
      <c r="C275" s="111"/>
      <c r="D275" s="111"/>
      <c r="E275" s="111"/>
      <c r="F275" s="111"/>
      <c r="G275" s="111" t="s">
        <v>45</v>
      </c>
      <c r="H275" s="111"/>
    </row>
    <row r="276" spans="1:10" x14ac:dyDescent="0.2">
      <c r="A276" s="112" t="s">
        <v>46</v>
      </c>
      <c r="B276" s="113"/>
      <c r="C276" s="113"/>
      <c r="D276" s="113"/>
      <c r="E276" s="113"/>
      <c r="F276" s="114"/>
      <c r="G276" s="115">
        <v>6698</v>
      </c>
      <c r="H276" s="115"/>
      <c r="I276" s="45"/>
    </row>
    <row r="277" spans="1:10" s="45" customFormat="1" x14ac:dyDescent="0.2">
      <c r="A277" s="109" t="s">
        <v>11</v>
      </c>
      <c r="B277" s="110"/>
      <c r="C277" s="110"/>
      <c r="D277" s="110"/>
      <c r="E277" s="110"/>
      <c r="F277" s="116"/>
      <c r="G277" s="117">
        <f>SUM(G276)</f>
        <v>6698</v>
      </c>
      <c r="H277" s="118"/>
      <c r="I277" s="1"/>
    </row>
    <row r="279" spans="1:10" ht="48.75" customHeight="1" x14ac:dyDescent="0.2">
      <c r="A279" s="111" t="s">
        <v>17</v>
      </c>
      <c r="B279" s="111"/>
      <c r="C279" s="111"/>
      <c r="D279" s="111"/>
      <c r="E279" s="111"/>
      <c r="F279" s="111"/>
      <c r="G279" s="111" t="s">
        <v>47</v>
      </c>
      <c r="H279" s="111"/>
    </row>
    <row r="280" spans="1:10" ht="42" customHeight="1" x14ac:dyDescent="0.2">
      <c r="A280" s="112" t="s">
        <v>48</v>
      </c>
      <c r="B280" s="113"/>
      <c r="C280" s="113"/>
      <c r="D280" s="113"/>
      <c r="E280" s="113"/>
      <c r="F280" s="114"/>
      <c r="G280" s="115">
        <v>68</v>
      </c>
      <c r="H280" s="115"/>
    </row>
    <row r="281" spans="1:10" x14ac:dyDescent="0.2">
      <c r="A281" s="109" t="s">
        <v>11</v>
      </c>
      <c r="B281" s="110"/>
      <c r="C281" s="110"/>
      <c r="D281" s="110"/>
      <c r="E281" s="110"/>
      <c r="F281" s="116"/>
      <c r="G281" s="117">
        <f>SUM(G280)</f>
        <v>68</v>
      </c>
      <c r="H281" s="118"/>
    </row>
    <row r="283" spans="1:10" ht="60.75" customHeight="1" x14ac:dyDescent="0.2">
      <c r="A283" s="111" t="s">
        <v>17</v>
      </c>
      <c r="B283" s="111"/>
      <c r="C283" s="111"/>
      <c r="D283" s="111"/>
      <c r="E283" s="111"/>
      <c r="F283" s="111"/>
      <c r="G283" s="111" t="s">
        <v>49</v>
      </c>
      <c r="H283" s="111"/>
    </row>
    <row r="284" spans="1:10" ht="40.5" customHeight="1" x14ac:dyDescent="0.2">
      <c r="A284" s="112" t="s">
        <v>48</v>
      </c>
      <c r="B284" s="113"/>
      <c r="C284" s="113"/>
      <c r="D284" s="113"/>
      <c r="E284" s="113"/>
      <c r="F284" s="114"/>
      <c r="G284" s="115">
        <v>3</v>
      </c>
      <c r="H284" s="115"/>
    </row>
    <row r="285" spans="1:10" x14ac:dyDescent="0.2">
      <c r="A285" s="109" t="s">
        <v>11</v>
      </c>
      <c r="B285" s="110"/>
      <c r="C285" s="110"/>
      <c r="D285" s="110"/>
      <c r="E285" s="110"/>
      <c r="F285" s="116"/>
      <c r="G285" s="117">
        <f>SUM(G284)</f>
        <v>3</v>
      </c>
      <c r="H285" s="118"/>
    </row>
    <row r="287" spans="1:10" x14ac:dyDescent="0.2">
      <c r="A287" s="111" t="s">
        <v>17</v>
      </c>
      <c r="B287" s="111"/>
      <c r="C287" s="111"/>
      <c r="D287" s="111"/>
      <c r="E287" s="111"/>
      <c r="F287" s="111"/>
      <c r="G287" s="111" t="s">
        <v>27</v>
      </c>
      <c r="H287" s="111"/>
    </row>
    <row r="288" spans="1:10" ht="45" customHeight="1" x14ac:dyDescent="0.2">
      <c r="A288" s="112" t="s">
        <v>50</v>
      </c>
      <c r="B288" s="113"/>
      <c r="C288" s="113"/>
      <c r="D288" s="113"/>
      <c r="E288" s="113"/>
      <c r="F288" s="114"/>
      <c r="G288" s="115">
        <v>844</v>
      </c>
      <c r="H288" s="115"/>
      <c r="J288" s="88"/>
    </row>
    <row r="289" spans="1:11" x14ac:dyDescent="0.2">
      <c r="A289" s="109" t="s">
        <v>11</v>
      </c>
      <c r="B289" s="110"/>
      <c r="C289" s="110"/>
      <c r="D289" s="110"/>
      <c r="E289" s="110"/>
      <c r="F289" s="116"/>
      <c r="G289" s="117">
        <f>SUM(G288)</f>
        <v>844</v>
      </c>
      <c r="H289" s="118"/>
    </row>
    <row r="291" spans="1:11" x14ac:dyDescent="0.2">
      <c r="A291" s="111" t="s">
        <v>17</v>
      </c>
      <c r="B291" s="111"/>
      <c r="C291" s="111"/>
      <c r="D291" s="111"/>
      <c r="E291" s="111"/>
      <c r="F291" s="111"/>
      <c r="G291" s="111" t="s">
        <v>45</v>
      </c>
      <c r="H291" s="111"/>
      <c r="I291" s="88"/>
    </row>
    <row r="292" spans="1:11" x14ac:dyDescent="0.2">
      <c r="A292" s="112" t="s">
        <v>51</v>
      </c>
      <c r="B292" s="113"/>
      <c r="C292" s="113"/>
      <c r="D292" s="113"/>
      <c r="E292" s="113"/>
      <c r="F292" s="114"/>
      <c r="G292" s="115">
        <v>1589</v>
      </c>
      <c r="H292" s="115"/>
      <c r="K292" s="88"/>
    </row>
    <row r="293" spans="1:11" x14ac:dyDescent="0.2">
      <c r="A293" s="109" t="s">
        <v>11</v>
      </c>
      <c r="B293" s="110"/>
      <c r="C293" s="110"/>
      <c r="D293" s="110"/>
      <c r="E293" s="110"/>
      <c r="F293" s="116"/>
      <c r="G293" s="117">
        <f>SUM(G292)</f>
        <v>1589</v>
      </c>
      <c r="H293" s="118"/>
    </row>
    <row r="295" spans="1:11" ht="13.15" customHeight="1" x14ac:dyDescent="0.2">
      <c r="A295" s="111" t="s">
        <v>17</v>
      </c>
      <c r="B295" s="111"/>
      <c r="C295" s="111"/>
      <c r="D295" s="111"/>
      <c r="E295" s="111"/>
      <c r="F295" s="111"/>
      <c r="G295" s="111" t="s">
        <v>9</v>
      </c>
      <c r="H295" s="111"/>
    </row>
    <row r="296" spans="1:11" x14ac:dyDescent="0.2">
      <c r="A296" s="112" t="s">
        <v>52</v>
      </c>
      <c r="B296" s="113"/>
      <c r="C296" s="113"/>
      <c r="D296" s="113"/>
      <c r="E296" s="113"/>
      <c r="F296" s="114"/>
      <c r="G296" s="115">
        <v>188</v>
      </c>
      <c r="H296" s="115"/>
    </row>
    <row r="297" spans="1:11" x14ac:dyDescent="0.2">
      <c r="A297" s="109" t="s">
        <v>11</v>
      </c>
      <c r="B297" s="110"/>
      <c r="C297" s="110"/>
      <c r="D297" s="110"/>
      <c r="E297" s="110"/>
      <c r="F297" s="116"/>
      <c r="G297" s="117">
        <f>SUM(G296)</f>
        <v>188</v>
      </c>
      <c r="H297" s="118"/>
    </row>
    <row r="299" spans="1:11" x14ac:dyDescent="0.2">
      <c r="A299" s="111" t="s">
        <v>17</v>
      </c>
      <c r="B299" s="111"/>
      <c r="C299" s="111"/>
      <c r="D299" s="111"/>
      <c r="E299" s="111"/>
      <c r="F299" s="111"/>
      <c r="G299" s="111" t="s">
        <v>45</v>
      </c>
      <c r="H299" s="111"/>
    </row>
    <row r="300" spans="1:11" ht="43.5" customHeight="1" x14ac:dyDescent="0.2">
      <c r="A300" s="112" t="s">
        <v>53</v>
      </c>
      <c r="B300" s="113"/>
      <c r="C300" s="113"/>
      <c r="D300" s="113"/>
      <c r="E300" s="113"/>
      <c r="F300" s="114"/>
      <c r="G300" s="115">
        <v>18</v>
      </c>
      <c r="H300" s="115"/>
    </row>
    <row r="301" spans="1:11" x14ac:dyDescent="0.2">
      <c r="A301" s="109" t="s">
        <v>11</v>
      </c>
      <c r="B301" s="110"/>
      <c r="C301" s="110"/>
      <c r="D301" s="110"/>
      <c r="E301" s="110"/>
      <c r="F301" s="116"/>
      <c r="G301" s="117">
        <f>SUM(G300)</f>
        <v>18</v>
      </c>
      <c r="H301" s="118"/>
    </row>
    <row r="303" spans="1:11" x14ac:dyDescent="0.2">
      <c r="A303" s="111" t="s">
        <v>17</v>
      </c>
      <c r="B303" s="111"/>
      <c r="C303" s="111"/>
      <c r="D303" s="111"/>
      <c r="E303" s="111"/>
      <c r="F303" s="111"/>
      <c r="G303" s="111" t="s">
        <v>9</v>
      </c>
      <c r="H303" s="111"/>
    </row>
    <row r="304" spans="1:11" ht="18" customHeight="1" x14ac:dyDescent="0.2">
      <c r="A304" s="112" t="s">
        <v>54</v>
      </c>
      <c r="B304" s="113"/>
      <c r="C304" s="113"/>
      <c r="D304" s="113"/>
      <c r="E304" s="113"/>
      <c r="F304" s="114"/>
      <c r="G304" s="115">
        <v>290</v>
      </c>
      <c r="H304" s="115"/>
    </row>
    <row r="305" spans="1:9" x14ac:dyDescent="0.2">
      <c r="A305" s="109" t="s">
        <v>11</v>
      </c>
      <c r="B305" s="110"/>
      <c r="C305" s="110"/>
      <c r="D305" s="110"/>
      <c r="E305" s="110"/>
      <c r="F305" s="116"/>
      <c r="G305" s="117">
        <f>SUM(G304)</f>
        <v>290</v>
      </c>
      <c r="H305" s="118"/>
      <c r="I305" s="45"/>
    </row>
    <row r="308" spans="1:9" x14ac:dyDescent="0.2">
      <c r="A308" s="54"/>
      <c r="B308" s="54"/>
      <c r="C308" s="54"/>
      <c r="D308" s="54"/>
      <c r="E308" s="54"/>
      <c r="F308" s="54"/>
      <c r="G308" s="55"/>
      <c r="I308" s="45"/>
    </row>
    <row r="309" spans="1:9" ht="26.1" customHeight="1" x14ac:dyDescent="0.2">
      <c r="A309" s="122" t="s">
        <v>55</v>
      </c>
      <c r="B309" s="122"/>
      <c r="C309" s="122"/>
      <c r="D309" s="122"/>
      <c r="E309" s="122"/>
      <c r="F309" s="122"/>
      <c r="G309" s="122"/>
      <c r="H309" s="122"/>
    </row>
    <row r="310" spans="1:9" ht="63.75" x14ac:dyDescent="0.2">
      <c r="A310" s="33" t="s">
        <v>1</v>
      </c>
      <c r="B310" s="33" t="s">
        <v>144</v>
      </c>
      <c r="C310" s="33" t="s">
        <v>145</v>
      </c>
      <c r="D310" s="33" t="s">
        <v>146</v>
      </c>
      <c r="E310" s="33" t="s">
        <v>147</v>
      </c>
      <c r="F310" s="33" t="s">
        <v>2</v>
      </c>
      <c r="G310" s="33" t="s">
        <v>3</v>
      </c>
      <c r="H310" s="33" t="s">
        <v>4</v>
      </c>
      <c r="I310" s="33" t="s">
        <v>5</v>
      </c>
    </row>
    <row r="311" spans="1:9" x14ac:dyDescent="0.2">
      <c r="A311" s="112" t="s">
        <v>64</v>
      </c>
      <c r="B311" s="113"/>
      <c r="C311" s="113"/>
      <c r="D311" s="113"/>
      <c r="E311" s="113"/>
      <c r="F311" s="113"/>
      <c r="G311" s="113"/>
      <c r="H311" s="114"/>
      <c r="I311" s="35"/>
    </row>
    <row r="312" spans="1:9" ht="200.25" customHeight="1" x14ac:dyDescent="0.2">
      <c r="A312" s="36" t="s">
        <v>56</v>
      </c>
      <c r="B312" s="37">
        <v>3882821</v>
      </c>
      <c r="C312" s="37">
        <f>1009710</f>
        <v>1009710</v>
      </c>
      <c r="D312" s="37">
        <f>2197774-C312</f>
        <v>1188064</v>
      </c>
      <c r="E312" s="37">
        <f t="shared" ref="E312" si="32">SUM(C312:D312)</f>
        <v>2197774</v>
      </c>
      <c r="F312" s="43">
        <f t="shared" ref="F312" si="33">ROUND((E312/B312)*100,1)</f>
        <v>56.6</v>
      </c>
      <c r="G312" s="37">
        <f t="shared" ref="G312" si="34">B312-E312</f>
        <v>1685047</v>
      </c>
      <c r="H312" s="37">
        <v>1685047</v>
      </c>
      <c r="I312" s="66" t="s">
        <v>225</v>
      </c>
    </row>
    <row r="313" spans="1:9" x14ac:dyDescent="0.2">
      <c r="A313" s="109" t="s">
        <v>158</v>
      </c>
      <c r="B313" s="110"/>
      <c r="C313" s="110"/>
      <c r="D313" s="110"/>
      <c r="E313" s="110"/>
      <c r="F313" s="110"/>
      <c r="G313" s="44">
        <f>SUM(G312:G312)</f>
        <v>1685047</v>
      </c>
      <c r="H313" s="44">
        <f>SUM(H312:H312)</f>
        <v>1685047</v>
      </c>
    </row>
    <row r="314" spans="1:9" ht="29.25" customHeight="1" x14ac:dyDescent="0.2">
      <c r="A314" s="132" t="s">
        <v>72</v>
      </c>
      <c r="B314" s="132"/>
      <c r="C314" s="132"/>
      <c r="D314" s="132"/>
      <c r="E314" s="132"/>
      <c r="F314" s="132"/>
      <c r="G314" s="132"/>
      <c r="H314" s="132"/>
      <c r="I314" s="132"/>
    </row>
    <row r="315" spans="1:9" ht="15.75" customHeight="1" x14ac:dyDescent="0.2">
      <c r="A315" s="109" t="s">
        <v>69</v>
      </c>
      <c r="B315" s="110"/>
      <c r="C315" s="110"/>
      <c r="D315" s="110"/>
      <c r="E315" s="110"/>
      <c r="F315" s="110"/>
      <c r="G315" s="116"/>
      <c r="H315" s="44">
        <f>H313</f>
        <v>1685047</v>
      </c>
    </row>
    <row r="316" spans="1:9" x14ac:dyDescent="0.2">
      <c r="A316" s="54"/>
      <c r="B316" s="54"/>
      <c r="C316" s="54"/>
      <c r="D316" s="54"/>
      <c r="E316" s="54"/>
      <c r="F316" s="54"/>
      <c r="G316" s="54"/>
      <c r="H316" s="55"/>
      <c r="I316" s="45"/>
    </row>
    <row r="317" spans="1:9" x14ac:dyDescent="0.2">
      <c r="A317" s="119" t="s">
        <v>65</v>
      </c>
      <c r="B317" s="119"/>
      <c r="C317" s="119"/>
      <c r="D317" s="119"/>
      <c r="E317" s="119"/>
      <c r="F317" s="119"/>
      <c r="G317" s="119"/>
      <c r="H317" s="119"/>
    </row>
    <row r="318" spans="1:9" ht="76.5" x14ac:dyDescent="0.2">
      <c r="A318" s="33" t="s">
        <v>1</v>
      </c>
      <c r="B318" s="33" t="s">
        <v>144</v>
      </c>
      <c r="C318" s="33" t="s">
        <v>145</v>
      </c>
      <c r="D318" s="33" t="s">
        <v>146</v>
      </c>
      <c r="E318" s="33" t="s">
        <v>147</v>
      </c>
      <c r="F318" s="33" t="s">
        <v>2</v>
      </c>
      <c r="G318" s="33" t="s">
        <v>149</v>
      </c>
      <c r="H318" s="33" t="s">
        <v>150</v>
      </c>
      <c r="I318" s="89" t="s">
        <v>5</v>
      </c>
    </row>
    <row r="319" spans="1:9" ht="189" customHeight="1" x14ac:dyDescent="0.2">
      <c r="A319" s="36" t="s">
        <v>57</v>
      </c>
      <c r="B319" s="37">
        <v>1007779</v>
      </c>
      <c r="C319" s="37">
        <v>1007779</v>
      </c>
      <c r="D319" s="37">
        <v>10029797.32</v>
      </c>
      <c r="E319" s="37">
        <f>D319+C319</f>
        <v>11037576.32</v>
      </c>
      <c r="F319" s="38">
        <f>ROUND((E319/B319)*100,1)</f>
        <v>1095.2</v>
      </c>
      <c r="G319" s="37">
        <f>B319-E319</f>
        <v>-10029797.32</v>
      </c>
      <c r="H319" s="90">
        <v>1685047</v>
      </c>
      <c r="I319" s="91" t="s">
        <v>73</v>
      </c>
    </row>
    <row r="320" spans="1:9" ht="12.75" customHeight="1" x14ac:dyDescent="0.2">
      <c r="A320" s="109" t="s">
        <v>158</v>
      </c>
      <c r="B320" s="110"/>
      <c r="C320" s="110"/>
      <c r="D320" s="110"/>
      <c r="E320" s="110"/>
      <c r="F320" s="110"/>
      <c r="G320" s="46">
        <f>SUM(G319:G319)</f>
        <v>-10029797.32</v>
      </c>
      <c r="H320" s="46">
        <f>SUM(H319:H319)</f>
        <v>1685047</v>
      </c>
    </row>
    <row r="321" spans="1:9" ht="18.75" x14ac:dyDescent="0.3">
      <c r="A321" s="54"/>
      <c r="B321" s="54"/>
      <c r="C321" s="54"/>
      <c r="D321" s="54"/>
      <c r="E321" s="54"/>
      <c r="F321" s="54"/>
      <c r="G321" s="54"/>
      <c r="H321" s="55"/>
      <c r="I321" s="92"/>
    </row>
    <row r="322" spans="1:9" ht="18.75" x14ac:dyDescent="0.3">
      <c r="A322" s="120" t="s">
        <v>7</v>
      </c>
      <c r="B322" s="120"/>
      <c r="C322" s="120"/>
      <c r="D322" s="120"/>
      <c r="E322" s="120"/>
      <c r="F322" s="120"/>
      <c r="G322" s="120"/>
      <c r="H322" s="120"/>
      <c r="I322" s="92"/>
    </row>
    <row r="323" spans="1:9" x14ac:dyDescent="0.2">
      <c r="A323" s="63"/>
      <c r="B323" s="63"/>
      <c r="C323" s="63"/>
      <c r="D323" s="63"/>
      <c r="E323" s="63"/>
      <c r="F323" s="63"/>
      <c r="G323" s="63"/>
      <c r="H323" s="69"/>
    </row>
    <row r="324" spans="1:9" x14ac:dyDescent="0.2">
      <c r="A324" s="111" t="s">
        <v>17</v>
      </c>
      <c r="B324" s="111"/>
      <c r="C324" s="111"/>
      <c r="D324" s="111"/>
      <c r="E324" s="111"/>
      <c r="F324" s="111"/>
      <c r="G324" s="111" t="s">
        <v>58</v>
      </c>
      <c r="H324" s="111"/>
    </row>
    <row r="325" spans="1:9" ht="27.75" customHeight="1" x14ac:dyDescent="0.2">
      <c r="A325" s="112" t="s">
        <v>59</v>
      </c>
      <c r="B325" s="113"/>
      <c r="C325" s="113"/>
      <c r="D325" s="113"/>
      <c r="E325" s="113"/>
      <c r="F325" s="114"/>
      <c r="G325" s="135">
        <v>210631</v>
      </c>
      <c r="H325" s="115"/>
    </row>
    <row r="326" spans="1:9" x14ac:dyDescent="0.2">
      <c r="A326" s="109" t="s">
        <v>11</v>
      </c>
      <c r="B326" s="110"/>
      <c r="C326" s="110"/>
      <c r="D326" s="110"/>
      <c r="E326" s="110"/>
      <c r="F326" s="116"/>
      <c r="G326" s="117">
        <f>SUM(G325)</f>
        <v>210631</v>
      </c>
      <c r="H326" s="118"/>
      <c r="I326" s="45"/>
    </row>
    <row r="329" spans="1:9" x14ac:dyDescent="0.2">
      <c r="A329" s="54"/>
      <c r="B329" s="54"/>
      <c r="C329" s="54"/>
      <c r="D329" s="54"/>
      <c r="E329" s="54"/>
      <c r="F329" s="54"/>
      <c r="G329" s="55"/>
      <c r="I329" s="45"/>
    </row>
    <row r="330" spans="1:9" ht="26.1" customHeight="1" x14ac:dyDescent="0.2">
      <c r="A330" s="122" t="s">
        <v>60</v>
      </c>
      <c r="B330" s="122"/>
      <c r="C330" s="122"/>
      <c r="D330" s="122"/>
      <c r="E330" s="122"/>
      <c r="F330" s="122"/>
      <c r="G330" s="122"/>
      <c r="H330" s="122"/>
    </row>
    <row r="331" spans="1:9" ht="63.75" x14ac:dyDescent="0.2">
      <c r="A331" s="33" t="s">
        <v>1</v>
      </c>
      <c r="B331" s="33" t="s">
        <v>144</v>
      </c>
      <c r="C331" s="33" t="s">
        <v>145</v>
      </c>
      <c r="D331" s="33" t="s">
        <v>146</v>
      </c>
      <c r="E331" s="33" t="s">
        <v>147</v>
      </c>
      <c r="F331" s="33" t="s">
        <v>2</v>
      </c>
      <c r="G331" s="33" t="s">
        <v>3</v>
      </c>
      <c r="H331" s="33" t="s">
        <v>4</v>
      </c>
      <c r="I331" s="33" t="s">
        <v>5</v>
      </c>
    </row>
    <row r="332" spans="1:9" x14ac:dyDescent="0.2">
      <c r="A332" s="112" t="s">
        <v>64</v>
      </c>
      <c r="B332" s="113"/>
      <c r="C332" s="113"/>
      <c r="D332" s="113"/>
      <c r="E332" s="113"/>
      <c r="F332" s="113"/>
      <c r="G332" s="113"/>
      <c r="H332" s="114"/>
      <c r="I332" s="35"/>
    </row>
    <row r="333" spans="1:9" ht="141" customHeight="1" x14ac:dyDescent="0.2">
      <c r="A333" s="36" t="s">
        <v>61</v>
      </c>
      <c r="B333" s="37">
        <v>25000</v>
      </c>
      <c r="C333" s="37">
        <v>1720</v>
      </c>
      <c r="D333" s="37">
        <f>16336-C333</f>
        <v>14616</v>
      </c>
      <c r="E333" s="37">
        <f>SUM(C333:D333)</f>
        <v>16336</v>
      </c>
      <c r="F333" s="43">
        <f>ROUND((E333/B333)*100,1)</f>
        <v>65.3</v>
      </c>
      <c r="G333" s="37">
        <f t="shared" ref="G333:G336" si="35">B333-E333</f>
        <v>8664</v>
      </c>
      <c r="H333" s="37">
        <v>8664</v>
      </c>
      <c r="I333" s="66" t="s">
        <v>226</v>
      </c>
    </row>
    <row r="334" spans="1:9" ht="112.5" customHeight="1" x14ac:dyDescent="0.2">
      <c r="A334" s="36" t="s">
        <v>62</v>
      </c>
      <c r="B334" s="37">
        <v>4180</v>
      </c>
      <c r="C334" s="37">
        <v>0</v>
      </c>
      <c r="D334" s="37">
        <v>1996.89</v>
      </c>
      <c r="E334" s="37">
        <f t="shared" ref="E334:E336" si="36">SUM(C334:D334)</f>
        <v>1996.89</v>
      </c>
      <c r="F334" s="43">
        <f t="shared" ref="F334:F336" si="37">ROUND((E334/B334)*100,1)</f>
        <v>47.8</v>
      </c>
      <c r="G334" s="37">
        <f t="shared" si="35"/>
        <v>2183.1099999999997</v>
      </c>
      <c r="H334" s="37">
        <v>2183</v>
      </c>
      <c r="I334" s="66" t="s">
        <v>227</v>
      </c>
    </row>
    <row r="335" spans="1:9" ht="114.75" customHeight="1" x14ac:dyDescent="0.2">
      <c r="A335" s="36" t="s">
        <v>63</v>
      </c>
      <c r="B335" s="37">
        <v>25000</v>
      </c>
      <c r="C335" s="37">
        <v>0</v>
      </c>
      <c r="D335" s="37">
        <v>22356.52</v>
      </c>
      <c r="E335" s="37">
        <f t="shared" si="36"/>
        <v>22356.52</v>
      </c>
      <c r="F335" s="43">
        <f t="shared" si="37"/>
        <v>89.4</v>
      </c>
      <c r="G335" s="37">
        <f t="shared" si="35"/>
        <v>2643.4799999999996</v>
      </c>
      <c r="H335" s="37">
        <v>2643</v>
      </c>
      <c r="I335" s="66" t="s">
        <v>228</v>
      </c>
    </row>
    <row r="336" spans="1:9" ht="191.25" customHeight="1" x14ac:dyDescent="0.2">
      <c r="A336" s="36" t="s">
        <v>168</v>
      </c>
      <c r="B336" s="37">
        <v>383328</v>
      </c>
      <c r="C336" s="37">
        <v>0</v>
      </c>
      <c r="D336" s="37">
        <f>127776+93170+30000</f>
        <v>250946</v>
      </c>
      <c r="E336" s="37">
        <f t="shared" si="36"/>
        <v>250946</v>
      </c>
      <c r="F336" s="43">
        <f t="shared" si="37"/>
        <v>65.5</v>
      </c>
      <c r="G336" s="37">
        <f t="shared" si="35"/>
        <v>132382</v>
      </c>
      <c r="H336" s="37">
        <v>102383</v>
      </c>
      <c r="I336" s="66" t="s">
        <v>162</v>
      </c>
    </row>
    <row r="337" spans="1:10" x14ac:dyDescent="0.2">
      <c r="A337" s="109" t="s">
        <v>148</v>
      </c>
      <c r="B337" s="110"/>
      <c r="C337" s="110"/>
      <c r="D337" s="110"/>
      <c r="E337" s="110"/>
      <c r="F337" s="110"/>
      <c r="G337" s="44">
        <f>SUM(G333:G336)</f>
        <v>145872.59</v>
      </c>
      <c r="H337" s="44">
        <f>SUM(H333:H336)</f>
        <v>115873</v>
      </c>
    </row>
    <row r="338" spans="1:10" ht="96" customHeight="1" x14ac:dyDescent="0.2">
      <c r="A338" s="132" t="s">
        <v>229</v>
      </c>
      <c r="B338" s="132"/>
      <c r="C338" s="132"/>
      <c r="D338" s="132"/>
      <c r="E338" s="132"/>
      <c r="F338" s="132"/>
      <c r="G338" s="132"/>
      <c r="H338" s="132"/>
      <c r="I338" s="132"/>
    </row>
    <row r="339" spans="1:10" ht="15.75" customHeight="1" x14ac:dyDescent="0.2">
      <c r="A339" s="109" t="s">
        <v>69</v>
      </c>
      <c r="B339" s="110"/>
      <c r="C339" s="110"/>
      <c r="D339" s="110"/>
      <c r="E339" s="110"/>
      <c r="F339" s="110"/>
      <c r="G339" s="116"/>
      <c r="H339" s="44">
        <f>H337</f>
        <v>115873</v>
      </c>
    </row>
    <row r="340" spans="1:10" x14ac:dyDescent="0.2">
      <c r="A340" s="54"/>
      <c r="B340" s="54"/>
      <c r="C340" s="54"/>
      <c r="D340" s="54"/>
      <c r="E340" s="54"/>
      <c r="F340" s="54"/>
      <c r="G340" s="54"/>
      <c r="H340" s="55"/>
      <c r="I340" s="45"/>
    </row>
    <row r="341" spans="1:10" x14ac:dyDescent="0.2">
      <c r="A341" s="119" t="s">
        <v>65</v>
      </c>
      <c r="B341" s="119"/>
      <c r="C341" s="119"/>
      <c r="D341" s="119"/>
      <c r="E341" s="119"/>
      <c r="F341" s="119"/>
      <c r="G341" s="119"/>
      <c r="H341" s="119"/>
    </row>
    <row r="342" spans="1:10" ht="76.5" x14ac:dyDescent="0.2">
      <c r="A342" s="33" t="s">
        <v>1</v>
      </c>
      <c r="B342" s="33" t="s">
        <v>144</v>
      </c>
      <c r="C342" s="33" t="s">
        <v>145</v>
      </c>
      <c r="D342" s="33" t="s">
        <v>146</v>
      </c>
      <c r="E342" s="33" t="s">
        <v>147</v>
      </c>
      <c r="F342" s="33" t="s">
        <v>2</v>
      </c>
      <c r="G342" s="33" t="s">
        <v>149</v>
      </c>
      <c r="H342" s="33" t="s">
        <v>150</v>
      </c>
      <c r="I342" s="33" t="s">
        <v>5</v>
      </c>
    </row>
    <row r="343" spans="1:10" ht="166.5" customHeight="1" x14ac:dyDescent="0.2">
      <c r="A343" s="36" t="s">
        <v>235</v>
      </c>
      <c r="B343" s="37">
        <v>5639819</v>
      </c>
      <c r="C343" s="37">
        <v>5131073</v>
      </c>
      <c r="D343" s="37">
        <f>7696610-C343</f>
        <v>2565537</v>
      </c>
      <c r="E343" s="37">
        <f>D343+C343</f>
        <v>7696610</v>
      </c>
      <c r="F343" s="38">
        <f>ROUND((E343/B343)*100,1)</f>
        <v>136.5</v>
      </c>
      <c r="G343" s="37">
        <f>B343-E343</f>
        <v>-2056791</v>
      </c>
      <c r="H343" s="39">
        <v>115873</v>
      </c>
      <c r="I343" s="40" t="s">
        <v>39</v>
      </c>
    </row>
    <row r="344" spans="1:10" ht="12.95" customHeight="1" x14ac:dyDescent="0.2">
      <c r="A344" s="109" t="s">
        <v>158</v>
      </c>
      <c r="B344" s="110"/>
      <c r="C344" s="110"/>
      <c r="D344" s="110"/>
      <c r="E344" s="110"/>
      <c r="F344" s="110"/>
      <c r="G344" s="46">
        <f>G343</f>
        <v>-2056791</v>
      </c>
      <c r="H344" s="46">
        <f>H343</f>
        <v>115873</v>
      </c>
    </row>
    <row r="345" spans="1:10" x14ac:dyDescent="0.2">
      <c r="A345" s="54"/>
      <c r="B345" s="54"/>
      <c r="C345" s="54"/>
      <c r="D345" s="54"/>
      <c r="E345" s="54"/>
      <c r="F345" s="54"/>
      <c r="G345" s="54"/>
      <c r="H345" s="55"/>
      <c r="I345" s="45"/>
    </row>
    <row r="346" spans="1:10" x14ac:dyDescent="0.2">
      <c r="A346" s="120" t="s">
        <v>7</v>
      </c>
      <c r="B346" s="120"/>
      <c r="C346" s="120"/>
      <c r="D346" s="120"/>
      <c r="E346" s="120"/>
      <c r="F346" s="120"/>
      <c r="G346" s="120"/>
      <c r="H346" s="120"/>
      <c r="I346" s="45"/>
    </row>
    <row r="347" spans="1:10" x14ac:dyDescent="0.2">
      <c r="A347" s="63"/>
      <c r="B347" s="63"/>
      <c r="C347" s="63"/>
      <c r="D347" s="63"/>
      <c r="E347" s="63"/>
      <c r="F347" s="63"/>
      <c r="G347" s="63"/>
      <c r="H347" s="69"/>
    </row>
    <row r="348" spans="1:10" x14ac:dyDescent="0.2">
      <c r="A348" s="111" t="s">
        <v>17</v>
      </c>
      <c r="B348" s="111"/>
      <c r="C348" s="111"/>
      <c r="D348" s="111"/>
      <c r="E348" s="111"/>
      <c r="F348" s="111"/>
      <c r="G348" s="111" t="s">
        <v>45</v>
      </c>
      <c r="H348" s="111"/>
    </row>
    <row r="349" spans="1:10" x14ac:dyDescent="0.2">
      <c r="A349" s="112" t="s">
        <v>46</v>
      </c>
      <c r="B349" s="113"/>
      <c r="C349" s="113"/>
      <c r="D349" s="113"/>
      <c r="E349" s="113"/>
      <c r="F349" s="114"/>
      <c r="G349" s="115">
        <v>1145</v>
      </c>
      <c r="H349" s="115"/>
    </row>
    <row r="350" spans="1:10" x14ac:dyDescent="0.2">
      <c r="A350" s="109" t="s">
        <v>11</v>
      </c>
      <c r="B350" s="110"/>
      <c r="C350" s="110"/>
      <c r="D350" s="110"/>
      <c r="E350" s="110"/>
      <c r="F350" s="116"/>
      <c r="G350" s="117">
        <f>SUM(G349)</f>
        <v>1145</v>
      </c>
      <c r="H350" s="118"/>
      <c r="I350" s="45"/>
      <c r="J350" s="45"/>
    </row>
  </sheetData>
  <mergeCells count="201">
    <mergeCell ref="A55:I55"/>
    <mergeCell ref="A56:I56"/>
    <mergeCell ref="A155:I155"/>
    <mergeCell ref="A210:G210"/>
    <mergeCell ref="A187:H187"/>
    <mergeCell ref="A156:H156"/>
    <mergeCell ref="A57:I57"/>
    <mergeCell ref="A58:G58"/>
    <mergeCell ref="A157:I157"/>
    <mergeCell ref="A158:G158"/>
    <mergeCell ref="A180:I180"/>
    <mergeCell ref="A181:G181"/>
    <mergeCell ref="A209:I209"/>
    <mergeCell ref="A60:H60"/>
    <mergeCell ref="A65:H65"/>
    <mergeCell ref="A67:F67"/>
    <mergeCell ref="G67:H67"/>
    <mergeCell ref="A68:F68"/>
    <mergeCell ref="G68:H68"/>
    <mergeCell ref="G69:H69"/>
    <mergeCell ref="A70:F70"/>
    <mergeCell ref="G70:H70"/>
    <mergeCell ref="A63:F63"/>
    <mergeCell ref="A208:F208"/>
    <mergeCell ref="A231:G231"/>
    <mergeCell ref="A230:I230"/>
    <mergeCell ref="A76:H76"/>
    <mergeCell ref="A78:F78"/>
    <mergeCell ref="A74:H74"/>
    <mergeCell ref="A88:H88"/>
    <mergeCell ref="A80:I80"/>
    <mergeCell ref="A81:G81"/>
    <mergeCell ref="A83:H83"/>
    <mergeCell ref="A86:F86"/>
    <mergeCell ref="A79:I79"/>
    <mergeCell ref="A169:F169"/>
    <mergeCell ref="G169:H169"/>
    <mergeCell ref="A152:H152"/>
    <mergeCell ref="A154:F154"/>
    <mergeCell ref="A160:H160"/>
    <mergeCell ref="A165:H165"/>
    <mergeCell ref="A167:F167"/>
    <mergeCell ref="G167:H167"/>
    <mergeCell ref="A168:F168"/>
    <mergeCell ref="G168:H168"/>
    <mergeCell ref="A163:F163"/>
    <mergeCell ref="A196:H196"/>
    <mergeCell ref="A198:H198"/>
    <mergeCell ref="A322:H322"/>
    <mergeCell ref="A324:F324"/>
    <mergeCell ref="G324:H324"/>
    <mergeCell ref="A325:F325"/>
    <mergeCell ref="G325:H325"/>
    <mergeCell ref="A326:F326"/>
    <mergeCell ref="G326:H326"/>
    <mergeCell ref="A259:I259"/>
    <mergeCell ref="A260:G260"/>
    <mergeCell ref="A315:G315"/>
    <mergeCell ref="A314:I314"/>
    <mergeCell ref="A303:F303"/>
    <mergeCell ref="G303:H303"/>
    <mergeCell ref="A304:F304"/>
    <mergeCell ref="G304:H304"/>
    <mergeCell ref="A305:F305"/>
    <mergeCell ref="G305:H305"/>
    <mergeCell ref="A309:H309"/>
    <mergeCell ref="A311:H311"/>
    <mergeCell ref="A313:F313"/>
    <mergeCell ref="A299:F299"/>
    <mergeCell ref="G299:H299"/>
    <mergeCell ref="A300:F300"/>
    <mergeCell ref="G300:H300"/>
    <mergeCell ref="A301:F301"/>
    <mergeCell ref="G301:H301"/>
    <mergeCell ref="A295:F295"/>
    <mergeCell ref="G295:H295"/>
    <mergeCell ref="A296:F296"/>
    <mergeCell ref="A350:F350"/>
    <mergeCell ref="G350:H350"/>
    <mergeCell ref="A330:H330"/>
    <mergeCell ref="A332:H332"/>
    <mergeCell ref="A337:F337"/>
    <mergeCell ref="A341:H341"/>
    <mergeCell ref="A346:H346"/>
    <mergeCell ref="A348:F348"/>
    <mergeCell ref="G348:H348"/>
    <mergeCell ref="A349:F349"/>
    <mergeCell ref="G349:H349"/>
    <mergeCell ref="A344:F344"/>
    <mergeCell ref="A339:G339"/>
    <mergeCell ref="A338:I338"/>
    <mergeCell ref="G296:H296"/>
    <mergeCell ref="A297:F297"/>
    <mergeCell ref="G297:H297"/>
    <mergeCell ref="A317:H317"/>
    <mergeCell ref="A292:F292"/>
    <mergeCell ref="G292:H292"/>
    <mergeCell ref="A293:F293"/>
    <mergeCell ref="G293:H293"/>
    <mergeCell ref="A279:F279"/>
    <mergeCell ref="G279:H279"/>
    <mergeCell ref="A280:F280"/>
    <mergeCell ref="G280:H280"/>
    <mergeCell ref="A281:F281"/>
    <mergeCell ref="G281:H281"/>
    <mergeCell ref="A283:F283"/>
    <mergeCell ref="G283:H283"/>
    <mergeCell ref="A284:F284"/>
    <mergeCell ref="G284:H284"/>
    <mergeCell ref="A285:F285"/>
    <mergeCell ref="G285:H285"/>
    <mergeCell ref="A287:F287"/>
    <mergeCell ref="G287:H287"/>
    <mergeCell ref="A288:F288"/>
    <mergeCell ref="G288:H288"/>
    <mergeCell ref="A289:F289"/>
    <mergeCell ref="G289:H289"/>
    <mergeCell ref="A291:F291"/>
    <mergeCell ref="G291:H291"/>
    <mergeCell ref="A2:H2"/>
    <mergeCell ref="A4:H4"/>
    <mergeCell ref="A8:G8"/>
    <mergeCell ref="A12:H12"/>
    <mergeCell ref="A15:G15"/>
    <mergeCell ref="A17:H17"/>
    <mergeCell ref="A19:F19"/>
    <mergeCell ref="G19:H19"/>
    <mergeCell ref="A20:F20"/>
    <mergeCell ref="G20:H20"/>
    <mergeCell ref="A9:I9"/>
    <mergeCell ref="A10:G10"/>
    <mergeCell ref="A54:F54"/>
    <mergeCell ref="A25:H25"/>
    <mergeCell ref="A27:H27"/>
    <mergeCell ref="A29:F29"/>
    <mergeCell ref="A33:H33"/>
    <mergeCell ref="A42:F42"/>
    <mergeCell ref="G42:H42"/>
    <mergeCell ref="A48:H48"/>
    <mergeCell ref="A44:F44"/>
    <mergeCell ref="G44:H44"/>
    <mergeCell ref="A37:F37"/>
    <mergeCell ref="A30:I30"/>
    <mergeCell ref="A31:G31"/>
    <mergeCell ref="A212:H212"/>
    <mergeCell ref="A191:F191"/>
    <mergeCell ref="G191:H191"/>
    <mergeCell ref="A192:F192"/>
    <mergeCell ref="G192:H192"/>
    <mergeCell ref="K5:N5"/>
    <mergeCell ref="A183:H183"/>
    <mergeCell ref="A188:H188"/>
    <mergeCell ref="A190:F190"/>
    <mergeCell ref="G190:H190"/>
    <mergeCell ref="A173:H173"/>
    <mergeCell ref="A175:H175"/>
    <mergeCell ref="A179:F179"/>
    <mergeCell ref="A150:H150"/>
    <mergeCell ref="A43:F43"/>
    <mergeCell ref="G43:H43"/>
    <mergeCell ref="A69:F69"/>
    <mergeCell ref="A21:F21"/>
    <mergeCell ref="G21:H21"/>
    <mergeCell ref="A39:H39"/>
    <mergeCell ref="A41:F41"/>
    <mergeCell ref="A186:F186"/>
    <mergeCell ref="G41:H41"/>
    <mergeCell ref="A50:H50"/>
    <mergeCell ref="G221:H221"/>
    <mergeCell ref="A225:H225"/>
    <mergeCell ref="A227:H227"/>
    <mergeCell ref="A229:F229"/>
    <mergeCell ref="A217:H217"/>
    <mergeCell ref="A219:F219"/>
    <mergeCell ref="G219:H219"/>
    <mergeCell ref="A220:F220"/>
    <mergeCell ref="G220:H220"/>
    <mergeCell ref="A215:F215"/>
    <mergeCell ref="A236:F236"/>
    <mergeCell ref="A271:F271"/>
    <mergeCell ref="A320:F320"/>
    <mergeCell ref="A275:F275"/>
    <mergeCell ref="G275:H275"/>
    <mergeCell ref="A276:F276"/>
    <mergeCell ref="G276:H276"/>
    <mergeCell ref="A277:F277"/>
    <mergeCell ref="G277:H277"/>
    <mergeCell ref="A248:H248"/>
    <mergeCell ref="A258:F258"/>
    <mergeCell ref="A263:H263"/>
    <mergeCell ref="A273:H273"/>
    <mergeCell ref="A241:F241"/>
    <mergeCell ref="G241:H241"/>
    <mergeCell ref="A242:F242"/>
    <mergeCell ref="G242:H242"/>
    <mergeCell ref="A246:H246"/>
    <mergeCell ref="A233:H233"/>
    <mergeCell ref="A238:H238"/>
    <mergeCell ref="A240:F240"/>
    <mergeCell ref="G240:H240"/>
    <mergeCell ref="A221:F221"/>
  </mergeCells>
  <pageMargins left="0.23622047244094491" right="0.23622047244094491" top="0.74803149606299213" bottom="0.74803149606299213" header="0.31496062992125984" footer="0.31496062992125984"/>
  <pageSetup scale="66" orientation="landscape" r:id="rId1"/>
  <colBreaks count="1" manualBreakCount="1">
    <brk id="9" max="1048575" man="1"/>
  </colBreaks>
</worksheet>
</file>

<file path=docMetadata/LabelInfo.xml><?xml version="1.0" encoding="utf-8"?>
<clbl:labelList xmlns:clbl="http://schemas.microsoft.com/office/2020/mipLabelMetadata">
  <clbl:label id="{171abc8c-0b18-4336-97d7-51d65f5c7f99}" enabled="1" method="Standard" siteId="{dbc9012d-628b-43d4-b190-8a730f7e1e96}" contentBits="0" removed="0"/>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Kopsavilkums</vt:lpstr>
      <vt:lpstr>aprēķini</vt:lpstr>
      <vt:lpstr>aprēķini!Print_Area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Dace.Sinkovska@vmnvd.gov.lv</dc:creator>
  <cp:keywords/>
  <dc:description/>
  <cp:lastModifiedBy>Lāsma Zandberga</cp:lastModifiedBy>
  <cp:revision/>
  <cp:lastPrinted>2025-12-02T12:10:21Z</cp:lastPrinted>
  <dcterms:created xsi:type="dcterms:W3CDTF">2020-09-16T07:27:33Z</dcterms:created>
  <dcterms:modified xsi:type="dcterms:W3CDTF">2025-12-03T08:58:55Z</dcterms:modified>
  <cp:category/>
  <cp:contentStatus/>
</cp:coreProperties>
</file>