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C:\Users\kristine.venta\Desktop\Bērna_māja_2023_oktobris\"/>
    </mc:Choice>
  </mc:AlternateContent>
  <xr:revisionPtr revIDLastSave="0" documentId="13_ncr:1_{24CD4FCD-341A-4B15-89A3-17C2FA978044}" xr6:coauthVersionLast="36" xr6:coauthVersionMax="47" xr10:uidLastSave="{00000000-0000-0000-0000-000000000000}"/>
  <bookViews>
    <workbookView xWindow="-105" yWindow="-105" windowWidth="23250" windowHeight="12570" xr2:uid="{CE5559D5-36F8-45E9-821F-438771A2F97E}"/>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2" i="1" l="1"/>
  <c r="H420" i="1" l="1"/>
  <c r="D388" i="1" l="1"/>
  <c r="E387" i="1"/>
  <c r="F387" i="1" s="1"/>
  <c r="E386" i="1"/>
  <c r="F386" i="1" s="1"/>
  <c r="E385" i="1"/>
  <c r="F385" i="1" s="1"/>
  <c r="E384" i="1"/>
  <c r="F384" i="1" s="1"/>
  <c r="E383" i="1"/>
  <c r="E382" i="1"/>
  <c r="F382" i="1" s="1"/>
  <c r="E371" i="1"/>
  <c r="D371" i="1"/>
  <c r="C371" i="1"/>
  <c r="F370" i="1"/>
  <c r="G370" i="1" s="1"/>
  <c r="H370" i="1" s="1"/>
  <c r="G412" i="1" s="1"/>
  <c r="D361" i="1"/>
  <c r="F361" i="1" s="1"/>
  <c r="G361" i="1" s="1"/>
  <c r="H361" i="1" s="1"/>
  <c r="H411" i="1" s="1"/>
  <c r="D360" i="1"/>
  <c r="F360" i="1" s="1"/>
  <c r="G360" i="1" s="1"/>
  <c r="H360" i="1" s="1"/>
  <c r="G411" i="1" s="1"/>
  <c r="E352" i="1"/>
  <c r="F352" i="1" s="1"/>
  <c r="G352" i="1" s="1"/>
  <c r="H410" i="1" s="1"/>
  <c r="E351" i="1"/>
  <c r="F351" i="1" s="1"/>
  <c r="G351" i="1" s="1"/>
  <c r="G410" i="1" s="1"/>
  <c r="B332" i="1"/>
  <c r="B331" i="1"/>
  <c r="B330" i="1"/>
  <c r="D318" i="1"/>
  <c r="D317" i="1"/>
  <c r="D316" i="1"/>
  <c r="D315" i="1"/>
  <c r="E308" i="1"/>
  <c r="K298" i="1"/>
  <c r="J298" i="1"/>
  <c r="I298" i="1"/>
  <c r="H298" i="1"/>
  <c r="K297" i="1"/>
  <c r="J297" i="1"/>
  <c r="I297" i="1"/>
  <c r="H297" i="1"/>
  <c r="K296" i="1"/>
  <c r="J296" i="1"/>
  <c r="I296" i="1"/>
  <c r="H296" i="1"/>
  <c r="F295" i="1"/>
  <c r="B272" i="1"/>
  <c r="B271" i="1"/>
  <c r="B270" i="1"/>
  <c r="D257" i="1"/>
  <c r="D256" i="1"/>
  <c r="D255" i="1"/>
  <c r="D254" i="1"/>
  <c r="E244" i="1"/>
  <c r="K234" i="1"/>
  <c r="J234" i="1"/>
  <c r="I234" i="1"/>
  <c r="H234" i="1"/>
  <c r="K233" i="1"/>
  <c r="J233" i="1"/>
  <c r="I233" i="1"/>
  <c r="H233" i="1"/>
  <c r="K232" i="1"/>
  <c r="J232" i="1"/>
  <c r="I232" i="1"/>
  <c r="H232" i="1"/>
  <c r="F231" i="1"/>
  <c r="D215" i="1"/>
  <c r="B215" i="1"/>
  <c r="D214" i="1"/>
  <c r="B214" i="1"/>
  <c r="F214" i="1" s="1"/>
  <c r="G214" i="1" s="1"/>
  <c r="H214" i="1" s="1"/>
  <c r="G407" i="1" s="1"/>
  <c r="D213" i="1"/>
  <c r="B213" i="1"/>
  <c r="D212" i="1"/>
  <c r="B212" i="1"/>
  <c r="D201" i="1"/>
  <c r="D200" i="1"/>
  <c r="E200" i="1" s="1"/>
  <c r="F200" i="1" s="1"/>
  <c r="G406" i="1" s="1"/>
  <c r="D199" i="1"/>
  <c r="D198" i="1"/>
  <c r="E191" i="1"/>
  <c r="F191" i="1" s="1"/>
  <c r="H405" i="1" s="1"/>
  <c r="E190" i="1"/>
  <c r="F190" i="1" s="1"/>
  <c r="G405" i="1" s="1"/>
  <c r="E189" i="1"/>
  <c r="F189" i="1" s="1"/>
  <c r="F405" i="1" s="1"/>
  <c r="E188" i="1"/>
  <c r="F188" i="1" s="1"/>
  <c r="E405" i="1" s="1"/>
  <c r="D181" i="1"/>
  <c r="E181" i="1" s="1"/>
  <c r="H404" i="1" s="1"/>
  <c r="D180" i="1"/>
  <c r="C180" i="1"/>
  <c r="B180" i="1"/>
  <c r="E180" i="1" s="1"/>
  <c r="G404" i="1" s="1"/>
  <c r="D179" i="1"/>
  <c r="E179" i="1" s="1"/>
  <c r="F404" i="1" s="1"/>
  <c r="D178" i="1"/>
  <c r="C178" i="1"/>
  <c r="B178" i="1"/>
  <c r="E169" i="1"/>
  <c r="E167" i="1"/>
  <c r="E165" i="1"/>
  <c r="F157" i="1"/>
  <c r="G157" i="1" s="1"/>
  <c r="H157" i="1" s="1"/>
  <c r="H402" i="1" s="1"/>
  <c r="F156" i="1"/>
  <c r="G156" i="1" s="1"/>
  <c r="H156" i="1" s="1"/>
  <c r="G402" i="1" s="1"/>
  <c r="F155" i="1"/>
  <c r="G155" i="1" s="1"/>
  <c r="H155" i="1" s="1"/>
  <c r="F402" i="1" s="1"/>
  <c r="F154" i="1"/>
  <c r="G154" i="1" s="1"/>
  <c r="H154" i="1" s="1"/>
  <c r="E402" i="1" s="1"/>
  <c r="F147" i="1"/>
  <c r="G147" i="1" s="1"/>
  <c r="H147" i="1" s="1"/>
  <c r="H401" i="1" s="1"/>
  <c r="D147" i="1"/>
  <c r="F146" i="1"/>
  <c r="G146" i="1" s="1"/>
  <c r="H146" i="1" s="1"/>
  <c r="G401" i="1" s="1"/>
  <c r="D146" i="1"/>
  <c r="F145" i="1"/>
  <c r="G145" i="1" s="1"/>
  <c r="H145" i="1" s="1"/>
  <c r="F401" i="1" s="1"/>
  <c r="D145" i="1"/>
  <c r="F144" i="1"/>
  <c r="G144" i="1" s="1"/>
  <c r="H144" i="1" s="1"/>
  <c r="E401" i="1" s="1"/>
  <c r="D144" i="1"/>
  <c r="E137" i="1"/>
  <c r="F137" i="1" s="1"/>
  <c r="G137" i="1" s="1"/>
  <c r="H400" i="1" s="1"/>
  <c r="E136" i="1"/>
  <c r="F136" i="1" s="1"/>
  <c r="G136" i="1" s="1"/>
  <c r="G400" i="1" s="1"/>
  <c r="E135" i="1"/>
  <c r="F135" i="1" s="1"/>
  <c r="G135" i="1" s="1"/>
  <c r="F400" i="1" s="1"/>
  <c r="E134" i="1"/>
  <c r="F134" i="1" s="1"/>
  <c r="G134" i="1" s="1"/>
  <c r="E400" i="1" s="1"/>
  <c r="B118" i="1"/>
  <c r="B117" i="1"/>
  <c r="B116" i="1"/>
  <c r="D103" i="1"/>
  <c r="D102" i="1"/>
  <c r="D101" i="1"/>
  <c r="D100" i="1"/>
  <c r="E93" i="1"/>
  <c r="E94" i="1" s="1"/>
  <c r="C126" i="1" s="1"/>
  <c r="K82" i="1"/>
  <c r="J82" i="1"/>
  <c r="I82" i="1"/>
  <c r="H82" i="1"/>
  <c r="K81" i="1"/>
  <c r="J81" i="1"/>
  <c r="I81" i="1"/>
  <c r="H81" i="1"/>
  <c r="K80" i="1"/>
  <c r="J80" i="1"/>
  <c r="I80" i="1"/>
  <c r="H80" i="1"/>
  <c r="K79" i="1"/>
  <c r="J79" i="1"/>
  <c r="I79" i="1"/>
  <c r="H79" i="1"/>
  <c r="K78" i="1"/>
  <c r="J78" i="1"/>
  <c r="I78" i="1"/>
  <c r="H78" i="1"/>
  <c r="K77" i="1"/>
  <c r="J77" i="1"/>
  <c r="I77" i="1"/>
  <c r="H77" i="1"/>
  <c r="K76" i="1"/>
  <c r="J76" i="1"/>
  <c r="I76" i="1"/>
  <c r="H76" i="1"/>
  <c r="F75" i="1"/>
  <c r="B61" i="1"/>
  <c r="B60" i="1"/>
  <c r="B59" i="1"/>
  <c r="D45" i="1"/>
  <c r="D44" i="1"/>
  <c r="D43" i="1"/>
  <c r="D42" i="1"/>
  <c r="E29" i="1"/>
  <c r="E30" i="1" s="1"/>
  <c r="K18" i="1"/>
  <c r="J18" i="1"/>
  <c r="I18" i="1"/>
  <c r="H18" i="1"/>
  <c r="K17" i="1"/>
  <c r="J17" i="1"/>
  <c r="I17" i="1"/>
  <c r="H17" i="1"/>
  <c r="K16" i="1"/>
  <c r="J16" i="1"/>
  <c r="I16" i="1"/>
  <c r="H16" i="1"/>
  <c r="K15" i="1"/>
  <c r="J15" i="1"/>
  <c r="I15" i="1"/>
  <c r="H15" i="1"/>
  <c r="K14" i="1"/>
  <c r="J14" i="1"/>
  <c r="I14" i="1"/>
  <c r="H14" i="1"/>
  <c r="K13" i="1"/>
  <c r="J13" i="1"/>
  <c r="I13" i="1"/>
  <c r="H13" i="1"/>
  <c r="K12" i="1"/>
  <c r="J12" i="1"/>
  <c r="H12" i="1"/>
  <c r="F11" i="1"/>
  <c r="D319" i="1" l="1"/>
  <c r="E306" i="1" s="1"/>
  <c r="K295" i="1"/>
  <c r="K231" i="1"/>
  <c r="L78" i="1"/>
  <c r="M78" i="1" s="1"/>
  <c r="L82" i="1"/>
  <c r="M82" i="1" s="1"/>
  <c r="F213" i="1"/>
  <c r="G213" i="1" s="1"/>
  <c r="H213" i="1" s="1"/>
  <c r="F407" i="1" s="1"/>
  <c r="E178" i="1"/>
  <c r="E404" i="1" s="1"/>
  <c r="B273" i="1"/>
  <c r="E243" i="1" s="1"/>
  <c r="I75" i="1"/>
  <c r="J231" i="1"/>
  <c r="L232" i="1"/>
  <c r="M232" i="1" s="1"/>
  <c r="E388" i="1"/>
  <c r="I295" i="1"/>
  <c r="E170" i="1"/>
  <c r="G403" i="1" s="1"/>
  <c r="G418" i="1" s="1"/>
  <c r="F212" i="1"/>
  <c r="G212" i="1" s="1"/>
  <c r="H212" i="1" s="1"/>
  <c r="E407" i="1" s="1"/>
  <c r="L13" i="1"/>
  <c r="M13" i="1" s="1"/>
  <c r="L15" i="1"/>
  <c r="M15" i="1" s="1"/>
  <c r="F371" i="1"/>
  <c r="G371" i="1" s="1"/>
  <c r="H371" i="1" s="1"/>
  <c r="H412" i="1" s="1"/>
  <c r="L234" i="1"/>
  <c r="M234" i="1" s="1"/>
  <c r="J295" i="1"/>
  <c r="K11" i="1"/>
  <c r="I11" i="1"/>
  <c r="D104" i="1"/>
  <c r="E201" i="1"/>
  <c r="F201" i="1" s="1"/>
  <c r="H406" i="1" s="1"/>
  <c r="B333" i="1"/>
  <c r="E307" i="1" s="1"/>
  <c r="E309" i="1" s="1"/>
  <c r="J75" i="1"/>
  <c r="J11" i="1"/>
  <c r="B62" i="1"/>
  <c r="B119" i="1"/>
  <c r="D46" i="1"/>
  <c r="L79" i="1"/>
  <c r="M79" i="1" s="1"/>
  <c r="F215" i="1"/>
  <c r="G215" i="1" s="1"/>
  <c r="H215" i="1" s="1"/>
  <c r="H407" i="1" s="1"/>
  <c r="L233" i="1"/>
  <c r="M233" i="1" s="1"/>
  <c r="D258" i="1"/>
  <c r="E242" i="1" s="1"/>
  <c r="L17" i="1"/>
  <c r="M17" i="1" s="1"/>
  <c r="L297" i="1"/>
  <c r="M297" i="1" s="1"/>
  <c r="K75" i="1"/>
  <c r="L298" i="1"/>
  <c r="M298" i="1" s="1"/>
  <c r="E399" i="1"/>
  <c r="E419" i="1" s="1"/>
  <c r="C68" i="1"/>
  <c r="G399" i="1"/>
  <c r="F399" i="1"/>
  <c r="F419" i="1" s="1"/>
  <c r="H399" i="1"/>
  <c r="E198" i="1"/>
  <c r="F198" i="1" s="1"/>
  <c r="E406" i="1" s="1"/>
  <c r="E420" i="1" s="1"/>
  <c r="H231" i="1"/>
  <c r="L14" i="1"/>
  <c r="M14" i="1" s="1"/>
  <c r="L18" i="1"/>
  <c r="M18" i="1" s="1"/>
  <c r="H75" i="1"/>
  <c r="L77" i="1"/>
  <c r="M77" i="1" s="1"/>
  <c r="L81" i="1"/>
  <c r="M81" i="1" s="1"/>
  <c r="I231" i="1"/>
  <c r="H295" i="1"/>
  <c r="H11" i="1"/>
  <c r="L76" i="1"/>
  <c r="M76" i="1" s="1"/>
  <c r="L80" i="1"/>
  <c r="M80" i="1" s="1"/>
  <c r="E199" i="1"/>
  <c r="F199" i="1" s="1"/>
  <c r="F406" i="1" s="1"/>
  <c r="L296" i="1"/>
  <c r="F383" i="1"/>
  <c r="F388" i="1" s="1"/>
  <c r="G413" i="1" s="1"/>
  <c r="G420" i="1" s="1"/>
  <c r="L12" i="1"/>
  <c r="M12" i="1" s="1"/>
  <c r="L16" i="1"/>
  <c r="M16" i="1" s="1"/>
  <c r="E403" i="1" l="1"/>
  <c r="H403" i="1"/>
  <c r="H418" i="1" s="1"/>
  <c r="E418" i="1"/>
  <c r="E245" i="1"/>
  <c r="G409" i="1" s="1"/>
  <c r="G419" i="1" s="1"/>
  <c r="F403" i="1"/>
  <c r="F418" i="1" s="1"/>
  <c r="L295" i="1"/>
  <c r="M231" i="1"/>
  <c r="C281" i="1" s="1"/>
  <c r="M296" i="1"/>
  <c r="M295" i="1" s="1"/>
  <c r="H408" i="1" s="1"/>
  <c r="L231" i="1"/>
  <c r="M75" i="1"/>
  <c r="H398" i="1" s="1"/>
  <c r="L75" i="1"/>
  <c r="H409" i="1"/>
  <c r="H419" i="1" s="1"/>
  <c r="C342" i="1"/>
  <c r="M11" i="1"/>
  <c r="L11" i="1"/>
  <c r="C282" i="1" l="1"/>
  <c r="H414" i="1"/>
  <c r="G408" i="1"/>
  <c r="H417" i="1"/>
  <c r="H421" i="1" s="1"/>
  <c r="C341" i="1"/>
  <c r="C343" i="1" s="1"/>
  <c r="G398" i="1"/>
  <c r="G414" i="1" s="1"/>
  <c r="C125" i="1"/>
  <c r="C127" i="1" s="1"/>
  <c r="C283" i="1"/>
  <c r="F398" i="1"/>
  <c r="C67" i="1"/>
  <c r="C69" i="1" s="1"/>
  <c r="E398" i="1"/>
  <c r="G417" i="1" l="1"/>
  <c r="G421" i="1" s="1"/>
  <c r="E414" i="1"/>
  <c r="E417" i="1"/>
  <c r="E421" i="1" s="1"/>
  <c r="F414" i="1"/>
  <c r="F417" i="1"/>
  <c r="F421" i="1" s="1"/>
</calcChain>
</file>

<file path=xl/sharedStrings.xml><?xml version="1.0" encoding="utf-8"?>
<sst xmlns="http://schemas.openxmlformats.org/spreadsheetml/2006/main" count="408" uniqueCount="227">
  <si>
    <t>1. Atlīdzība</t>
  </si>
  <si>
    <t>2024.gada 8.mēneši</t>
  </si>
  <si>
    <t>Nr.</t>
  </si>
  <si>
    <t>Amatu klasifikācija</t>
  </si>
  <si>
    <t>Mēneša alga*</t>
  </si>
  <si>
    <t>Amata slodzes</t>
  </si>
  <si>
    <t>Plānotais mēnešu skaits</t>
  </si>
  <si>
    <t>Atalgojums gadā</t>
  </si>
  <si>
    <t>Darba devēja valsts sociālās apdrošināšanas obligātās iemaksas</t>
  </si>
  <si>
    <t>Atlīdzība gadā</t>
  </si>
  <si>
    <t>Amatu saime (apakšsaime) un līmenis</t>
  </si>
  <si>
    <t>Mēneš-algu grupa pēc MK 262</t>
  </si>
  <si>
    <t>Polise</t>
  </si>
  <si>
    <t>8=5*6*7</t>
  </si>
  <si>
    <t>12=(8+9+10)* 23.59%</t>
  </si>
  <si>
    <t>13=8+9+10+11</t>
  </si>
  <si>
    <t>KOPĀ</t>
  </si>
  <si>
    <t>x</t>
  </si>
  <si>
    <r>
      <t>Bērna mājas vadītājs</t>
    </r>
    <r>
      <rPr>
        <sz val="11"/>
        <rFont val="Times New Roman"/>
        <family val="1"/>
        <charset val="186"/>
      </rPr>
      <t xml:space="preserve"> </t>
    </r>
  </si>
  <si>
    <t>36 VI</t>
  </si>
  <si>
    <t>12</t>
  </si>
  <si>
    <r>
      <t>lietvedis (administrators)</t>
    </r>
    <r>
      <rPr>
        <sz val="11"/>
        <rFont val="Times New Roman"/>
        <family val="1"/>
        <charset val="186"/>
      </rPr>
      <t xml:space="preserve"> </t>
    </r>
  </si>
  <si>
    <t>7</t>
  </si>
  <si>
    <t>psihologs**</t>
  </si>
  <si>
    <t>43.2 III</t>
  </si>
  <si>
    <t>43.2 II</t>
  </si>
  <si>
    <r>
      <t>sociālie darbinieki</t>
    </r>
    <r>
      <rPr>
        <sz val="11"/>
        <rFont val="Times New Roman"/>
        <family val="1"/>
        <charset val="186"/>
      </rPr>
      <t xml:space="preserve"> </t>
    </r>
  </si>
  <si>
    <t>43.1 VA</t>
  </si>
  <si>
    <r>
      <t>datu eksperts (vadošais eksperts)</t>
    </r>
    <r>
      <rPr>
        <sz val="11"/>
        <rFont val="Times New Roman"/>
        <family val="1"/>
        <charset val="186"/>
      </rPr>
      <t xml:space="preserve"> </t>
    </r>
  </si>
  <si>
    <t>20.6 IV</t>
  </si>
  <si>
    <t>sistemanalītiķis</t>
  </si>
  <si>
    <t>21.7 II</t>
  </si>
  <si>
    <t>* Atlīdzība piemērota mēnešalgu intervālam (viduspunkts) no VK tīmekļvietnē publicētās informācijas par 2023. gada mēnešalgu skalu ar intervāliem valsts un pašvaldību institūcijās nodarbinātajiem ierēdņiem un darbiniekiem.</t>
  </si>
  <si>
    <t>** 13.03.2023. rīkojums Nr. 1-1/57 “Mēnešalgas skala Valsts bērnu tiesību aizsardzības inspekcijas projektos nodarbinātajiem” un 13.03.2023. rīkojums Nr.1-1/58 “Par Valsts bērnu tiesību aizsardzības inspekcijas nodarbināto individuālās mēnešalgas noteikšanu”.</t>
  </si>
  <si>
    <t>***Lai motivētu iestāžu darbiniekus, Bērna mājas darbiniekiem ikgadējo prēmiju saskaņā ar amatpersonas/darbinieka darba izpildes novērtējumu vidēji 65% apmērā un ikgadējā atvaļinājuma pabalsta izmaksu vidēji 50% apmērā no darbinieka mēnešalgas apmēra.</t>
  </si>
  <si>
    <t xml:space="preserve">Personāls/ārpakalpojumā </t>
  </si>
  <si>
    <r>
      <t xml:space="preserve">2024. gada 8 mēnešos ir plānotas personāla izmaksas arī no  ārpakalpojuma ( medicīnas darbinieki,  tiesu eksperti, supervizors), samaksa uz pakalpjuma līguma pamata </t>
    </r>
    <r>
      <rPr>
        <b/>
        <sz val="11"/>
        <rFont val="Times New Roman"/>
        <family val="1"/>
        <charset val="186"/>
      </rPr>
      <t>83 800</t>
    </r>
    <r>
      <rPr>
        <sz val="11"/>
        <rFont val="Times New Roman"/>
        <family val="1"/>
        <charset val="186"/>
      </rPr>
      <t xml:space="preserve"> </t>
    </r>
    <r>
      <rPr>
        <i/>
        <sz val="11"/>
        <rFont val="Times New Roman"/>
        <family val="1"/>
        <charset val="186"/>
      </rPr>
      <t>euro</t>
    </r>
    <r>
      <rPr>
        <sz val="11"/>
        <rFont val="Times New Roman"/>
        <family val="1"/>
        <charset val="186"/>
      </rPr>
      <t xml:space="preserve"> apmērā:</t>
    </r>
  </si>
  <si>
    <t>medicīnas darbinieki (pakalpojuma līgums) *</t>
  </si>
  <si>
    <t>tiesu eksperti (pakalpojuma līgums) **</t>
  </si>
  <si>
    <t>supervizors (pakapojuma līgums) ***</t>
  </si>
  <si>
    <t>Kopā:</t>
  </si>
  <si>
    <t>***Bērna mājas darbiniekiem nepieciešami 2 veidu supervīziju pakalpojumi:</t>
  </si>
  <si>
    <t>1. Specifiski supervizors(pārraugs) psihologiem (grupu un individuālajai pārraudzībai), saskaņā ar Psihologu likuma prasībām. Psihologam BM ir 2 darba virzieni – veikt bērnu nopratināšanu un nodrošināt atbalsta pakalpojumus un psiholoģisko konsultēšanu. Tādēļ BM psihologiem ir nepieciešamas regulāras supervīzijas pieredzējuša pārrauga vadībā, kam ir iepriekšēja pieredze tieši supervīzējot darbu ar seksuāla vardarbībā cietušiem bērniem un ģimenēm, lai varētu tikt īstenota gadījumu analīze, darba izvērtēšana un darbinieku emocionālā stiprināšana. Šo supervīziju mērķis īstenot psiholoģisko un profesionālo atbalstu Inspekcijas struktūrvienības Bērna māja psihologiem, lai nodrošinātu kvalitatīvu amata pienākumu izpildi ilgtermiņā un mazinātu profesionālās izdegšanas riskus.</t>
  </si>
  <si>
    <t>2.BM Komandas supervīzijas Bērna mājas darbiniekiem – komandai ikdienā jāveic darbs ar sarežģītiem vardarbības un seksuālas vardarbības gadījumiem pret bērniem, lai īstenotu bērnu nopratināšanu, organizētu tiesu medicīniskās ekspertīzes un pediatra apskates norisi, plānotu, organizētu un īstenotu atbalsta pakalpojumus cietušajam bērnam un nevardarbīgajiem tuviniekiem. Darbā būs saskarsme ar paaugstinātu emocionālo un psiholoģisko slodzi, tādēļ BM komandai  ir nepieciešamas regulāras supervīzijas pieredzējuša supervizora vadībā, kam ir iepriekšēja pieredze tieši supervīzējot komandas darbu, kas strādā sociālajā, medicīnas vai citā atbalsta profesiju jomā paaugstināta emocionāla un psiholoģiska stresa apstākļos.  Šo supervīziju mērķis nodrošināt psiholoģisko un profesionālo atbalstu Inspekcijas struktūrvienības Bērna māja komandai, lai sniegtu profesionālu atbalstu un nodrošinātu kvalitatīvu amata pienākumu izpildi ilgtermiņā un mazinātu profesionālās izdegšanas riskus.</t>
  </si>
  <si>
    <t>Med. speciālists ārpakalpojumā aprēķins:</t>
  </si>
  <si>
    <t xml:space="preserve"> 2024. gada 8.mēnešos </t>
  </si>
  <si>
    <t>Tiesu ekspertu izmaksu prēķins:</t>
  </si>
  <si>
    <t>2024. gada 8 mēnešos</t>
  </si>
  <si>
    <t>*200 tiesu eksperta izbraukumi uz Bērna māju, to izmaksas veido:</t>
  </si>
  <si>
    <t xml:space="preserve">Kopējās izmaksas: </t>
  </si>
  <si>
    <t>Atlīdzība</t>
  </si>
  <si>
    <t>Personāls ārpakalpojumā:</t>
  </si>
  <si>
    <t>2025-2026.gads un turpmāk</t>
  </si>
  <si>
    <t xml:space="preserve">* piemērots 2023.gada mēnešalgu skalas (viduspunkts) </t>
  </si>
  <si>
    <r>
      <t xml:space="preserve">2025-2026. gadā un tuprmāk  ir plānotas personāla izmaksas arī no  ārpakalpojuma (medicīnas darbinieki, tiesu eksperti, supervizors), samaksa uz pakalpjuma līguma pamata </t>
    </r>
    <r>
      <rPr>
        <b/>
        <sz val="11"/>
        <rFont val="Times New Roman"/>
        <family val="1"/>
        <charset val="186"/>
      </rPr>
      <t>125 700</t>
    </r>
    <r>
      <rPr>
        <sz val="11"/>
        <rFont val="Times New Roman"/>
        <family val="1"/>
        <charset val="186"/>
      </rPr>
      <t xml:space="preserve"> </t>
    </r>
    <r>
      <rPr>
        <i/>
        <sz val="11"/>
        <rFont val="Times New Roman"/>
        <family val="1"/>
        <charset val="186"/>
      </rPr>
      <t>euro</t>
    </r>
    <r>
      <rPr>
        <sz val="11"/>
        <rFont val="Times New Roman"/>
        <family val="1"/>
        <charset val="186"/>
      </rPr>
      <t xml:space="preserve"> apmērā:</t>
    </r>
  </si>
  <si>
    <t>medicīnas darbinieki (pakalpojuma līgums)</t>
  </si>
  <si>
    <t xml:space="preserve">tiesu eksperti (pakalpojuma līgums) </t>
  </si>
  <si>
    <t>supervizors (pakalpojuma līgums) .</t>
  </si>
  <si>
    <t xml:space="preserve"> 2024. gada 12.mēnešos </t>
  </si>
  <si>
    <t>*300 tiesu eksperta izbraukumi uz Bērna māju, to izmaksas veido:</t>
  </si>
  <si>
    <t>2. Nomas maksa un komunālie pakalpojumi</t>
  </si>
  <si>
    <t>Nomas maksa, līgums  ar SIA“Bērnu klīniskā universitātes slimnīca”</t>
  </si>
  <si>
    <t>Gads</t>
  </si>
  <si>
    <t>Nomas maksa par m2</t>
  </si>
  <si>
    <t xml:space="preserve">Mēneši </t>
  </si>
  <si>
    <t>Kopā</t>
  </si>
  <si>
    <t>PVN 21%</t>
  </si>
  <si>
    <t>Kopā ar PVN</t>
  </si>
  <si>
    <t>Noslēgts  telpu nomas līgums  līdz 2029.gada 30.aprīlim.</t>
  </si>
  <si>
    <t>Komunālie maksājumi, līgums ar SIA“Bērnu klīniskā universitātes slimnīca”</t>
  </si>
  <si>
    <t>Komunālie maksājumi par m2</t>
  </si>
  <si>
    <t>Komunālie maksājumi mēnesī kopā</t>
  </si>
  <si>
    <t xml:space="preserve">*visi komunālie kopā ir 4,97 par kvm, Komunālie maksājumi (apkure, elektrība, ūdens, kanalizācija) rēķināti pēc formas, kur 2 eiro par kvadrātmetru ir apkures izdevumi mēnesī un 2,97 eiro visi pārējie izdevumi (elektrība, ūdens, kanalizācija) </t>
  </si>
  <si>
    <t>Mēnešu skaits</t>
  </si>
  <si>
    <t>Kancelejas preces</t>
  </si>
  <si>
    <t>Uzkodas bērniem un vecākiem</t>
  </si>
  <si>
    <t>Transporta izmaksas</t>
  </si>
  <si>
    <t>*Uzkodas bērniem un vecākiem ir domātas situācijām, kad bērni atbraukuši no tālāka reģiona vai uzturas Bērna mājā visu dienu – tad ir iespēja padzert tēju vai kafiju (bērniem suliņu), apēst kādu uzkodu vai pusdienas no slimnīcas kafejnīcas piedāvājuma.</t>
  </si>
  <si>
    <t>4.Komandējuma izmaksas, dalība konferencēs</t>
  </si>
  <si>
    <t>Dienas naudas vidēji dienā</t>
  </si>
  <si>
    <t>Dienu skaits</t>
  </si>
  <si>
    <t>Dalībnieku skaits</t>
  </si>
  <si>
    <t xml:space="preserve">Vidēji  izmaksas par vienu braucienu </t>
  </si>
  <si>
    <t>viesnīcas izdevumi</t>
  </si>
  <si>
    <t>aviobiļešu vidējā cena</t>
  </si>
  <si>
    <t>Izmaksas kopā kopā ar PVN:</t>
  </si>
  <si>
    <t>6.Sabiedrības informēšanas izdevumi</t>
  </si>
  <si>
    <t>Ikgadēja Informatīvā kampaņa par seksuālas vardarbības atpazīšanu, video materiāla izveide/adaptācija(kā uzklausīt bērnu, kā atpazīt pazīmes)informatīvi materiāli vecākiem, bērniem un jauniešiem(Publicēšanai mājaslapā un/ vai druka)*</t>
  </si>
  <si>
    <t>*Finansējums norādīts, ņemot vērā līdz šim noslēgtos līgumus par attiecīgo pakalpojumu/pasākumu īstenošanu.</t>
  </si>
  <si>
    <t>7.Mājas lapas izdevumi</t>
  </si>
  <si>
    <t xml:space="preserve">Papildinājumu izstrāde mājas lapā (IT risinājumi) </t>
  </si>
  <si>
    <t>Uzturēšanas izdevumi</t>
  </si>
  <si>
    <t>8.Psihologu atbalsts un apmācības</t>
  </si>
  <si>
    <t xml:space="preserve">Padziļinātas apmācības psihologu speciālizācijai darbā ar seksuālā vardarbībā, cietušiem bērniem reģionos * </t>
  </si>
  <si>
    <t>Atbalsts, supervīzija, klātienes tikšanās, atskaite par sniegto pakalpojumu, apmācīto psihologu tīkla uzturēšanai</t>
  </si>
  <si>
    <t>Izmaksas kopā:</t>
  </si>
  <si>
    <t>Psihologu atbalsts un mācības Latvijas reģionos darbā ar seksuālā vardarbībā cietušajiem bērniem (mācības speciālistiem, kuri nav Bērna mājas personāls) 2024. gadā   48 400 euro apmērā  (padziļinātas mācības psihologu specializācijai darbā ar seksuālā vardarbībā cietušiem bērniem reģionos 36 300 euro apmērā un atbalsts, supervīzija, klātienes tikšanās, atskaite par sniegto pakalpojumu, mācības apguvušo psihologu tīkla uzturēšanai 12 100 euro apmērā).</t>
  </si>
  <si>
    <t>*Padziļinātas apmācības, supervīzija 25 psihologiem ik gadu, lai motivētu un vairotu speciālistu skaitu Latvijas reģionos, kas var nodrošināt kvalitatīvu rehabilitācijas pakalpojumu bērniem, kas cietuši no seksuālas un fiziskas vardarbības. Apmācītie psihologi veido Bērna mājai piesaistīto speciālistu tīklu, pie kuriem cietušie bērni var saņemt kvalitatīvu valsts rehabilitācijas pakalpojumu  dzīvesvietā. Pēc apmācībām tīkla dalībnieki ik gadu saņem metodisko atbalstu, supervīziju, atbalstu juridiskajos jautājumos, piedalās klātienes folow-up apmācībās.</t>
  </si>
  <si>
    <t>2026.gads</t>
  </si>
  <si>
    <t>psihologs</t>
  </si>
  <si>
    <t>sociālie darbinieks</t>
  </si>
  <si>
    <t xml:space="preserve">* piemērots mēnešalgu intervāls (viduspunkts) no VK tīmekļvietnē publicētās informācijas par 2026.gada mēnešalgu skalu ar intervāliem valsts un pašvaldību institūcijās nodarbinātajiem ierēdņiem un darbiniekiem </t>
  </si>
  <si>
    <t>**Lai motivētu iestāžu darbiniekus, Bērna mājas darbiniekiem ikgadējo prēmiju saskaņā ar amatpersonas/darbinieka darba izpildes novērtējumu vidēji 65% apmērā un ikgadējā atvaļinājuma pabalsta izmaksu vidēji 50% apmērā no darbinieka mēnešalgas apmēra.</t>
  </si>
  <si>
    <r>
      <t xml:space="preserve">2026. gadā reģionālajā filiālē ir plānotas personāla izmaksas arī no  ārpakalpojuma (medicīnas darbinieki,  tiesu eksperti, supervizors), samaksa uz pakalpjuma līguma pamata </t>
    </r>
    <r>
      <rPr>
        <b/>
        <sz val="11"/>
        <rFont val="Times New Roman"/>
        <family val="1"/>
        <charset val="186"/>
      </rPr>
      <t>34 395</t>
    </r>
    <r>
      <rPr>
        <sz val="11"/>
        <rFont val="Times New Roman"/>
        <family val="1"/>
        <charset val="186"/>
      </rPr>
      <t xml:space="preserve"> </t>
    </r>
    <r>
      <rPr>
        <i/>
        <sz val="11"/>
        <rFont val="Times New Roman"/>
        <family val="1"/>
        <charset val="186"/>
      </rPr>
      <t>euro</t>
    </r>
    <r>
      <rPr>
        <sz val="11"/>
        <rFont val="Times New Roman"/>
        <family val="1"/>
        <charset val="186"/>
      </rPr>
      <t xml:space="preserve"> apmērā:</t>
    </r>
  </si>
  <si>
    <t>tiesu eksperti (pakalpojuma līgums/uzņēmuma līgums) **</t>
  </si>
  <si>
    <t>supervizors (pakalpojuma līgums) ***</t>
  </si>
  <si>
    <t>***Palielinoties BM darbinieku skaitam, palielinās psihologa supervizoru un komandas supervīziju darba apjoms, attiecīgi palielinās izmaksas par supervīzijām (plānots, ka supervīzijas tiek nodrošinātas Rīgas Bērna mājas noslēgtā līguma ietvaros, ar supervīzijām tiešsaistē vai izbraukumā uz reģionu).</t>
  </si>
  <si>
    <t>*pediatra pakalpojuma BM apraksts:  vidēji 3 h uz gadījumu, pediatra&amp;māsas komanda (kopā pieejamas 3 komandas) veic padziļinātu pediatra apskati bērnam, nepieciešamības gadījumā piedalās STIS, sagatavo medicīnisko dokumentāciju un rakstveidā sniedz rekomendācijas, organizē bērna nokļūšanu pie cita med.speciālista BKUS, ja nepieciešams)</t>
  </si>
  <si>
    <t>*75 tiesu eksperta izbraukumi uz Bērna mājas filiāli, to izmaksas veido:</t>
  </si>
  <si>
    <t>2027.gads</t>
  </si>
  <si>
    <r>
      <t xml:space="preserve">2027. gadā reģionālajā filiālē ir plānotas personāla izmaksas arī no  ārpakalpojuma (medicīnas darbinieki,  tiesu eksperti, supervizors), samaksa uz pakalpjuma līguma pamata </t>
    </r>
    <r>
      <rPr>
        <b/>
        <sz val="11"/>
        <rFont val="Times New Roman"/>
        <family val="1"/>
        <charset val="186"/>
      </rPr>
      <t>68 790</t>
    </r>
    <r>
      <rPr>
        <sz val="11"/>
        <rFont val="Times New Roman"/>
        <family val="1"/>
        <charset val="186"/>
      </rPr>
      <t xml:space="preserve"> </t>
    </r>
    <r>
      <rPr>
        <i/>
        <sz val="11"/>
        <rFont val="Times New Roman"/>
        <family val="1"/>
        <charset val="186"/>
      </rPr>
      <t>euro</t>
    </r>
    <r>
      <rPr>
        <sz val="11"/>
        <rFont val="Times New Roman"/>
        <family val="1"/>
        <charset val="186"/>
      </rPr>
      <t xml:space="preserve"> apmērā:</t>
    </r>
  </si>
  <si>
    <t xml:space="preserve">medicīnas darbinieki (pakalpojuma līgums) </t>
  </si>
  <si>
    <t xml:space="preserve">tiesu eksperti (pakalpojuma līgums/uzņēmuma līgums) </t>
  </si>
  <si>
    <t>supervizors (pakalpojuma līgums)</t>
  </si>
  <si>
    <t>*150tiesu eksperta izbraukumi uz Bērna mājas filiāli, to izmaksas veido:</t>
  </si>
  <si>
    <t>** tiesu medicīnas eksperts(VTMEC), vai tiesu psiholoģijas vai psihiatrijas eksperts(RPNC). Var būt gadījumi, kad nepieciešama vairāku (dažāda profila) tiesu ekspertu iesaiste uz vienu gadījumu, tāpēc ekspertu izbraukumu skaits nav vienāds(ir lielāks) par bērnu skaitu.</t>
  </si>
  <si>
    <t>2. Nomas maksa</t>
  </si>
  <si>
    <t xml:space="preserve"> Nomas maksa Bērna mājas reģionālā filiāle </t>
  </si>
  <si>
    <t>3. Komunālie maksājumi</t>
  </si>
  <si>
    <t xml:space="preserve">Komunālie maksājumi,Bērna mājas reģionālā filiāle </t>
  </si>
  <si>
    <t>2026.gadā un turpmāk</t>
  </si>
  <si>
    <t xml:space="preserve">4. Bērna mājas ikdienas izdevumi, Bērna mājas reģionālā filiāle </t>
  </si>
  <si>
    <t xml:space="preserve">Bērna mājas ikdienas izdevumi, Bērna mājas reģionālā filiāle </t>
  </si>
  <si>
    <t>*Rīgas BM eksperti pārvietojas uz reģioniem, kad nepieciešams</t>
  </si>
  <si>
    <t>Bērna mājas ikdienas izdevumiem Bērna mājas reģionālajā filiālē 2026. gadā (kancelejas preču izmaksas, uzkodas bērniem un vecākiem, transporta izmaksas (ieskaitot transporta izmaksas Bērna mājas klientiem un personāla transportēšana uz bērna nopratināšanu Bērna mājā, ja nepieciešams) 6 mēnešu laikposmam   2 650 euro apmērā).  Uzkodas bērniem un vecākiem ir domātas situācijām, kad bērni atbraukuši no tālāka reģiona vai uzturas Bērna mājā visu dienu – tad ir iespēja padzert tēju vai kafiju (bērniem suliņu), apēst kādu uzkodu vai pusdienas.</t>
  </si>
  <si>
    <t>5. Bērna mājas telpu pielāgošana Bērna mājas reģionālā filiāles vajadzībām.</t>
  </si>
  <si>
    <t>Bērna mājas telpu pielāgošana Bērna mājas reģionālā filiāles vajadzībām 2026. gadā</t>
  </si>
  <si>
    <t>Datortehnika,(datorsx3, monitors, pele, klaviertūra printeris/kopētājs personālam</t>
  </si>
  <si>
    <t>Telpu pielāgošana/mēbeles (t.sk aizkari, paklāji)</t>
  </si>
  <si>
    <t>Telpu pielāgošana/mazie dizaina elementi, virtuves aprīkojums, trauki, dvieļi</t>
  </si>
  <si>
    <t>Telpu pielāgošana/nopratināšanas video/pārraidīšanas tehnika</t>
  </si>
  <si>
    <t>Telpu pielāgošana/psihologu kabineta aprīkojums</t>
  </si>
  <si>
    <t>Telpu aprīkojums/medicīniskas ekspertīzes telpa</t>
  </si>
  <si>
    <t>*Bērna mājas regionālo filiāli plānots izveidot nomātās telpās, sledzot nomas līgumu. Lai telpas būtu iespējams izmantot Bērna mājas vajadzībām, nepieciešams aprīkot- ar mebelēm, datortehniku, nopratināšanas video un audio ieraksta un apraides aprīkojumu, iekārtot medicīniskās apskates telpu. Šie izdevumi ir vienu reizi, pieņemto, ka nomas līgums tiek slēgts uz 10 gadiem, turpmākajos gados izmaksas veidos telpu nomas un uztruēšanas izdevumi.</t>
  </si>
  <si>
    <t>Kopsavilkums</t>
  </si>
  <si>
    <t>2024.gads</t>
  </si>
  <si>
    <t>2025.gads</t>
  </si>
  <si>
    <t>2027 un turpmāk</t>
  </si>
  <si>
    <t xml:space="preserve">BM atalgojums </t>
  </si>
  <si>
    <t>BM atalgojums (ārpakalpojums)</t>
  </si>
  <si>
    <t>BM Nomas maksa</t>
  </si>
  <si>
    <t>BM Komunālie maksājumi</t>
  </si>
  <si>
    <t>BM ikdienas izdevumi</t>
  </si>
  <si>
    <t>BM komandējuma izmaksas</t>
  </si>
  <si>
    <t xml:space="preserve">BM personāla apmācibas </t>
  </si>
  <si>
    <t>BM sabiedrības informēšanas izdevumi</t>
  </si>
  <si>
    <t>BM Mājas lapas izdevumi</t>
  </si>
  <si>
    <t>BM psihologu atbalsts un apmācības</t>
  </si>
  <si>
    <t>Filiāles atalgojums</t>
  </si>
  <si>
    <t>Filiāles atalgojums (ārpakalpojums)</t>
  </si>
  <si>
    <t>Filiāles nomas maksa</t>
  </si>
  <si>
    <t>Filiāles komunālie izdevumi</t>
  </si>
  <si>
    <t>Filiāles ikdienas izdevumi</t>
  </si>
  <si>
    <t>Filiāles aprīkojuma izdevumi</t>
  </si>
  <si>
    <t>EKK 1000</t>
  </si>
  <si>
    <t>EKK 3000</t>
  </si>
  <si>
    <t>EKK 5000</t>
  </si>
  <si>
    <t>EKK 2000</t>
  </si>
  <si>
    <t>Tiesu ekspertu izmaksu aprēķins:</t>
  </si>
  <si>
    <t>Ar 2026. gada otro pusgadu plānots atvērt Bērna mājas filiāli vienā no lielajām reģionu pilsētām, lai paplašinātu programmas Bērna māja pieejamību ārpus galvaspilsētas. Samazinot attālumu, kas bērnam un speciālistiem no attālākiem Latvijas reģioniem jāpārvar, lai nonāktu Bērna mājā, pakalpojums kļūs pieejamāks lielākam bērnu skaitam, kā arī tiks samazinātas transporta izmaksas, kas rodas saistībā ar bērna un speciālistu nokļūšanu galvaspilsētā. Ja bērnus no reģioniem ir iespējams izvadāt uz galvaspilsētu uz nopratināšanu(kas notiek pēc iespējas vienu reizi), tad domājot par bērna piekļuvi psiholoģiskās rehabilitācijas pakalpojumam (20 konsultācijas, reizi nedēļā), nokļūšana Rīgā no reģiona var būt par būtisku šķērsli pakalpojuma pieejamībai, ko iespējams mazināt veidojot Bērna mājas reģionālo filiāli.</t>
  </si>
  <si>
    <t>*pediatra pakalpojuma BM apraksts:  vidēji 3 h uz gadījumu, pediatra&amp;māsas komanda  veic padziļinātu pediatra apskati bērnam, nepieciešamības gadījumā piedalās STIS, sagatavo medicīnisko dokumentāciju un rakstveidā sniedz rekomendācijas, organizē bērna nokļūšanu pie cita med.speciālista BKUS, ja nepieciešams)</t>
  </si>
  <si>
    <r>
      <t xml:space="preserve">*165 bērni,198 </t>
    </r>
    <r>
      <rPr>
        <i/>
        <sz val="11"/>
        <rFont val="Times New Roman"/>
        <family val="1"/>
        <charset val="186"/>
      </rPr>
      <t>euro</t>
    </r>
    <r>
      <rPr>
        <sz val="11"/>
        <rFont val="Times New Roman"/>
        <family val="1"/>
        <charset val="186"/>
      </rPr>
      <t xml:space="preserve"> par pediatra piesaisti uz gadījumu</t>
    </r>
  </si>
  <si>
    <r>
      <t xml:space="preserve">40 ginekologa konsultācijas, 68 </t>
    </r>
    <r>
      <rPr>
        <i/>
        <sz val="11"/>
        <rFont val="Times New Roman"/>
        <family val="1"/>
        <charset val="186"/>
      </rPr>
      <t>euro</t>
    </r>
    <r>
      <rPr>
        <sz val="11"/>
        <rFont val="Times New Roman"/>
        <family val="1"/>
        <charset val="186"/>
      </rPr>
      <t xml:space="preserve"> par konsultāciju</t>
    </r>
  </si>
  <si>
    <r>
      <t>*</t>
    </r>
    <r>
      <rPr>
        <i/>
        <sz val="10"/>
        <rFont val="Times New Roman"/>
        <family val="1"/>
        <charset val="186"/>
      </rPr>
      <t>pediatra pakalpojuma BM apraksts:  vidēji 3 h uz gadījumu, pediatra&amp;māsas komanda (kopā pieejamas 3 komandas) veic padziļinātu pediatra apskati bērnam, nepieciešamības gadījumā piedalās STIS, sagatavo medicīnisko dokumentāciju un rakstveidā sniedz rekomendācijas, organizē bērna nokļūšanu pie cita med.speciālista BKUS, ja nepieciešams)</t>
    </r>
  </si>
  <si>
    <r>
      <t>2)</t>
    </r>
    <r>
      <rPr>
        <sz val="7"/>
        <rFont val="Times New Roman"/>
        <family val="1"/>
        <charset val="186"/>
      </rPr>
      <t xml:space="preserve">     </t>
    </r>
    <r>
      <rPr>
        <sz val="11"/>
        <rFont val="Times New Roman"/>
        <family val="1"/>
        <charset val="186"/>
      </rPr>
      <t xml:space="preserve">transporta izdevumi par eksperta nokļūšanu Bērna mājā (taksis vai īstermiņa nomas auto)  50,00 </t>
    </r>
    <r>
      <rPr>
        <i/>
        <sz val="11"/>
        <rFont val="Times New Roman"/>
        <family val="1"/>
        <charset val="186"/>
      </rPr>
      <t>euro</t>
    </r>
    <r>
      <rPr>
        <sz val="11"/>
        <rFont val="Times New Roman"/>
        <family val="1"/>
        <charset val="186"/>
      </rPr>
      <t xml:space="preserve"> apmērā uz izbraukumu x200 = 10 000 </t>
    </r>
    <r>
      <rPr>
        <i/>
        <sz val="11"/>
        <rFont val="Times New Roman"/>
        <family val="1"/>
        <charset val="186"/>
      </rPr>
      <t>euro</t>
    </r>
    <r>
      <rPr>
        <sz val="11"/>
        <rFont val="Times New Roman"/>
        <family val="1"/>
        <charset val="186"/>
      </rPr>
      <t xml:space="preserve"> apmērā);</t>
    </r>
  </si>
  <si>
    <r>
      <t xml:space="preserve">*250 bērni,198 </t>
    </r>
    <r>
      <rPr>
        <i/>
        <sz val="11"/>
        <rFont val="Times New Roman"/>
        <family val="1"/>
        <charset val="186"/>
      </rPr>
      <t>euro</t>
    </r>
    <r>
      <rPr>
        <sz val="11"/>
        <rFont val="Times New Roman"/>
        <family val="1"/>
        <charset val="186"/>
      </rPr>
      <t xml:space="preserve"> par pediatra piesaisti uz gadījumu</t>
    </r>
  </si>
  <si>
    <r>
      <t xml:space="preserve">60 ginekologa konsultācijas, 68 </t>
    </r>
    <r>
      <rPr>
        <i/>
        <sz val="11"/>
        <rFont val="Times New Roman"/>
        <family val="1"/>
        <charset val="186"/>
      </rPr>
      <t>euro</t>
    </r>
    <r>
      <rPr>
        <sz val="11"/>
        <rFont val="Times New Roman"/>
        <family val="1"/>
        <charset val="186"/>
      </rPr>
      <t xml:space="preserve"> par konsultāciju</t>
    </r>
  </si>
  <si>
    <r>
      <t>2)</t>
    </r>
    <r>
      <rPr>
        <sz val="7"/>
        <rFont val="Times New Roman"/>
        <family val="1"/>
        <charset val="186"/>
      </rPr>
      <t xml:space="preserve">     </t>
    </r>
    <r>
      <rPr>
        <sz val="11"/>
        <rFont val="Times New Roman"/>
        <family val="1"/>
        <charset val="186"/>
      </rPr>
      <t xml:space="preserve">transporta izdevumi par eksperta nokļūšanu Bērna mājā (taksis vai īstermiņa nomas auto)  50,00 </t>
    </r>
    <r>
      <rPr>
        <i/>
        <sz val="11"/>
        <rFont val="Times New Roman"/>
        <family val="1"/>
        <charset val="186"/>
      </rPr>
      <t>euro</t>
    </r>
    <r>
      <rPr>
        <sz val="11"/>
        <rFont val="Times New Roman"/>
        <family val="1"/>
        <charset val="186"/>
      </rPr>
      <t xml:space="preserve"> apmērā uz izbraukumu x300 = 15 000 </t>
    </r>
    <r>
      <rPr>
        <i/>
        <sz val="11"/>
        <rFont val="Times New Roman"/>
        <family val="1"/>
        <charset val="186"/>
      </rPr>
      <t>euro</t>
    </r>
    <r>
      <rPr>
        <sz val="11"/>
        <rFont val="Times New Roman"/>
        <family val="1"/>
        <charset val="186"/>
      </rPr>
      <t xml:space="preserve"> apmērā);</t>
    </r>
  </si>
  <si>
    <r>
      <t>Iznomātā platība m</t>
    </r>
    <r>
      <rPr>
        <vertAlign val="superscript"/>
        <sz val="11"/>
        <rFont val="Times New Roman"/>
        <family val="1"/>
        <charset val="186"/>
      </rPr>
      <t>2</t>
    </r>
  </si>
  <si>
    <r>
      <t>Iznomātā platība m</t>
    </r>
    <r>
      <rPr>
        <vertAlign val="superscript"/>
        <sz val="12"/>
        <rFont val="Times New Roman"/>
        <family val="1"/>
        <charset val="186"/>
      </rPr>
      <t>2</t>
    </r>
  </si>
  <si>
    <t>3.Bērna mājas ikdienas izdevumi</t>
  </si>
  <si>
    <t xml:space="preserve">*vidējās izmaksas par komandējumiem plāno 4700 euro gadā 2024., 2025., 2026. un 2027.gadā.  </t>
  </si>
  <si>
    <t>Bērna mājas reģionālā filiāle</t>
  </si>
  <si>
    <r>
      <t xml:space="preserve">*64 bērni,198 </t>
    </r>
    <r>
      <rPr>
        <i/>
        <sz val="11"/>
        <rFont val="Times New Roman"/>
        <family val="1"/>
        <charset val="186"/>
      </rPr>
      <t>euro</t>
    </r>
    <r>
      <rPr>
        <sz val="11"/>
        <rFont val="Times New Roman"/>
        <family val="1"/>
        <charset val="186"/>
      </rPr>
      <t xml:space="preserve"> par pediatra piesaisti uz gadījumu</t>
    </r>
  </si>
  <si>
    <r>
      <t xml:space="preserve">15 ginekologa konsultācijas, 68 </t>
    </r>
    <r>
      <rPr>
        <i/>
        <sz val="11"/>
        <rFont val="Times New Roman"/>
        <family val="1"/>
        <charset val="186"/>
      </rPr>
      <t>euro</t>
    </r>
    <r>
      <rPr>
        <sz val="11"/>
        <rFont val="Times New Roman"/>
        <family val="1"/>
        <charset val="186"/>
      </rPr>
      <t xml:space="preserve"> par konsultāciju</t>
    </r>
  </si>
  <si>
    <r>
      <t>**</t>
    </r>
    <r>
      <rPr>
        <i/>
        <sz val="10"/>
        <rFont val="Times New Roman"/>
        <family val="1"/>
        <charset val="186"/>
      </rPr>
      <t xml:space="preserve"> tiesu medicīnas eksperts(VTMEC), vai tiesu psiholoģijas vai psihiatrijas eksperts(RPNC). Var būt gadījumi, kad nepieciešama vairāku (dažāda profila) tiesu ekspertu iesaiste uz vienu gadījumu, tāpēc ekspertu izbraukumu skaits nav vienāds(ir lielāks) par bērnu skaitu.</t>
    </r>
  </si>
  <si>
    <r>
      <t xml:space="preserve">*128 bērni,198 </t>
    </r>
    <r>
      <rPr>
        <i/>
        <sz val="11"/>
        <rFont val="Times New Roman"/>
        <family val="1"/>
        <charset val="186"/>
      </rPr>
      <t>euro</t>
    </r>
    <r>
      <rPr>
        <sz val="11"/>
        <rFont val="Times New Roman"/>
        <family val="1"/>
        <charset val="186"/>
      </rPr>
      <t xml:space="preserve"> par pediatra piesaisti uz gadījumu</t>
    </r>
  </si>
  <si>
    <r>
      <t xml:space="preserve">30 ginekologa konsultācijas, 68 </t>
    </r>
    <r>
      <rPr>
        <i/>
        <sz val="11"/>
        <rFont val="Times New Roman"/>
        <family val="1"/>
        <charset val="186"/>
      </rPr>
      <t>euro</t>
    </r>
    <r>
      <rPr>
        <sz val="11"/>
        <rFont val="Times New Roman"/>
        <family val="1"/>
        <charset val="186"/>
      </rPr>
      <t xml:space="preserve"> par konsultāciju</t>
    </r>
  </si>
  <si>
    <r>
      <t>2)</t>
    </r>
    <r>
      <rPr>
        <sz val="7"/>
        <rFont val="Times New Roman"/>
        <family val="1"/>
        <charset val="186"/>
      </rPr>
      <t xml:space="preserve">     </t>
    </r>
    <r>
      <rPr>
        <sz val="11"/>
        <rFont val="Times New Roman"/>
        <family val="1"/>
        <charset val="186"/>
      </rPr>
      <t xml:space="preserve">transporta izdevumi par eksperta nokļūšanu Bērna mājā (taksis vai īstermiņa nomas auto)  100,00 </t>
    </r>
    <r>
      <rPr>
        <i/>
        <sz val="11"/>
        <rFont val="Times New Roman"/>
        <family val="1"/>
        <charset val="186"/>
      </rPr>
      <t>euro</t>
    </r>
    <r>
      <rPr>
        <sz val="11"/>
        <rFont val="Times New Roman"/>
        <family val="1"/>
        <charset val="186"/>
      </rPr>
      <t xml:space="preserve"> apmērā uz izbraukumu x150 = 15 000 </t>
    </r>
    <r>
      <rPr>
        <i/>
        <sz val="11"/>
        <rFont val="Times New Roman"/>
        <family val="1"/>
        <charset val="186"/>
      </rPr>
      <t>euro</t>
    </r>
    <r>
      <rPr>
        <sz val="11"/>
        <rFont val="Times New Roman"/>
        <family val="1"/>
        <charset val="186"/>
      </rPr>
      <t xml:space="preserve"> apmērā);</t>
    </r>
  </si>
  <si>
    <t>Sagatavotājs:</t>
  </si>
  <si>
    <t>G.Ceriņa</t>
  </si>
  <si>
    <t>Uzkodas bērniem un vecākiem*</t>
  </si>
  <si>
    <t xml:space="preserve">5. Bērnu mājas personāla apmācības </t>
  </si>
  <si>
    <t>Nopratināšana*</t>
  </si>
  <si>
    <t>sociālais darbinieks</t>
  </si>
  <si>
    <t>20.03 I</t>
  </si>
  <si>
    <t>TF KBT/rehabilitācija**</t>
  </si>
  <si>
    <t>Atvaļinājuma pabalstsa 50% ***</t>
  </si>
  <si>
    <t>Novērtēšanas prēmija 65%***</t>
  </si>
  <si>
    <t>2026**</t>
  </si>
  <si>
    <t>2027**</t>
  </si>
  <si>
    <r>
      <t xml:space="preserve">8 ķirurga konsultācijas (zēniem), 68 </t>
    </r>
    <r>
      <rPr>
        <i/>
        <sz val="11"/>
        <rFont val="Times New Roman"/>
        <family val="1"/>
        <charset val="186"/>
      </rPr>
      <t>euro</t>
    </r>
    <r>
      <rPr>
        <sz val="11"/>
        <rFont val="Times New Roman"/>
        <family val="1"/>
        <charset val="186"/>
      </rPr>
      <t xml:space="preserve"> par konsultāciju</t>
    </r>
  </si>
  <si>
    <r>
      <t>1)</t>
    </r>
    <r>
      <rPr>
        <sz val="7"/>
        <rFont val="Times New Roman"/>
        <family val="1"/>
        <charset val="186"/>
      </rPr>
      <t xml:space="preserve">     </t>
    </r>
    <r>
      <rPr>
        <sz val="11"/>
        <rFont val="Times New Roman"/>
        <family val="1"/>
        <charset val="186"/>
      </rPr>
      <t xml:space="preserve">73,40 </t>
    </r>
    <r>
      <rPr>
        <i/>
        <sz val="11"/>
        <rFont val="Times New Roman"/>
        <family val="1"/>
        <charset val="186"/>
      </rPr>
      <t>euro</t>
    </r>
    <r>
      <rPr>
        <sz val="11"/>
        <rFont val="Times New Roman"/>
        <family val="1"/>
        <charset val="186"/>
      </rPr>
      <t xml:space="preserve"> apmērā atlīdzība ekspertam (summa veidojas no starpības, ko eksperts laika ziņā iztērē Bērna mājā (vidēji 5h) vai ekspertīžu iestādē (vidēji 1h). Starpība  - 4h, stundas likme  18,35  </t>
    </r>
    <r>
      <rPr>
        <i/>
        <sz val="11"/>
        <rFont val="Times New Roman"/>
        <family val="1"/>
        <charset val="186"/>
      </rPr>
      <t>euro</t>
    </r>
    <r>
      <rPr>
        <sz val="11"/>
        <rFont val="Times New Roman"/>
        <family val="1"/>
        <charset val="186"/>
      </rPr>
      <t xml:space="preserve"> x4h= 73,40 </t>
    </r>
    <r>
      <rPr>
        <i/>
        <sz val="11"/>
        <rFont val="Times New Roman"/>
        <family val="1"/>
        <charset val="186"/>
      </rPr>
      <t>euro</t>
    </r>
    <r>
      <rPr>
        <sz val="11"/>
        <rFont val="Times New Roman"/>
        <family val="1"/>
        <charset val="186"/>
      </rPr>
      <t xml:space="preserve"> apmērā, kopā par 75 izbraukumiem 5 505 </t>
    </r>
    <r>
      <rPr>
        <i/>
        <sz val="11"/>
        <rFont val="Times New Roman"/>
        <family val="1"/>
        <charset val="186"/>
      </rPr>
      <t>euro</t>
    </r>
    <r>
      <rPr>
        <sz val="11"/>
        <rFont val="Times New Roman"/>
        <family val="1"/>
        <charset val="186"/>
      </rPr>
      <t xml:space="preserve"> apmērā);</t>
    </r>
  </si>
  <si>
    <r>
      <t xml:space="preserve">16 ķirurga konsultācijas (zēniem), 68 </t>
    </r>
    <r>
      <rPr>
        <i/>
        <sz val="11"/>
        <rFont val="Times New Roman"/>
        <family val="1"/>
        <charset val="186"/>
      </rPr>
      <t>euro</t>
    </r>
    <r>
      <rPr>
        <sz val="11"/>
        <rFont val="Times New Roman"/>
        <family val="1"/>
        <charset val="186"/>
      </rPr>
      <t xml:space="preserve"> par konsultāciju</t>
    </r>
  </si>
  <si>
    <r>
      <t xml:space="preserve">30 ķirurga konsultācijas (zēniem), 68 </t>
    </r>
    <r>
      <rPr>
        <i/>
        <sz val="11"/>
        <rFont val="Times New Roman"/>
        <family val="1"/>
        <charset val="186"/>
      </rPr>
      <t>euro</t>
    </r>
    <r>
      <rPr>
        <sz val="11"/>
        <rFont val="Times New Roman"/>
        <family val="1"/>
        <charset val="186"/>
      </rPr>
      <t xml:space="preserve"> par konsultāciju</t>
    </r>
  </si>
  <si>
    <r>
      <t>1)</t>
    </r>
    <r>
      <rPr>
        <sz val="7"/>
        <rFont val="Times New Roman"/>
        <family val="1"/>
        <charset val="186"/>
      </rPr>
      <t xml:space="preserve">     </t>
    </r>
    <r>
      <rPr>
        <sz val="11"/>
        <rFont val="Times New Roman"/>
        <family val="1"/>
        <charset val="186"/>
      </rPr>
      <t xml:space="preserve">73,40 </t>
    </r>
    <r>
      <rPr>
        <i/>
        <sz val="11"/>
        <rFont val="Times New Roman"/>
        <family val="1"/>
        <charset val="186"/>
      </rPr>
      <t>euro</t>
    </r>
    <r>
      <rPr>
        <sz val="11"/>
        <rFont val="Times New Roman"/>
        <family val="1"/>
        <charset val="186"/>
      </rPr>
      <t xml:space="preserve"> apmērā atlīdzība ekspertam (summa veidojas no starpības, ko eksperts laika ziņā iztērē Bērna mājā (vidēji 5h) vai ekspertīžu iestādē (vidēji 1h). Starpība  - 4h, stundas likme  18,35  </t>
    </r>
    <r>
      <rPr>
        <i/>
        <sz val="11"/>
        <rFont val="Times New Roman"/>
        <family val="1"/>
        <charset val="186"/>
      </rPr>
      <t>euro</t>
    </r>
    <r>
      <rPr>
        <sz val="11"/>
        <rFont val="Times New Roman"/>
        <family val="1"/>
        <charset val="186"/>
      </rPr>
      <t xml:space="preserve"> x4h= 73,40 </t>
    </r>
    <r>
      <rPr>
        <i/>
        <sz val="11"/>
        <rFont val="Times New Roman"/>
        <family val="1"/>
        <charset val="186"/>
      </rPr>
      <t>euro</t>
    </r>
    <r>
      <rPr>
        <sz val="11"/>
        <rFont val="Times New Roman"/>
        <family val="1"/>
        <charset val="186"/>
      </rPr>
      <t xml:space="preserve"> apmērā, kopā par 300 izbraukumiem  22 020 </t>
    </r>
    <r>
      <rPr>
        <i/>
        <sz val="11"/>
        <rFont val="Times New Roman"/>
        <family val="1"/>
        <charset val="186"/>
      </rPr>
      <t>euro</t>
    </r>
    <r>
      <rPr>
        <sz val="11"/>
        <rFont val="Times New Roman"/>
        <family val="1"/>
        <charset val="186"/>
      </rPr>
      <t xml:space="preserve"> apmērā);</t>
    </r>
  </si>
  <si>
    <r>
      <t xml:space="preserve">Starpinstitūciju sadarbība/kvalifikācijas celšanas kursi (500 </t>
    </r>
    <r>
      <rPr>
        <i/>
        <sz val="11"/>
        <rFont val="Times New Roman"/>
        <family val="1"/>
        <charset val="186"/>
      </rPr>
      <t>euro</t>
    </r>
    <r>
      <rPr>
        <sz val="11"/>
        <rFont val="Times New Roman"/>
        <family val="1"/>
        <charset val="186"/>
      </rPr>
      <t xml:space="preserve"> uz amata vietu gadā)</t>
    </r>
  </si>
  <si>
    <t>*Nopratināšana: 2024. gadā nepieciešamas apmācības pie ASV ekspertiem par nopratināšanu jaunajiem BM psihologiem(papildus 2 amata vietas),kā arī praktisko iemaņu analize, papildus treniņš un konsultācijas, esošajiem BM psihologiem (2 amata vietas) , jo šīs specifiskās mācības tiek organziētas periodiski, kad nokomplektētas grupas. Aprēķins paredz vienu šādu apmācību provizorsikās izmaksas 1500 euro uz cilvēku (1500x4=6000). Apmācības norit 6 mēnešu garumā, kur 1.mēnesi ir teorijas apguve straptautiskā grupā un 5 mēnešu periodā ir praktiskās apmācības ar avatar metodi, gadijumu analīze un supervīzijas. 2026. gadā šīs apmācības nepieciešamas apmācības 2 psihologiem, kas uzsāks darbu Bērna mājas regionālajā filiālē 2026. gadā (1500x2=3000). Cietušajam bērnam saudzējoša nopratināšana, pielietojot pētījumos balstītas tehnikas, ir Bērna mājas pakalpojuma centrā. Latvijā pagaidām nav ekspertu, kas paši apguvuši šo tehniku un varētu nodrošināt padziļinātas praktiskās apmācības ar avatar metodi(datorprogramma, kas imitē bērna stāstījumu). Tādēļ BM psihologiem nepieciešamas ārvalstu ekspertu apmācības un atbalsts, ko organizē Promise Barnahus tīkls(Latvija ir dalībvalsts). Arī citu Eiropas valstu Barnahus personāls nopratināšanu joprojām apgūst pie ASV ekspertiem, kas izstrādājuši NICHD nopratināšanas protokolu. 
** Cietušo rehabilitācija: Tāpat 2024. gadā ir nepieciešamas TF KBT (uz Traumu Fokusēta Kognitīvi Biheiviorālā terapija) 2 jaunajiem psihologiem, kas uzsāks darbu BM, lai varētu veikt rehabilitācijas funkciju BM, ko arī organizē- Promise Barnahus tīkls, provizorsikās izmaskas ir 1000 euro par vienu kursu, kurā ietilpst teorijas sadaļa, praktiskās nodarbības un supervīzija 6 mēnešu garumā.2026. gadā šīs apmācības nepieciešamas apmācības 2 psihologiem, kas uzsāks darbu Bērna mājas regionālajā filiālē 2026. gadā (1000x2=2000). Bērna mājas personāla apmācībām (starpinstitucinālā sadarbība, darba ar dažādām mērķgrupām, kvalifikācijas celšana u.c. ik gadu paredzēti  500 euro uz vienu darbinieku ik gadu.</t>
  </si>
  <si>
    <r>
      <t>1)</t>
    </r>
    <r>
      <rPr>
        <sz val="7"/>
        <rFont val="Times New Roman"/>
        <family val="1"/>
        <charset val="186"/>
      </rPr>
      <t xml:space="preserve">     </t>
    </r>
    <r>
      <rPr>
        <sz val="11"/>
        <rFont val="Times New Roman"/>
        <family val="1"/>
        <charset val="186"/>
      </rPr>
      <t xml:space="preserve">73,40 </t>
    </r>
    <r>
      <rPr>
        <i/>
        <sz val="11"/>
        <rFont val="Times New Roman"/>
        <family val="1"/>
        <charset val="186"/>
      </rPr>
      <t>euro</t>
    </r>
    <r>
      <rPr>
        <sz val="11"/>
        <rFont val="Times New Roman"/>
        <family val="1"/>
        <charset val="186"/>
      </rPr>
      <t xml:space="preserve"> apmērā atlīdzība ekspertam (summa veidojas no starpības, ko eksperts laika ziņā iztērē Bērna mājā (vidēji 5h) vai ekspertīžu iestādē (vidēji 1h). Starpība  - 4h, stundas likme  18,35  </t>
    </r>
    <r>
      <rPr>
        <i/>
        <sz val="11"/>
        <rFont val="Times New Roman"/>
        <family val="1"/>
        <charset val="186"/>
      </rPr>
      <t xml:space="preserve">euro </t>
    </r>
    <r>
      <rPr>
        <sz val="11"/>
        <rFont val="Times New Roman"/>
        <family val="1"/>
        <charset val="186"/>
      </rPr>
      <t>x 4h= 73,40</t>
    </r>
    <r>
      <rPr>
        <i/>
        <sz val="11"/>
        <rFont val="Times New Roman"/>
        <family val="1"/>
        <charset val="186"/>
      </rPr>
      <t xml:space="preserve"> euro</t>
    </r>
    <r>
      <rPr>
        <sz val="11"/>
        <rFont val="Times New Roman"/>
        <family val="1"/>
        <charset val="186"/>
      </rPr>
      <t xml:space="preserve"> apmērā, kopā par 150 izbraukumiem 11 010 </t>
    </r>
    <r>
      <rPr>
        <i/>
        <sz val="11"/>
        <rFont val="Times New Roman"/>
        <family val="1"/>
        <charset val="186"/>
      </rPr>
      <t>euro</t>
    </r>
    <r>
      <rPr>
        <sz val="11"/>
        <rFont val="Times New Roman"/>
        <family val="1"/>
        <charset val="186"/>
      </rPr>
      <t xml:space="preserve"> apmērā);</t>
    </r>
  </si>
  <si>
    <t xml:space="preserve">*visi komunālie kopā ir 4,97 euro par kvm, Komunālie maksājumi (apkure, elektrība, ūdens, kanalizācija) rēķināti pēc formas, kur 2 euro par kvadrātmetru ir apkures izdevumi mēnesī un 2,97 euro visi pārējie izdevumi (elektrība, ūdens, kanalizācija) </t>
  </si>
  <si>
    <r>
      <t>1)</t>
    </r>
    <r>
      <rPr>
        <sz val="7"/>
        <rFont val="Times New Roman"/>
        <family val="1"/>
        <charset val="186"/>
      </rPr>
      <t xml:space="preserve">     </t>
    </r>
    <r>
      <rPr>
        <sz val="11"/>
        <rFont val="Times New Roman"/>
        <family val="1"/>
        <charset val="186"/>
      </rPr>
      <t xml:space="preserve">73,40 </t>
    </r>
    <r>
      <rPr>
        <i/>
        <sz val="11"/>
        <rFont val="Times New Roman"/>
        <family val="1"/>
        <charset val="186"/>
      </rPr>
      <t>euro</t>
    </r>
    <r>
      <rPr>
        <sz val="11"/>
        <rFont val="Times New Roman"/>
        <family val="1"/>
        <charset val="186"/>
      </rPr>
      <t xml:space="preserve"> apmērā atlīdzība ekspertam (summa veidojas no starpības, ko eksperts laika ziņā iztērē Bērna mājā (vidēji 5h) vai ekspertīžu iestādē (vidēji 1h). Starpība  - 4h, stundas likme  18,35  </t>
    </r>
    <r>
      <rPr>
        <i/>
        <sz val="11"/>
        <rFont val="Times New Roman"/>
        <family val="1"/>
        <charset val="186"/>
      </rPr>
      <t>euro</t>
    </r>
    <r>
      <rPr>
        <sz val="11"/>
        <rFont val="Times New Roman"/>
        <family val="1"/>
        <charset val="186"/>
      </rPr>
      <t xml:space="preserve"> x 4h= 73,40 </t>
    </r>
    <r>
      <rPr>
        <i/>
        <sz val="11"/>
        <rFont val="Times New Roman"/>
        <family val="1"/>
        <charset val="186"/>
      </rPr>
      <t>euro</t>
    </r>
    <r>
      <rPr>
        <sz val="11"/>
        <rFont val="Times New Roman"/>
        <family val="1"/>
        <charset val="186"/>
      </rPr>
      <t xml:space="preserve"> apmērā, kopā par 200 izbraukumiem  14680 </t>
    </r>
    <r>
      <rPr>
        <i/>
        <sz val="11"/>
        <rFont val="Times New Roman"/>
        <family val="1"/>
        <charset val="186"/>
      </rPr>
      <t>euro</t>
    </r>
    <r>
      <rPr>
        <sz val="11"/>
        <rFont val="Times New Roman"/>
        <family val="1"/>
        <charset val="186"/>
      </rPr>
      <t xml:space="preserve"> apmērā);</t>
    </r>
  </si>
  <si>
    <t xml:space="preserve">*Aprēķinā izmantota BKUS piedāvātā nomas maksa 6,65 euro par kvm (Bērna mājai Rīgā), pieņemot, ka tiks slēgts telpu nomas līgums uz 3 gadiem un nomas maksa paliek nemainīga. 2026. gadā plānots atvērt 1 reģionālo bērna māju, īrējot telpas, kas piemērotas Bērna mājas darbam, 150 kvm apmērā un nodarbinot tajā 3 bērna mājas darbiniekus (1 sociālo darbinieku un 2 psihologus) </t>
  </si>
  <si>
    <t xml:space="preserve">*Sabiedrības informēšanas izdevumi ar 2026.gadu palielinās, jo ar 2026.gada otro pusi plānojas sabiedrības informēšanas izdevumi Bērna mājas filiālei.Informatīvo materiālu izveide un druka 3 mēŗkgrupām – vecākiem, bērniem un speciālistiem par Bērna mājas pakalpojumu reģionā, norādot jaunu adresi, informatīvie semināri reģionā un apmaiņa vizītes informēšanai par jauno Bērna mājas filiāles pakalpojumu dažādām speciālistu grupām reģionos – pašvaldību sociālajiem dienestiem un bāriņtiesām, izmeklētājiem, prokuroriem, advokātiem un tiesnešiem. Kā arī plānotas darba vizītes BM un filiāles starpā. </t>
  </si>
  <si>
    <r>
      <t>3)</t>
    </r>
    <r>
      <rPr>
        <sz val="7"/>
        <rFont val="Times New Roman"/>
        <family val="1"/>
        <charset val="186"/>
      </rPr>
      <t xml:space="preserve">    *** </t>
    </r>
    <r>
      <rPr>
        <sz val="11"/>
        <rFont val="Times New Roman"/>
        <family val="1"/>
        <charset val="186"/>
      </rPr>
      <t xml:space="preserve">administrēšanas izmaksas ekspertīžu iestādē(s)  412.3 </t>
    </r>
    <r>
      <rPr>
        <i/>
        <sz val="11"/>
        <rFont val="Times New Roman"/>
        <family val="1"/>
        <charset val="186"/>
      </rPr>
      <t>euro</t>
    </r>
    <r>
      <rPr>
        <sz val="11"/>
        <rFont val="Times New Roman"/>
        <family val="1"/>
        <charset val="186"/>
      </rPr>
      <t xml:space="preserve"> mēnesī x 6 mēn =  2 473.8 </t>
    </r>
    <r>
      <rPr>
        <i/>
        <sz val="11"/>
        <rFont val="Times New Roman"/>
        <family val="1"/>
        <charset val="186"/>
      </rPr>
      <t>euro</t>
    </r>
    <r>
      <rPr>
        <sz val="11"/>
        <rFont val="Times New Roman"/>
        <family val="1"/>
        <charset val="186"/>
      </rPr>
      <t xml:space="preserve"> apmērā.</t>
    </r>
  </si>
  <si>
    <t>* BM filiālei būs sava supervizore,  (reģionā plānota izmaksas zemākas), jo darbs būs ar nelielu – 3 cilvēku komandu.</t>
  </si>
  <si>
    <t>**Administratīvās izmaksas veido: papildus pediatra un māsu komandu darba stundām bērna mājā pakalpojuma sniedzējam veidojas izdevumi no pakalpojuma administrēšanas, plānojot un koordinējot ārstu un māsu piesaisti ar Bērna māju saskaņotos laikos, kā arī plānojot un organizējot ginekologa un ķirurga piesaisti, ja tāda nepieciešama, kā arī nepieciešamības gadījumā plānojot un organizējot bērna nokļūšanu pie cita ārsta - speciālista Bērnu slimnīcā, ja bērna apskates laikā konstatēta tāda nepieciešamība. Ārpakalpojuma ikmēneša izdevumi atkarīgi no katra līguma specifikas.</t>
  </si>
  <si>
    <t>*** Administrēšanas izmaksās iekļauts: ārpakalpojuma sniedzējs,  plānos un koordinēs ekspertu piesaisti/ nokļūšanu BM, kas ir jauns/papildus pienākums ekspertīžu iestādē .  Ekspertīze (medicīniskā vai psiholoģiskā) šobrīd notiek ekspertīžu iestādē un Valsts policija ar lēmumu nosūta bērnu uz ekspertīzi. Vecāks/bērns pats dodas pie eksperta, laiku, kad jāierodas, nosaka ekspertīžu iestāde. Bērna mājas gadījumā izmeklētājs ar lēmumu pieaicinās ekspertu un būs jāsaskaņo eksperta nokļūšana BM, ekspertīžu iestādei būs jāpiedalās bērna nopratināšanas un ekspertīzes veikšanas plānošanā, iespējams, jāpiedalās starpinstitūciju sanāksmēs, ar mērķi plānot darbības tā, lai tās visas varētu veikt ar bērnu vienā dienā. Tāpēc viena daļa finansējumā ir papildus laiks, ko pats eksperts pavadīs nokļūstot Bērna mājā un atpakaļ. Bet otra daļa ir pakalpokuma administrēšanas laiks ekspertīžu iestādei  pavadītais laiks, saskaņojot, plānojot un koordinējot eksperta darbības Bērna mājā, kas līdz šim ekspertīžu iestādei nebija jāveic. Ārpakalpojuma ikmēneša izdevumi atkarīgi no katra līguma specifikas.</t>
  </si>
  <si>
    <t>**Administratīvās izmaksas veido: ārpakalpojuma sniedzējs. Papildus pediatra un māsu komandu darba stundām bērna mājā pakalpojuma sniedzējam veidojas izdevumi no pakalpojuma administrēšanas, plānojot un koordinējot ārstu un māsu piesaisti ar Bērna māju saskaņotos laikos, kā arī plānojot un organizējot ginekologa un ķirurga piesaisti, ja tāda nepieciešama, kā arī nepieciešamības gadījumā plānojot un organizējot bērna nokļūšanu pie cita ārsta - speciālista Bērnu slimnīcā, ja bērna apskates laikā konstatēta tāda nepieciešamība. Ārpakalpojuma ikmēneša izdevumi atkarīgi no katra līguma darības nosacījumu specifikas.</t>
  </si>
  <si>
    <t>** Administrēšanas izmaksās iekļauts: ārpakalpojuma sniedzējs,  plānos un koordinēs ekspertu piesaisti/ nokļūšanu BM, kas ir jauns/papildus pienākums ekspertīžu iestādē .  Ekspertīze (medicīniskā vai psiholoģiskā) šobrīd notiek ekspertīžu iestādē un Valsts policija ar lēmumu nosūta bērnu uz ekspertīzi. Vecāks/bērns pats dodas pie eksperta, laiku, kad jāierodas, nosaka ekspertīžu iestāde. Bērna mājas gadījumā izmeklētājs ar lēmumu pieaicinās ekspertu un būs jāsaskaņo eksperta nokļūšana BM, ekspertīžu iestādei būs jāpiedalās bērna nopratināšanas un ekspertīzes veikšanas plānošanā, iespējams, jāpiedalās starpinstitūciju sanāksmēs, ar mērķi plānot darbības tā, lai tās visas varētu veikt ar bērnu vienā dienā. Tāpēc viena daļa finansējumā ir papildus laiks, ko pats eksperts pavadīs nokļūstot Bērna mājā un atpakaļ. Bet otra daļa ir pakalpokuma administrēšanas laiks ekspertīžu iestādei  pavadītais laiks, saskaņojot, plānojot un koordinējot eksperta darbības Bērna mājā, kas līdz šim ekspertīžu iestādei nebija jāveic. Ārpakalpojuma ikmēneša izdevumi atkarīgi no katra līguma darbības nosacījuma specifikas.</t>
  </si>
  <si>
    <t>**Administratīvās izmaksas veido: Ārpakalpojuma sniedzējs. Papildus pediatra un māsu komandu darba stundām bērna mājā pakalpojuma sniedzējam veidojas izdevumi no pakalpojuma administrēšanas, plānojot un koordinējot ārstu un māsu piesaisti ar Bērna māju saskaņotos laikos, kā arī plānojot un organizējot ginekologa un ķirurga piesaisti, ja tāda nepieciešama, kā arī nepieciešamības gadījumā plānojot un organizējot bērna nokļūšanu pie cita ārsta - speciālista Bērnu slimnīcā, ja bērna apskates laikā konstatēta tāda nepieciešamība. Ārpakalpojuma ikmēneša izdevumi atkarīgi no katra līguma darbības nosacījuma specifikas.</t>
  </si>
  <si>
    <t>**Lai nodrošinātu tiesu ekspertīzi Bērna mājā, pēc procesa virzītāja lēmuma tiek piesaistīti ekspertīžu iestādes eksperti, tiesiskās attiecības “Bērnu aizsardzības centrs” un ekspertīžu iestādes starpā regulē Līgums. Papildu izdevumus veido transporta izdevumi, ceļā pavadītais laiks, gan arī papildu laiks, ko eksperts pavadīs programmas “Bērnu māja” īstenošanas vietā, jo ekspertīzes veikšanas laiks “Bērnu mājā” paredzams ilgāks nekā tas būtu, veicot ekspertīzi ekspertīžu iestādes telpās - lai veiktu ekspertīzi un atbildētu uz procesa virzītāja jautājumiem, ekspertam var būt jāpiedalās kopā ar citiem speciālistiem bērna iztaujāšanā, medicīniskajā apskatē utt., kas varētu ieilgt līdz pat dažām stundām (samaksa tiek veikta par transporta izdevumiem un papildus pavadīto laiku, faktiski BM sniegto pakalpojumu).</t>
  </si>
  <si>
    <r>
      <rPr>
        <b/>
        <i/>
        <sz val="10"/>
        <rFont val="Times New Roman"/>
        <family val="1"/>
        <charset val="186"/>
      </rPr>
      <t xml:space="preserve">Supervizors aprēķins: 
</t>
    </r>
    <r>
      <rPr>
        <i/>
        <sz val="10"/>
        <rFont val="Times New Roman"/>
        <family val="1"/>
        <charset val="186"/>
      </rPr>
      <t xml:space="preserve">  1.specifiski supervizors(pārraugs) psihologiem (grupu un individuālajai pārraudzībai), saskaņā ar Psihologu likuma prasībām. Psihologam BM ir 2 darba virzieni – veikt bērnu nopratināšanu un nodrošināt atbalsta pakalpojumus un psiholoģisko konsultēšanu. Tādēļ BM psihologiem ir nepieciešamas regulāras supervīzijas pieredzējuša pārrauga vadībā, kam ir iepriekšēja pieredze tieši supervīzējot darbu ar seksuāla vardarbībā cietušiem bērniem un ģimenēm, lai varētu tikt īstenota gadījumu analīze, darba izvērtēšana un darbinieku emocionālā stiprināšana. Šo supervīziju mērķis īstenot psiholoģisko un profesionālo atbalstu Inspekcijas struktūrvienības Bērna māja psihologiem, lai nodrošinātu kvalitatīvu amata pienākumu izpildi ilgtermiņā un mazinātu profesionālās izdegšanas riskus.
70 eur x 6h mēn x 8 mēn =</t>
    </r>
    <r>
      <rPr>
        <b/>
        <i/>
        <sz val="10"/>
        <rFont val="Times New Roman"/>
        <family val="1"/>
        <charset val="186"/>
      </rPr>
      <t>3360</t>
    </r>
    <r>
      <rPr>
        <i/>
        <sz val="10"/>
        <rFont val="Times New Roman"/>
        <family val="1"/>
        <charset val="186"/>
      </rPr>
      <t xml:space="preserve"> euro                                                                                                                                                                                                                                                                                                                                                                                                                       Grupas supervīzijas psihologiem (psihologu profesionālas darbība ietvaros)2x mēnesī pa 1h = 2h – katru otro ned visi psihologi tiekas grupas supervīzijās uz 2 h.
Papildus individuālās supervīzijas psihologiem 4 x 1h mēnesī =4h(pēc nepieciešamības) papildus grupas supervīzijām
Kopā psihologiem 6 h mēnesī
Šim supervizoram jābūt reģistrētam psihologu pārraugu reģistrā.
2.BM Komandas supervīzijas Bērna mājas darbiniekiem – komandai ikdienā jāveic darbs ar sarežģītiem vardarbības un seksuālas vardarbības gadījumiem pret bērniem, lai īstenotu bērnu nopratināšanu, organizētu tiesu medicīniskās ekspertīzes un pediatra apskates norisi, plānotu, organizētu un īstenotu atbalsta pakalpojumus cietušajam bērnam un nevardarbīgajiem tuviniekiem. Darbā būs saskarsme ar paaugstinātu emocionālo un psiholoģisko slodzi, tādēļ BM komandai  ir nepieciešamas regulāras supervīzijas pieredzējuša supervizora vadībā, kam ir iepriekšēja pieredze tieši supervīzējot komandas darbu, kas strādā sociālajā, medicīnas vai citā atbalsta profesiju jomā paaugstināta emocionāla un psiholoģiska stresa apstākļos.  Šo supervīziju mērķis nodrošināt psiholoģisko un profesionālo atbalstu Inspekcijas struktūrvienības Bērna māja komandai, lai sniegtu profesionālu atbalstu un nodrošinātu kvalitatīvu amata pienākumu izpildi ilgtermiņā un mazinātu profesionālās izdegšanas riskus.
60 eur x 8h mēn(2x2 grupas supervīzijas un 5 individuālās) x 8 mēn=</t>
    </r>
    <r>
      <rPr>
        <b/>
        <i/>
        <sz val="10"/>
        <rFont val="Times New Roman"/>
        <family val="1"/>
        <charset val="186"/>
      </rPr>
      <t>3840</t>
    </r>
    <r>
      <rPr>
        <i/>
        <sz val="10"/>
        <rFont val="Times New Roman"/>
        <family val="1"/>
        <charset val="186"/>
      </rPr>
      <t xml:space="preserve"> euro                                                                                                                                                                                                                                                                                                                                              BM Komandas supervīzijas 2xmēnesī par 2h = 4h – katru otro nedēļu visai komandai pa 2 h grupas supervīzija
Individuālās supervīzijas sociālajiem darbiniekiem, kas strādā ar gadījumiem 4x1h =4h papildus grupas supervīzijām
Kopā komandai 8h mēnesī
Šim supervizoram jābūt reģistrētam supervizoru reģistrā.
                       </t>
    </r>
  </si>
  <si>
    <r>
      <t xml:space="preserve">**Administrēšanas izmaksas 1026,25 </t>
    </r>
    <r>
      <rPr>
        <i/>
        <sz val="11"/>
        <rFont val="Times New Roman"/>
        <family val="1"/>
        <charset val="186"/>
      </rPr>
      <t>euro</t>
    </r>
    <r>
      <rPr>
        <sz val="11"/>
        <rFont val="Times New Roman"/>
        <family val="1"/>
        <charset val="186"/>
      </rPr>
      <t xml:space="preserve"> mēnesī</t>
    </r>
  </si>
  <si>
    <r>
      <t>3)</t>
    </r>
    <r>
      <rPr>
        <sz val="7"/>
        <rFont val="Times New Roman"/>
        <family val="1"/>
        <charset val="186"/>
      </rPr>
      <t xml:space="preserve"> ** </t>
    </r>
    <r>
      <rPr>
        <sz val="11"/>
        <rFont val="Times New Roman"/>
        <family val="1"/>
        <charset val="186"/>
      </rPr>
      <t xml:space="preserve">administrēšanas izmaksas ekspertīžu iestādē(s)  785 </t>
    </r>
    <r>
      <rPr>
        <i/>
        <sz val="11"/>
        <rFont val="Times New Roman"/>
        <family val="1"/>
        <charset val="186"/>
      </rPr>
      <t>euro</t>
    </r>
    <r>
      <rPr>
        <sz val="11"/>
        <rFont val="Times New Roman"/>
        <family val="1"/>
        <charset val="186"/>
      </rPr>
      <t xml:space="preserve"> mēnesī x 8 mēn =  6280 </t>
    </r>
    <r>
      <rPr>
        <i/>
        <sz val="11"/>
        <rFont val="Times New Roman"/>
        <family val="1"/>
        <charset val="186"/>
      </rPr>
      <t>euro</t>
    </r>
    <r>
      <rPr>
        <sz val="11"/>
        <rFont val="Times New Roman"/>
        <family val="1"/>
        <charset val="186"/>
      </rPr>
      <t xml:space="preserve"> apmērā.</t>
    </r>
  </si>
  <si>
    <r>
      <rPr>
        <b/>
        <i/>
        <sz val="10"/>
        <rFont val="Times New Roman"/>
        <family val="1"/>
        <charset val="186"/>
      </rPr>
      <t xml:space="preserve">Supervizors aprēķins:   </t>
    </r>
    <r>
      <rPr>
        <i/>
        <sz val="10"/>
        <rFont val="Times New Roman"/>
        <family val="1"/>
        <charset val="186"/>
      </rPr>
      <t xml:space="preserve">                                                                                                                                                                                                                                                                                                                                                                                                                                     1.specifiski supervizors(pārraugs) psihologiem (grupu un individuālajai pārraudzībai), saskaņā ar Psihologu likuma prasībām. Psihologam BM ir 2 darba virzieni – veikt bērnu nopratināšanu un nodrošināt atbalsta pakalpojumus un psiholoģisko konsultēšanu. Tādēļ BM psihologiem ir nepieciešamas regulāras supervīzijas pieredzējuša pārrauga vadībā, kam ir iepriekšēja pieredze tieši supervīzējot darbu ar seksuāla vardarbībā cietušiem bērniem un ģimenēm, lai varētu tikt īstenota gadījumu analīze, darba izvērtēšana un darbinieku emocionālā stiprināšana. Šo supervīziju mērķis īstenot psiholoģisko un profesionālo atbalstu Inspekcijas struktūrvienības Bērna māja psihologiem, lai nodrošinātu kvalitatīvu amata pienākumu izpildi ilgtermiņā un mazinātu profesionālās izdegšanas riskus.
70 euro x 6h mēn x 12 mēn =</t>
    </r>
    <r>
      <rPr>
        <b/>
        <i/>
        <sz val="10"/>
        <rFont val="Times New Roman"/>
        <family val="1"/>
        <charset val="186"/>
      </rPr>
      <t>5040</t>
    </r>
    <r>
      <rPr>
        <i/>
        <sz val="10"/>
        <rFont val="Times New Roman"/>
        <family val="1"/>
        <charset val="186"/>
      </rPr>
      <t xml:space="preserve"> euro                                                                                                                                                                                                                                                                                                                                                                                                                           Grupas supervīzijas psihologiem (psihologu profesionālas darbība ietvaros)2x mēnesī pa 1h = 2h – katru otro ned visi psihologi tiekas grupas supervīzijās uz 2 h.
Papildus individuālās supervīzijas psihologiem 4 x 1h mēnesī =4h(pēc nepieciešamības) papildus grupas supervīzijām
Kopā psihologiem 6 h mēnesī
Šim supervizoram jābūt reģistrētam psihologu pārraugu reģistrā.
2.BM Komandas supervīzijas Bērna mājas darbiniekiem – komandai ikdienā jāveic darbs ar sarežģītiem vardarbības un seksuālas vardarbības gadījumiem pret bērniem, lai īstenotu bērnu nopratināšanu, organizētu tiesu medicīniskās ekspertīzes un pediatra apskates norisi, plānotu, organizētu un īstenotu atbalsta pakalpojumus cietušajam bērnam un nevardarbīgajiem tuviniekiem. Darbā būs saskarsme ar paaugstinātu emocionālo un psiholoģisko slodzi, tādēļ BM komandai  ir nepieciešamas regulāras supervīzijas pieredzējuša supervizora vadībā, kam ir iepriekšēja pieredze tieši supervīzējot komandas darbu, kas strādā sociālajā, medicīnas vai citā atbalsta profesiju jomā paaugstināta emocionāla un psiholoģiska stresa apstākļos.  Šo supervīziju mērķis nodrošināt psiholoģisko un profesionālo atbalstu Inspekcijas struktūrvienības Bērna māja komandai, lai sniegtu profesionālu atbalstu un nodrošinātu kvalitatīvu amata pienākumu izpildi ilgtermiņā un mazinātu profesionālās izdegšanas riskus.
60 euro x 8h mēn(2x2 grupas supervīzijas un 5 individuālās) x 12 mēn=</t>
    </r>
    <r>
      <rPr>
        <b/>
        <i/>
        <sz val="10"/>
        <rFont val="Times New Roman"/>
        <family val="1"/>
        <charset val="186"/>
      </rPr>
      <t>5760</t>
    </r>
    <r>
      <rPr>
        <i/>
        <sz val="10"/>
        <rFont val="Times New Roman"/>
        <family val="1"/>
        <charset val="186"/>
      </rPr>
      <t xml:space="preserve"> euro                                                                                                                                                                                                                                                                                                                                            BM Komandas supervīzijas 2xmēneši par 2h = 4h – katru otro nedēļu visai komandai pa 2 h grupas supervīzija
Individuālās supervīzijas sociālajiem darbiniekiem, kas strādā ar gadījumiem 4x1h =4h papildus grupas supervīzijām
Kopā komandai 8h mēnesī
Šim supervizoram jābūt reģistrētam supervizoru reģistrā.</t>
    </r>
  </si>
  <si>
    <r>
      <t xml:space="preserve">**Administrēšanas izmaksas 1070 </t>
    </r>
    <r>
      <rPr>
        <i/>
        <sz val="11"/>
        <rFont val="Times New Roman"/>
        <family val="1"/>
        <charset val="186"/>
      </rPr>
      <t>euro</t>
    </r>
    <r>
      <rPr>
        <sz val="11"/>
        <rFont val="Times New Roman"/>
        <family val="1"/>
        <charset val="186"/>
      </rPr>
      <t xml:space="preserve"> mēnesī</t>
    </r>
  </si>
  <si>
    <r>
      <t>3)</t>
    </r>
    <r>
      <rPr>
        <sz val="7"/>
        <rFont val="Times New Roman"/>
        <family val="1"/>
        <charset val="186"/>
      </rPr>
      <t xml:space="preserve">    ** </t>
    </r>
    <r>
      <rPr>
        <sz val="11"/>
        <rFont val="Times New Roman"/>
        <family val="1"/>
        <charset val="186"/>
      </rPr>
      <t xml:space="preserve">administrēšanas izmaksas ekspertīžu iestādē(s)  785 </t>
    </r>
    <r>
      <rPr>
        <i/>
        <sz val="11"/>
        <rFont val="Times New Roman"/>
        <family val="1"/>
        <charset val="186"/>
      </rPr>
      <t>euro</t>
    </r>
    <r>
      <rPr>
        <sz val="11"/>
        <rFont val="Times New Roman"/>
        <family val="1"/>
        <charset val="186"/>
      </rPr>
      <t xml:space="preserve"> mēnesī x 12 mēn =  9 420 </t>
    </r>
    <r>
      <rPr>
        <i/>
        <sz val="11"/>
        <rFont val="Times New Roman"/>
        <family val="1"/>
        <charset val="186"/>
      </rPr>
      <t>euro</t>
    </r>
    <r>
      <rPr>
        <sz val="11"/>
        <rFont val="Times New Roman"/>
        <family val="1"/>
        <charset val="186"/>
      </rPr>
      <t xml:space="preserve"> apmērā.</t>
    </r>
  </si>
  <si>
    <t>* 2024 gadā pakalpojuma līgums IT risinajumu izstrādei, lai izveidotu informatīvu sadaļu par Bērna māju “Bērnu aizsardzības centra”  uzticības tālruņa mājaslapā https://uzticibastalrunis.lv/. 2024 gadā un  turpmākajos gados 500 euro gadā mājaslapas uzturēšanai.</t>
  </si>
  <si>
    <t>**Lai nodrošinātu tiesu ekspertīzi Bērna mājā, pēc procesa virzītāja lēmuma tiek piesaistīti ekspertīžu iestādes eksperti, tiesiskās attiecības “Bērnu aizsardzības centrs”  un ekspertīžu iestādes starpā regulē Līgums. Papildu izdevumus veido transporta izdevumi, ceļā pavadītais laiks, gan arī papildu laiks, ko eksperts pavadīs programmas “Bērnu māja” īstenošanas vietā, jo ekspertīzes veikšanas laiks “Bērnu mājā” paredzams ilgāks nekā tas būtu, veicot ekspertīzi ekspertīžu iestādes telpās - lai veiktu ekspertīzi un atbildētu uz procesa virzītāja jautājumiem, ekspertam var būt jāpiedalās kopā ar citiem speciālistiem bērna iztaujāšanā, medicīniskajā apskatē utt., kas varētu ieilgt līdz pat dažām stundām (samaksa tiek veikta par transporta izdevumiem un papildus pavadīto laiku, faktiski BM sniegto pakalpojumu).</t>
  </si>
  <si>
    <r>
      <rPr>
        <b/>
        <i/>
        <sz val="10"/>
        <rFont val="Times New Roman"/>
        <family val="1"/>
        <charset val="186"/>
      </rPr>
      <t xml:space="preserve">Supervizors aprēķins: 
</t>
    </r>
    <r>
      <rPr>
        <i/>
        <sz val="10"/>
        <rFont val="Times New Roman"/>
        <family val="1"/>
        <charset val="186"/>
      </rPr>
      <t xml:space="preserve"> 1.specifiski supervizors(pārraugs) psihologiem (grupu un individuālajai pārraudzībai), saskaņā ar Psihologu likuma prasībām. Psihologam BM ir 2 darba virzieni – veikt bērnu nopratināšanu un nodrošināt atbalsta pakalpojumus un psiholoģisko konsultēšanu. Tādēļ BM psihologiem ir nepieciešamas regulāras supervīzijas pieredzējuša pārrauga vadībā, kam ir iepriekšēja pieredze tieši supervīzējot darbu ar seksuāla vardarbībā cietušiem bērniem un ģimenēm, lai varētu tikt īstenota gadījumu analīze, darba izvērtēšana un darbinieku emocionālā stiprināšana. Šo supervīziju mērķis īstenot psiholoģisko un profesionālo atbalstu Inspekcijas struktūrvienības Bērna māja psihologiem, lai nodrošinātu kvalitatīvu amata pienākumu izpildi ilgtermiņā un mazinātu profesionālās izdegšanas riskus.
70 euro x 2h mēn x 6 mēn =</t>
    </r>
    <r>
      <rPr>
        <b/>
        <i/>
        <sz val="10"/>
        <rFont val="Times New Roman"/>
        <family val="1"/>
        <charset val="186"/>
      </rPr>
      <t>840</t>
    </r>
    <r>
      <rPr>
        <i/>
        <sz val="10"/>
        <rFont val="Times New Roman"/>
        <family val="1"/>
        <charset val="186"/>
      </rPr>
      <t xml:space="preserve"> euro
2.BM Komandas supervīzijas Bērna mājas darbiniekiem – komandai ikdienā jāveic darbs ar sarežģītiem vardarbības un seksuālas vardarbības gadījumiem pret bērniem, lai īstenotu bērnu nopratināšanu, organizētu tiesu medicīniskās ekspertīzes un pediatra apskates norisi, plānotu, organizētu un īstenotu atbalsta pakalpojumus cietušajam bērnam un nevardarbīgajiem tuviniekiem. Darbā būs saskarsme ar paaugstinātu emocionālo un psiholoģisko slodzi, tādēļ BM komandai  ir nepieciešamas regulāras supervīzijas pieredzējuša supervizora vadībā, kam ir iepriekšēja pieredze tieši supervīzējot komandas darbu, kas strādā sociālajā, medicīnas vai citā atbalsta profesiju jomā paaugstināta emocionāla un psiholoģiska stresa apstākļos.  Šo supervīziju mērķis nodrošināt psiholoģisko un profesionālo atbalstu Inspekcijas struktūrvienības Bērna māja komandai, lai sniegtu profesionālu atbalstu un nodrošinātu kvalitatīvu amata pienākumu izpildi ilgtermiņā un mazinātu profesionālās izdegšanas riskus.
40* euro x 4h mēn(2x1h grupas supervīzijas un 2x1h individuālās) x 6 mēn=960 euro</t>
    </r>
  </si>
  <si>
    <r>
      <t xml:space="preserve">**Administrēšanas izmaksas 480 </t>
    </r>
    <r>
      <rPr>
        <i/>
        <sz val="11"/>
        <rFont val="Times New Roman"/>
        <family val="1"/>
        <charset val="186"/>
      </rPr>
      <t>euro</t>
    </r>
    <r>
      <rPr>
        <sz val="11"/>
        <rFont val="Times New Roman"/>
        <family val="1"/>
        <charset val="186"/>
      </rPr>
      <t xml:space="preserve"> mēnesī</t>
    </r>
  </si>
  <si>
    <r>
      <t>2)</t>
    </r>
    <r>
      <rPr>
        <sz val="7"/>
        <rFont val="Times New Roman"/>
        <family val="1"/>
        <charset val="186"/>
      </rPr>
      <t xml:space="preserve">     </t>
    </r>
    <r>
      <rPr>
        <sz val="11"/>
        <rFont val="Times New Roman"/>
        <family val="1"/>
        <charset val="186"/>
      </rPr>
      <t xml:space="preserve">transporta izdevumi par eksperta nokļūšanu Bērna mājā (taksis vai īstermiņa nomas auto)  100,00 </t>
    </r>
    <r>
      <rPr>
        <i/>
        <sz val="11"/>
        <rFont val="Times New Roman"/>
        <family val="1"/>
        <charset val="186"/>
      </rPr>
      <t>euro</t>
    </r>
    <r>
      <rPr>
        <sz val="11"/>
        <rFont val="Times New Roman"/>
        <family val="1"/>
        <charset val="186"/>
      </rPr>
      <t xml:space="preserve"> apmērā uz izbraukumu x75 = 7 500 </t>
    </r>
    <r>
      <rPr>
        <i/>
        <sz val="11"/>
        <rFont val="Times New Roman"/>
        <family val="1"/>
        <charset val="186"/>
      </rPr>
      <t>euro</t>
    </r>
    <r>
      <rPr>
        <sz val="11"/>
        <rFont val="Times New Roman"/>
        <family val="1"/>
        <charset val="186"/>
      </rPr>
      <t xml:space="preserve"> apmērā);                                                                                                                                                                                                                          Izmaksas ir lielākas, jo filiāles atrašanās vieta plānota  tālāk no Rīgas – tiesu psihiatrijas un pshiholoģijas eksperti ir tikai Rīgā, izbraucieni uz citām pilsētām ir papildus izdevumi.
</t>
    </r>
  </si>
  <si>
    <r>
      <rPr>
        <b/>
        <i/>
        <sz val="10"/>
        <rFont val="Times New Roman"/>
        <family val="1"/>
        <charset val="186"/>
      </rPr>
      <t xml:space="preserve">Supervizors aprēķins:   </t>
    </r>
    <r>
      <rPr>
        <i/>
        <sz val="10"/>
        <rFont val="Times New Roman"/>
        <family val="1"/>
        <charset val="186"/>
      </rPr>
      <t xml:space="preserve">                                                                                                                                                                                                                                                                                                                                                                                                                                            1.specifiski supervizors(pārraugs) psihologiem (grupu un individuālajai pārraudzībai), saskaņā ar Psihologu likuma prasībām. Psihologam BM ir 2 darba virzieni – veikt bērnu nopratināšanu un nodrošināt atbalsta pakalpojumus un psiholoģisko konsultēšanu. Tādēļ BM psihologiem ir nepieciešamas regulāras supervīzijas pieredzējuša pārrauga vadībā, kam ir iepriekšēja pieredze tieši supervīzējot darbu ar seksuāla vardarbībā cietušiem bērniem un ģimenēm, lai varētu tikt īstenota gadījumu analīze, darba izvērtēšana un darbinieku emocionālā stiprināšana. Šo supervīziju mērķis īstenot psiholoģisko un profesionālo atbalstu Inspekcijas struktūrvienības Bērna māja psihologiem, lai nodrošinātu kvalitatīvu amata pienākumu izpildi ilgtermiņā un mazinātu profesionālās izdegšanas riskus.
70 euro x 2h mēn x 12 mēn =</t>
    </r>
    <r>
      <rPr>
        <b/>
        <i/>
        <sz val="10"/>
        <rFont val="Times New Roman"/>
        <family val="1"/>
        <charset val="186"/>
      </rPr>
      <t>1680</t>
    </r>
    <r>
      <rPr>
        <i/>
        <sz val="10"/>
        <rFont val="Times New Roman"/>
        <family val="1"/>
        <charset val="186"/>
      </rPr>
      <t xml:space="preserve"> euro
2.BM Komandas supervīzijas Bērna mājas darbiniekiem – komandai ikdienā jāveic darbs ar sarežģītiem vardarbības un seksuālas vardarbības gadījumiem pret bērniem, lai īstenotu bērnu nopratināšanu, organizētu tiesu medicīniskās ekspertīzes un pediatra apskates norisi, plānotu, organizētu un īstenotu atbalsta pakalpojumus cietušajam bērnam un nevardarbīgajiem tuviniekiem. Darbā būs saskarsme ar paaugstinātu emocionālo un psiholoģisko slodzi, tādēļ BM komandai  ir nepieciešamas regulāras supervīzijas pieredzējuša supervizora vadībā, kam ir iepriekšēja pieredze tieši supervīzējot komandas darbu, kas strādā sociālajā, medicīnas vai citā atbalsta profesiju jomā paaugstināta emocionāla un psiholoģiska stresa apstākļos.  Šo supervīziju mērķis nodrošināt psiholoģisko un profesionālo atbalstu Inspekcijas struktūrvienības Bērna māja komandai, lai sniegtu profesionālu atbalstu un nodrošinātu kvalitatīvu amata pienākumu izpildi ilgtermiņā un mazinātu profesionālās izdegšanas riskus.
40 euro x 4h mēn((2x1h grupas supervīzijas un 2x1h individuālās) x 12 mēn=</t>
    </r>
    <r>
      <rPr>
        <b/>
        <i/>
        <sz val="10"/>
        <rFont val="Times New Roman"/>
        <family val="1"/>
        <charset val="186"/>
      </rPr>
      <t>1920</t>
    </r>
    <r>
      <rPr>
        <i/>
        <sz val="10"/>
        <rFont val="Times New Roman"/>
        <family val="1"/>
        <charset val="186"/>
      </rPr>
      <t xml:space="preserve"> euro</t>
    </r>
  </si>
  <si>
    <r>
      <t xml:space="preserve">** Administrēšanas izmaksas 480 </t>
    </r>
    <r>
      <rPr>
        <i/>
        <sz val="11"/>
        <rFont val="Times New Roman"/>
        <family val="1"/>
        <charset val="186"/>
      </rPr>
      <t>euro</t>
    </r>
    <r>
      <rPr>
        <sz val="11"/>
        <rFont val="Times New Roman"/>
        <family val="1"/>
        <charset val="186"/>
      </rPr>
      <t xml:space="preserve"> mēnesī</t>
    </r>
  </si>
  <si>
    <r>
      <t>3)</t>
    </r>
    <r>
      <rPr>
        <sz val="7"/>
        <rFont val="Times New Roman"/>
        <family val="1"/>
        <charset val="186"/>
      </rPr>
      <t xml:space="preserve">     *** </t>
    </r>
    <r>
      <rPr>
        <sz val="11"/>
        <rFont val="Times New Roman"/>
        <family val="1"/>
        <charset val="186"/>
      </rPr>
      <t xml:space="preserve">administrēšanas izmaksas ekspertīžu iestādē(s)  412.3 </t>
    </r>
    <r>
      <rPr>
        <i/>
        <sz val="11"/>
        <rFont val="Times New Roman"/>
        <family val="1"/>
        <charset val="186"/>
      </rPr>
      <t xml:space="preserve">euro </t>
    </r>
    <r>
      <rPr>
        <sz val="11"/>
        <rFont val="Times New Roman"/>
        <family val="1"/>
        <charset val="186"/>
      </rPr>
      <t xml:space="preserve">mēnesī x 12 mēn =  4 948 </t>
    </r>
    <r>
      <rPr>
        <i/>
        <sz val="11"/>
        <rFont val="Times New Roman"/>
        <family val="1"/>
        <charset val="186"/>
      </rPr>
      <t>euro</t>
    </r>
    <r>
      <rPr>
        <sz val="11"/>
        <rFont val="Times New Roman"/>
        <family val="1"/>
        <charset val="186"/>
      </rPr>
      <t xml:space="preserve"> apmērā.</t>
    </r>
  </si>
  <si>
    <t xml:space="preserve">*Lai nodrošinātu bērna medicīnisko apskati Bērna mājā, katrā atsevišķā gadījumā pēc nepieciešamības tiek piesaistīti 2 BKUS speciālisti (ārsts pediatrs un māsa, jeb mediķu komanda, kopā pieejamas 3 komandas). Nepieciešamības gadījumā tiek piesaistīts arī BKUS bērnu ginekologs vai ķirurgs(zēniem), speciālistu piesaisti  koordinē pārstāvis. Speciālistu piesaisti un apmaksu regulē Līgums BKUS  un “Bērnu aizsardzības centra” starpā (samaksa par faktiski BM sniegto pakalpojumu). </t>
  </si>
  <si>
    <t>1. Pielikums_BM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</si>
</sst>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5" x14ac:knownFonts="1">
    <font>
      <sz val="11"/>
      <color theme="1"/>
      <name val="Calibri"/>
      <family val="2"/>
      <charset val="186"/>
      <scheme val="minor"/>
    </font>
    <font>
      <b/>
      <sz val="10"/>
      <name val="Times New Roman"/>
      <family val="1"/>
      <charset val="186"/>
    </font>
    <font>
      <b/>
      <sz val="8"/>
      <name val="Times New Roman"/>
      <family val="1"/>
      <charset val="186"/>
    </font>
    <font>
      <sz val="8"/>
      <name val="Times New Roman"/>
      <family val="1"/>
      <charset val="186"/>
    </font>
    <font>
      <b/>
      <sz val="11"/>
      <name val="Times New Roman"/>
      <family val="1"/>
      <charset val="186"/>
    </font>
    <font>
      <sz val="11"/>
      <name val="Times New Roman"/>
      <family val="1"/>
      <charset val="186"/>
    </font>
    <font>
      <sz val="10"/>
      <name val="Arial"/>
      <family val="2"/>
      <charset val="186"/>
    </font>
    <font>
      <b/>
      <u/>
      <sz val="11"/>
      <name val="Times New Roman"/>
      <family val="1"/>
      <charset val="186"/>
    </font>
    <font>
      <i/>
      <sz val="11"/>
      <name val="Times New Roman"/>
      <family val="1"/>
      <charset val="186"/>
    </font>
    <font>
      <i/>
      <sz val="10"/>
      <name val="Times New Roman"/>
      <family val="1"/>
      <charset val="186"/>
    </font>
    <font>
      <b/>
      <i/>
      <sz val="10"/>
      <name val="Times New Roman"/>
      <family val="1"/>
      <charset val="186"/>
    </font>
    <font>
      <b/>
      <i/>
      <sz val="11"/>
      <name val="Times New Roman"/>
      <family val="1"/>
      <charset val="186"/>
    </font>
    <font>
      <sz val="12"/>
      <name val="Times New Roman"/>
      <family val="1"/>
      <charset val="186"/>
    </font>
    <font>
      <sz val="7"/>
      <name val="Times New Roman"/>
      <family val="1"/>
      <charset val="186"/>
    </font>
    <font>
      <sz val="10"/>
      <name val="Times New Roman"/>
      <family val="1"/>
      <charset val="186"/>
    </font>
    <font>
      <vertAlign val="superscript"/>
      <sz val="11"/>
      <name val="Times New Roman"/>
      <family val="1"/>
      <charset val="186"/>
    </font>
    <font>
      <vertAlign val="superscript"/>
      <sz val="12"/>
      <name val="Times New Roman"/>
      <family val="1"/>
      <charset val="186"/>
    </font>
    <font>
      <i/>
      <sz val="12"/>
      <name val="Times New Roman"/>
      <family val="1"/>
      <charset val="186"/>
    </font>
    <font>
      <sz val="9"/>
      <name val="Times New Roman"/>
      <family val="1"/>
      <charset val="186"/>
    </font>
    <font>
      <b/>
      <sz val="20"/>
      <name val="Times New Roman"/>
      <family val="1"/>
      <charset val="186"/>
    </font>
    <font>
      <sz val="20"/>
      <name val="Times New Roman"/>
      <family val="1"/>
      <charset val="186"/>
    </font>
    <font>
      <b/>
      <sz val="26"/>
      <name val="Times New Roman"/>
      <family val="1"/>
      <charset val="186"/>
    </font>
    <font>
      <i/>
      <sz val="11"/>
      <name val="Calibri"/>
      <family val="2"/>
      <charset val="186"/>
      <scheme val="minor"/>
    </font>
    <font>
      <sz val="11"/>
      <name val="Calibri"/>
      <family val="2"/>
      <charset val="186"/>
      <scheme val="minor"/>
    </font>
    <font>
      <i/>
      <sz val="10"/>
      <color rgb="FFFF0000"/>
      <name val="Times New Roman"/>
      <family val="1"/>
      <charset val="186"/>
    </font>
  </fonts>
  <fills count="12">
    <fill>
      <patternFill patternType="none"/>
    </fill>
    <fill>
      <patternFill patternType="gray125"/>
    </fill>
    <fill>
      <patternFill patternType="solid">
        <fgColor theme="2"/>
        <bgColor indexed="13"/>
      </patternFill>
    </fill>
    <fill>
      <patternFill patternType="solid">
        <fgColor theme="2"/>
        <bgColor indexed="22"/>
      </patternFill>
    </fill>
    <fill>
      <patternFill patternType="solid">
        <fgColor indexed="9"/>
        <bgColor indexed="41"/>
      </patternFill>
    </fill>
    <fill>
      <patternFill patternType="solid">
        <fgColor theme="0"/>
        <bgColor indexed="13"/>
      </patternFill>
    </fill>
    <fill>
      <patternFill patternType="solid">
        <fgColor indexed="9"/>
        <bgColor indexed="26"/>
      </patternFill>
    </fill>
    <fill>
      <patternFill patternType="solid">
        <fgColor theme="2"/>
        <bgColor indexed="41"/>
      </patternFill>
    </fill>
    <fill>
      <patternFill patternType="solid">
        <fgColor rgb="FFFFFF00"/>
        <bgColor indexed="64"/>
      </patternFill>
    </fill>
    <fill>
      <patternFill patternType="solid">
        <fgColor rgb="FF92D050"/>
        <bgColor indexed="64"/>
      </patternFill>
    </fill>
    <fill>
      <patternFill patternType="solid">
        <fgColor rgb="FF00B0F0"/>
        <bgColor indexed="64"/>
      </patternFill>
    </fill>
    <fill>
      <patternFill patternType="solid">
        <fgColor theme="9"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auto="1"/>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medium">
        <color indexed="64"/>
      </right>
      <top style="thin">
        <color indexed="64"/>
      </top>
      <bottom style="thin">
        <color indexed="64"/>
      </bottom>
      <diagonal/>
    </border>
    <border>
      <left style="medium">
        <color indexed="64"/>
      </left>
      <right style="thin">
        <color auto="1"/>
      </right>
      <top style="thin">
        <color auto="1"/>
      </top>
      <bottom style="thin">
        <color auto="1"/>
      </bottom>
      <diagonal/>
    </border>
    <border>
      <left style="thin">
        <color indexed="64"/>
      </left>
      <right style="medium">
        <color indexed="64"/>
      </right>
      <top style="thin">
        <color auto="1"/>
      </top>
      <bottom style="thin">
        <color auto="1"/>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6" fillId="0" borderId="0"/>
  </cellStyleXfs>
  <cellXfs count="190">
    <xf numFmtId="0" fontId="0" fillId="0" borderId="0" xfId="0"/>
    <xf numFmtId="0" fontId="2"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3" fontId="3" fillId="5"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2" fillId="4" borderId="3" xfId="0" applyFont="1" applyFill="1" applyBorder="1" applyAlignment="1">
      <alignment horizontal="center" vertical="center" wrapText="1"/>
    </xf>
    <xf numFmtId="164" fontId="2" fillId="4" borderId="3" xfId="0" applyNumberFormat="1" applyFont="1" applyFill="1" applyBorder="1" applyAlignment="1">
      <alignment horizontal="center" vertical="center" wrapText="1"/>
    </xf>
    <xf numFmtId="0" fontId="2" fillId="4" borderId="0" xfId="0" applyFont="1" applyFill="1" applyAlignment="1">
      <alignment horizontal="center" vertical="center" wrapText="1"/>
    </xf>
    <xf numFmtId="3" fontId="4" fillId="4" borderId="3" xfId="0" applyNumberFormat="1" applyFont="1" applyFill="1" applyBorder="1" applyAlignment="1">
      <alignment horizontal="center" vertical="center" wrapText="1"/>
    </xf>
    <xf numFmtId="4" fontId="4" fillId="4" borderId="3" xfId="0" applyNumberFormat="1" applyFont="1" applyFill="1" applyBorder="1" applyAlignment="1">
      <alignment horizontal="center" vertical="center" wrapText="1"/>
    </xf>
    <xf numFmtId="0" fontId="4" fillId="0" borderId="1" xfId="0" applyFont="1" applyBorder="1" applyAlignment="1">
      <alignment wrapText="1"/>
    </xf>
    <xf numFmtId="0" fontId="5" fillId="0" borderId="1" xfId="0" applyFont="1" applyBorder="1"/>
    <xf numFmtId="49" fontId="5" fillId="0" borderId="1" xfId="0" applyNumberFormat="1" applyFont="1" applyBorder="1" applyAlignment="1" applyProtection="1">
      <alignment horizontal="center"/>
      <protection locked="0"/>
    </xf>
    <xf numFmtId="3" fontId="5" fillId="0" borderId="1" xfId="0" applyNumberFormat="1" applyFont="1" applyBorder="1" applyAlignment="1" applyProtection="1">
      <alignment horizontal="center"/>
      <protection locked="0"/>
    </xf>
    <xf numFmtId="3" fontId="5" fillId="4" borderId="1" xfId="0" applyNumberFormat="1" applyFont="1" applyFill="1" applyBorder="1" applyAlignment="1" applyProtection="1">
      <alignment horizontal="center"/>
      <protection locked="0"/>
    </xf>
    <xf numFmtId="0" fontId="4" fillId="0" borderId="1" xfId="0" applyFont="1" applyBorder="1"/>
    <xf numFmtId="0" fontId="5" fillId="0" borderId="1" xfId="0" applyFont="1" applyBorder="1" applyAlignment="1">
      <alignment horizontal="center"/>
    </xf>
    <xf numFmtId="4" fontId="5" fillId="6" borderId="1" xfId="1" applyNumberFormat="1" applyFont="1" applyFill="1" applyBorder="1" applyAlignment="1" applyProtection="1">
      <alignment horizontal="center"/>
      <protection locked="0"/>
    </xf>
    <xf numFmtId="0" fontId="3" fillId="2" borderId="1" xfId="0" applyFont="1" applyFill="1" applyBorder="1" applyAlignment="1" applyProtection="1">
      <alignment horizontal="center" vertical="center" wrapText="1"/>
      <protection locked="0"/>
    </xf>
    <xf numFmtId="0" fontId="5" fillId="0" borderId="0" xfId="0" applyFont="1"/>
    <xf numFmtId="0" fontId="4" fillId="0" borderId="1" xfId="0" applyFont="1" applyBorder="1" applyAlignment="1">
      <alignment horizontal="left" vertical="center" wrapText="1"/>
    </xf>
    <xf numFmtId="3" fontId="5" fillId="0" borderId="0" xfId="0" applyNumberFormat="1" applyFont="1"/>
    <xf numFmtId="0" fontId="5" fillId="0" borderId="0" xfId="0" applyFont="1" applyAlignment="1">
      <alignment vertical="center"/>
    </xf>
    <xf numFmtId="3" fontId="8" fillId="0" borderId="1" xfId="0" applyNumberFormat="1" applyFont="1" applyBorder="1" applyAlignment="1">
      <alignment vertical="center"/>
    </xf>
    <xf numFmtId="0" fontId="8" fillId="0" borderId="0" xfId="0" applyFont="1" applyAlignment="1">
      <alignment vertical="center"/>
    </xf>
    <xf numFmtId="0" fontId="8" fillId="0" borderId="1" xfId="0" applyFont="1" applyBorder="1" applyAlignment="1">
      <alignment vertical="center"/>
    </xf>
    <xf numFmtId="3" fontId="4" fillId="0" borderId="1" xfId="0" applyNumberFormat="1" applyFont="1" applyBorder="1"/>
    <xf numFmtId="3" fontId="5" fillId="0" borderId="1" xfId="0" applyNumberFormat="1" applyFont="1" applyBorder="1" applyAlignment="1">
      <alignment horizontal="center" vertical="center" wrapText="1"/>
    </xf>
    <xf numFmtId="0" fontId="11" fillId="0" borderId="1" xfId="0" applyFont="1" applyBorder="1" applyAlignment="1">
      <alignment horizontal="right" vertical="center" wrapText="1"/>
    </xf>
    <xf numFmtId="3" fontId="4" fillId="0" borderId="1" xfId="0" applyNumberFormat="1" applyFont="1" applyBorder="1" applyAlignment="1">
      <alignment horizontal="center" vertical="center" wrapText="1"/>
    </xf>
    <xf numFmtId="0" fontId="11" fillId="0" borderId="0" xfId="0" applyFont="1" applyAlignment="1">
      <alignment vertical="center"/>
    </xf>
    <xf numFmtId="0" fontId="2" fillId="4" borderId="1" xfId="0" applyFont="1" applyFill="1" applyBorder="1" applyAlignment="1">
      <alignment horizontal="center" vertical="center" wrapText="1"/>
    </xf>
    <xf numFmtId="164" fontId="2" fillId="4" borderId="1" xfId="0" applyNumberFormat="1" applyFont="1" applyFill="1" applyBorder="1" applyAlignment="1">
      <alignment horizontal="center" vertical="center" wrapText="1"/>
    </xf>
    <xf numFmtId="3" fontId="4" fillId="4" borderId="1" xfId="0" applyNumberFormat="1" applyFont="1" applyFill="1" applyBorder="1" applyAlignment="1">
      <alignment horizontal="center" vertical="center" wrapText="1"/>
    </xf>
    <xf numFmtId="3" fontId="8" fillId="0" borderId="1" xfId="0" applyNumberFormat="1" applyFont="1" applyBorder="1" applyAlignment="1">
      <alignment vertical="center" wrapText="1"/>
    </xf>
    <xf numFmtId="0" fontId="8" fillId="0" borderId="0" xfId="0" applyFont="1" applyAlignment="1">
      <alignment vertical="center" wrapText="1"/>
    </xf>
    <xf numFmtId="3" fontId="4" fillId="0" borderId="1" xfId="0" applyNumberFormat="1" applyFont="1" applyBorder="1" applyAlignment="1">
      <alignment vertical="center"/>
    </xf>
    <xf numFmtId="0" fontId="8" fillId="0" borderId="0" xfId="0" applyFont="1" applyAlignment="1">
      <alignment horizontal="right" vertical="center" wrapText="1"/>
    </xf>
    <xf numFmtId="3" fontId="4" fillId="0" borderId="0" xfId="0" applyNumberFormat="1" applyFont="1" applyAlignment="1">
      <alignment vertical="center"/>
    </xf>
    <xf numFmtId="0" fontId="8" fillId="0" borderId="0" xfId="0" applyFont="1" applyAlignment="1">
      <alignment horizontal="left" vertical="center"/>
    </xf>
    <xf numFmtId="3" fontId="5" fillId="0" borderId="1" xfId="0" applyNumberFormat="1" applyFont="1" applyBorder="1"/>
    <xf numFmtId="1" fontId="5" fillId="0" borderId="1" xfId="0" applyNumberFormat="1" applyFont="1" applyBorder="1"/>
    <xf numFmtId="0" fontId="8" fillId="0" borderId="0" xfId="0" applyFont="1"/>
    <xf numFmtId="0" fontId="12" fillId="0" borderId="1" xfId="0" applyFont="1" applyBorder="1" applyAlignment="1">
      <alignment horizontal="center" wrapText="1"/>
    </xf>
    <xf numFmtId="2" fontId="5" fillId="0" borderId="1" xfId="0" applyNumberFormat="1" applyFont="1" applyBorder="1" applyAlignment="1">
      <alignment horizontal="center"/>
    </xf>
    <xf numFmtId="0" fontId="4" fillId="0" borderId="0" xfId="0" applyFont="1" applyAlignment="1">
      <alignment horizontal="left"/>
    </xf>
    <xf numFmtId="0" fontId="4" fillId="0" borderId="0" xfId="0" applyFont="1"/>
    <xf numFmtId="0" fontId="5" fillId="0" borderId="1" xfId="0" applyFont="1" applyBorder="1" applyAlignment="1">
      <alignment wrapText="1"/>
    </xf>
    <xf numFmtId="0" fontId="5" fillId="0" borderId="1" xfId="0" applyFont="1" applyBorder="1" applyAlignment="1">
      <alignment horizontal="center" vertical="center" wrapText="1"/>
    </xf>
    <xf numFmtId="0" fontId="5" fillId="0" borderId="0" xfId="0" applyFont="1" applyAlignment="1">
      <alignment wrapText="1"/>
    </xf>
    <xf numFmtId="3" fontId="5" fillId="0" borderId="8" xfId="0" applyNumberFormat="1" applyFont="1" applyBorder="1" applyAlignment="1">
      <alignment horizontal="center"/>
    </xf>
    <xf numFmtId="3" fontId="8" fillId="0" borderId="0" xfId="0" applyNumberFormat="1" applyFont="1" applyAlignment="1">
      <alignment vertical="center"/>
    </xf>
    <xf numFmtId="3" fontId="11" fillId="0" borderId="1" xfId="0" applyNumberFormat="1" applyFont="1" applyBorder="1" applyAlignment="1">
      <alignment horizontal="right" vertical="center"/>
    </xf>
    <xf numFmtId="3" fontId="11" fillId="0" borderId="0" xfId="0" applyNumberFormat="1" applyFont="1" applyAlignment="1">
      <alignment horizontal="right" vertical="center"/>
    </xf>
    <xf numFmtId="0" fontId="5" fillId="0" borderId="1" xfId="0" applyFont="1" applyBorder="1" applyAlignment="1">
      <alignment horizontal="center" vertical="center"/>
    </xf>
    <xf numFmtId="3" fontId="5" fillId="0" borderId="1" xfId="0" applyNumberFormat="1" applyFont="1" applyBorder="1" applyAlignment="1">
      <alignment horizontal="center" vertical="center"/>
    </xf>
    <xf numFmtId="0" fontId="5" fillId="0" borderId="1" xfId="0" applyFont="1" applyBorder="1" applyAlignment="1" applyProtection="1">
      <alignment horizontal="center" vertical="center" wrapText="1"/>
      <protection locked="0"/>
    </xf>
    <xf numFmtId="3" fontId="5" fillId="0" borderId="1" xfId="0" applyNumberFormat="1" applyFont="1" applyBorder="1" applyAlignment="1">
      <alignment horizontal="right"/>
    </xf>
    <xf numFmtId="3" fontId="5" fillId="0" borderId="15" xfId="0" applyNumberFormat="1" applyFont="1" applyBorder="1"/>
    <xf numFmtId="3" fontId="5" fillId="0" borderId="16" xfId="0" applyNumberFormat="1" applyFont="1" applyBorder="1"/>
    <xf numFmtId="3" fontId="5" fillId="0" borderId="18" xfId="0" applyNumberFormat="1" applyFont="1" applyBorder="1"/>
    <xf numFmtId="0" fontId="5" fillId="0" borderId="18" xfId="0" applyFont="1" applyBorder="1"/>
    <xf numFmtId="3" fontId="4" fillId="0" borderId="11" xfId="0" applyNumberFormat="1" applyFont="1" applyBorder="1"/>
    <xf numFmtId="3" fontId="4" fillId="0" borderId="19" xfId="0" applyNumberFormat="1" applyFont="1" applyBorder="1"/>
    <xf numFmtId="3" fontId="1" fillId="2" borderId="5" xfId="0" applyNumberFormat="1" applyFont="1" applyFill="1" applyBorder="1" applyAlignment="1">
      <alignment horizontal="center" vertical="center" wrapText="1"/>
    </xf>
    <xf numFmtId="0" fontId="1" fillId="0" borderId="0" xfId="0" applyFont="1" applyAlignment="1">
      <alignment horizontal="center" wrapText="1"/>
    </xf>
    <xf numFmtId="3" fontId="5" fillId="7" borderId="2" xfId="0" applyNumberFormat="1" applyFont="1" applyFill="1" applyBorder="1" applyAlignment="1" applyProtection="1">
      <alignment horizontal="center"/>
      <protection locked="0"/>
    </xf>
    <xf numFmtId="0" fontId="5" fillId="0" borderId="0" xfId="0" applyFont="1" applyAlignment="1">
      <alignment horizontal="right" wrapText="1"/>
    </xf>
    <xf numFmtId="3" fontId="4" fillId="0" borderId="0" xfId="0" applyNumberFormat="1" applyFont="1"/>
    <xf numFmtId="0" fontId="4" fillId="0" borderId="0" xfId="0" applyFont="1" applyAlignment="1">
      <alignment vertical="center"/>
    </xf>
    <xf numFmtId="0" fontId="5" fillId="0" borderId="0" xfId="0" applyFont="1" applyAlignment="1">
      <alignment horizontal="left" vertical="center" indent="5"/>
    </xf>
    <xf numFmtId="0" fontId="5" fillId="0" borderId="0" xfId="0" applyFont="1" applyAlignment="1">
      <alignment horizontal="right" vertical="center" wrapText="1"/>
    </xf>
    <xf numFmtId="0" fontId="4" fillId="0" borderId="0" xfId="0" applyFont="1" applyAlignment="1">
      <alignment horizontal="right" vertical="center" wrapText="1"/>
    </xf>
    <xf numFmtId="0" fontId="5" fillId="0" borderId="0" xfId="0" applyFont="1" applyAlignment="1">
      <alignment horizontal="right" vertical="center"/>
    </xf>
    <xf numFmtId="3" fontId="4" fillId="0" borderId="0" xfId="0" applyNumberFormat="1" applyFont="1" applyAlignment="1">
      <alignment horizontal="center" vertical="center" wrapText="1"/>
    </xf>
    <xf numFmtId="0" fontId="9" fillId="0" borderId="0" xfId="0" applyFont="1"/>
    <xf numFmtId="0" fontId="14" fillId="0" borderId="0" xfId="0" applyFont="1"/>
    <xf numFmtId="0" fontId="5" fillId="0" borderId="1" xfId="0" applyFont="1" applyBorder="1" applyAlignment="1">
      <alignment horizontal="left"/>
    </xf>
    <xf numFmtId="0" fontId="5" fillId="0" borderId="3" xfId="0" applyFont="1" applyBorder="1" applyAlignment="1">
      <alignment horizontal="center"/>
    </xf>
    <xf numFmtId="0" fontId="5" fillId="0" borderId="3" xfId="0" applyFont="1" applyBorder="1" applyAlignment="1">
      <alignment horizontal="center" wrapText="1"/>
    </xf>
    <xf numFmtId="0" fontId="12" fillId="0" borderId="1" xfId="0" applyFont="1" applyBorder="1" applyAlignment="1">
      <alignment horizontal="center"/>
    </xf>
    <xf numFmtId="0" fontId="5" fillId="0" borderId="0" xfId="0" applyFont="1" applyAlignment="1">
      <alignment horizontal="center"/>
    </xf>
    <xf numFmtId="3" fontId="4" fillId="0" borderId="1" xfId="0" applyNumberFormat="1" applyFont="1" applyBorder="1" applyAlignment="1">
      <alignment horizontal="center"/>
    </xf>
    <xf numFmtId="0" fontId="8" fillId="0" borderId="0" xfId="0" applyFont="1" applyAlignment="1">
      <alignment horizontal="left"/>
    </xf>
    <xf numFmtId="0" fontId="12" fillId="0" borderId="0" xfId="0" applyFont="1" applyAlignment="1">
      <alignment horizontal="center" wrapText="1"/>
    </xf>
    <xf numFmtId="0" fontId="5" fillId="0" borderId="0" xfId="0" applyFont="1" applyAlignment="1">
      <alignment horizontal="left"/>
    </xf>
    <xf numFmtId="3" fontId="5" fillId="0" borderId="0" xfId="0" applyNumberFormat="1" applyFont="1" applyAlignment="1">
      <alignment horizontal="center"/>
    </xf>
    <xf numFmtId="0" fontId="5" fillId="0" borderId="6" xfId="0" applyFont="1" applyBorder="1"/>
    <xf numFmtId="0" fontId="17" fillId="0" borderId="0" xfId="0" applyFont="1"/>
    <xf numFmtId="0" fontId="18" fillId="0" borderId="1" xfId="0" applyFont="1" applyBorder="1" applyAlignment="1">
      <alignment horizontal="center" wrapText="1"/>
    </xf>
    <xf numFmtId="0" fontId="5" fillId="0" borderId="8" xfId="0" applyFont="1" applyBorder="1"/>
    <xf numFmtId="0" fontId="19" fillId="0" borderId="0" xfId="0" applyFont="1"/>
    <xf numFmtId="0" fontId="20" fillId="0" borderId="0" xfId="0" applyFont="1"/>
    <xf numFmtId="3" fontId="5" fillId="0" borderId="0" xfId="0" applyNumberFormat="1" applyFont="1" applyAlignment="1">
      <alignment horizontal="left" vertical="center" wrapText="1"/>
    </xf>
    <xf numFmtId="0" fontId="5" fillId="0" borderId="3" xfId="0" applyFont="1" applyBorder="1" applyAlignment="1">
      <alignment horizontal="center" vertical="center"/>
    </xf>
    <xf numFmtId="0" fontId="5" fillId="0" borderId="3" xfId="0" applyFont="1" applyBorder="1" applyAlignment="1">
      <alignment horizontal="center" vertical="center" wrapText="1"/>
    </xf>
    <xf numFmtId="0" fontId="12" fillId="0" borderId="3" xfId="0" applyFont="1" applyBorder="1" applyAlignment="1">
      <alignment horizontal="center" vertical="center"/>
    </xf>
    <xf numFmtId="0" fontId="12" fillId="0" borderId="1" xfId="0" applyFont="1" applyBorder="1" applyAlignment="1">
      <alignment horizontal="center" vertical="center" wrapText="1"/>
    </xf>
    <xf numFmtId="0" fontId="21" fillId="0" borderId="0" xfId="0" applyFont="1"/>
    <xf numFmtId="0" fontId="5" fillId="0" borderId="9" xfId="0" applyFont="1" applyBorder="1"/>
    <xf numFmtId="0" fontId="5" fillId="8" borderId="10" xfId="0" applyFont="1" applyFill="1" applyBorder="1"/>
    <xf numFmtId="0" fontId="5" fillId="9" borderId="10" xfId="0" applyFont="1" applyFill="1" applyBorder="1"/>
    <xf numFmtId="0" fontId="5" fillId="10" borderId="11" xfId="0" applyFont="1" applyFill="1" applyBorder="1"/>
    <xf numFmtId="0" fontId="5" fillId="8" borderId="12" xfId="0" applyFont="1" applyFill="1" applyBorder="1" applyAlignment="1">
      <alignment horizontal="center" wrapText="1"/>
    </xf>
    <xf numFmtId="0" fontId="5" fillId="0" borderId="13" xfId="0" applyFont="1" applyBorder="1"/>
    <xf numFmtId="3" fontId="5" fillId="0" borderId="14" xfId="0" applyNumberFormat="1" applyFont="1" applyBorder="1"/>
    <xf numFmtId="0" fontId="5" fillId="0" borderId="17" xfId="0" applyFont="1" applyBorder="1" applyAlignment="1">
      <alignment horizontal="left" wrapText="1"/>
    </xf>
    <xf numFmtId="3" fontId="5" fillId="0" borderId="6" xfId="0" applyNumberFormat="1" applyFont="1" applyBorder="1"/>
    <xf numFmtId="0" fontId="5" fillId="0" borderId="17" xfId="0" applyFont="1" applyBorder="1" applyAlignment="1">
      <alignment horizontal="left"/>
    </xf>
    <xf numFmtId="0" fontId="4" fillId="0" borderId="9" xfId="0" applyFont="1" applyBorder="1"/>
    <xf numFmtId="3" fontId="4" fillId="0" borderId="10" xfId="0" applyNumberFormat="1" applyFont="1" applyBorder="1"/>
    <xf numFmtId="3" fontId="4" fillId="11" borderId="1" xfId="0" applyNumberFormat="1" applyFont="1" applyFill="1" applyBorder="1"/>
    <xf numFmtId="3" fontId="4" fillId="0" borderId="0" xfId="0" applyNumberFormat="1" applyFont="1" applyBorder="1" applyAlignment="1">
      <alignment horizontal="center" vertical="center" wrapText="1"/>
    </xf>
    <xf numFmtId="0" fontId="8" fillId="0" borderId="0" xfId="0" applyFont="1" applyFill="1" applyAlignment="1">
      <alignment horizontal="left" vertical="center" wrapText="1"/>
    </xf>
    <xf numFmtId="0" fontId="8" fillId="0" borderId="0" xfId="0" applyFont="1" applyFill="1" applyAlignment="1">
      <alignment horizontal="right" vertical="center" wrapText="1"/>
    </xf>
    <xf numFmtId="0" fontId="5" fillId="0" borderId="0" xfId="0" applyFont="1" applyFill="1"/>
    <xf numFmtId="0" fontId="8" fillId="0" borderId="0" xfId="0" applyFont="1" applyFill="1"/>
    <xf numFmtId="0" fontId="5" fillId="0" borderId="1" xfId="0" applyFont="1" applyBorder="1" applyAlignment="1">
      <alignment horizontal="center" wrapText="1"/>
    </xf>
    <xf numFmtId="0" fontId="4" fillId="0" borderId="0" xfId="0" applyFont="1" applyAlignment="1">
      <alignment horizontal="center" wrapText="1"/>
    </xf>
    <xf numFmtId="0" fontId="4" fillId="0" borderId="0" xfId="0" applyFont="1" applyAlignment="1">
      <alignment horizontal="center"/>
    </xf>
    <xf numFmtId="0" fontId="5" fillId="0" borderId="0" xfId="0" applyFont="1" applyAlignment="1">
      <alignment horizontal="left" vertical="center" wrapText="1"/>
    </xf>
    <xf numFmtId="3" fontId="1" fillId="2" borderId="3" xfId="0" applyNumberFormat="1" applyFont="1" applyFill="1" applyBorder="1" applyAlignment="1">
      <alignment horizontal="center" vertical="center" wrapText="1"/>
    </xf>
    <xf numFmtId="0" fontId="8" fillId="0" borderId="0" xfId="0" applyFont="1" applyAlignment="1">
      <alignment horizontal="left" wrapText="1"/>
    </xf>
    <xf numFmtId="0" fontId="5" fillId="0" borderId="0" xfId="0" applyFont="1" applyAlignment="1">
      <alignment horizontal="left" wrapText="1"/>
    </xf>
    <xf numFmtId="3" fontId="5" fillId="0" borderId="1" xfId="0" applyNumberFormat="1" applyFont="1" applyBorder="1" applyAlignment="1">
      <alignment horizontal="center"/>
    </xf>
    <xf numFmtId="0" fontId="8" fillId="0" borderId="0" xfId="0" applyFont="1" applyAlignment="1">
      <alignment horizontal="left" vertical="center" wrapText="1"/>
    </xf>
    <xf numFmtId="0" fontId="8" fillId="0" borderId="1" xfId="0" applyFont="1" applyBorder="1" applyAlignment="1">
      <alignment horizontal="left" vertical="center" wrapText="1"/>
    </xf>
    <xf numFmtId="0" fontId="14" fillId="0" borderId="0" xfId="0" applyFont="1" applyAlignment="1">
      <alignment horizontal="left" wrapText="1"/>
    </xf>
    <xf numFmtId="0" fontId="5" fillId="0" borderId="0" xfId="0" applyFont="1" applyAlignment="1">
      <alignment horizontal="center" wrapText="1"/>
    </xf>
    <xf numFmtId="0" fontId="23" fillId="0" borderId="0" xfId="0" applyFont="1" applyAlignment="1">
      <alignment vertical="center"/>
    </xf>
    <xf numFmtId="0" fontId="23" fillId="0" borderId="0" xfId="0" applyFont="1" applyAlignment="1">
      <alignment horizontal="left" vertical="top" wrapText="1"/>
    </xf>
    <xf numFmtId="0" fontId="22" fillId="0" borderId="0" xfId="0" applyFont="1" applyAlignment="1">
      <alignment horizontal="left" vertical="top" wrapText="1"/>
    </xf>
    <xf numFmtId="0" fontId="5" fillId="0" borderId="6" xfId="0" applyFont="1" applyBorder="1" applyAlignment="1">
      <alignment horizontal="right"/>
    </xf>
    <xf numFmtId="0" fontId="5" fillId="0" borderId="1" xfId="0" applyFont="1" applyFill="1" applyBorder="1" applyAlignment="1">
      <alignment horizontal="center"/>
    </xf>
    <xf numFmtId="0" fontId="9" fillId="0" borderId="0" xfId="0" applyFont="1" applyFill="1"/>
    <xf numFmtId="0" fontId="22" fillId="0" borderId="0" xfId="0" applyFont="1" applyAlignment="1">
      <alignment horizontal="left" vertical="top" wrapText="1"/>
    </xf>
    <xf numFmtId="0" fontId="5" fillId="0" borderId="1" xfId="0" applyFont="1" applyBorder="1" applyAlignment="1">
      <alignment horizontal="center" wrapText="1"/>
    </xf>
    <xf numFmtId="0" fontId="4" fillId="0" borderId="1" xfId="0" applyFont="1" applyBorder="1" applyAlignment="1">
      <alignment horizontal="right" wrapText="1"/>
    </xf>
    <xf numFmtId="0" fontId="9" fillId="0" borderId="0" xfId="0" applyFont="1" applyAlignment="1">
      <alignment horizontal="left" wrapText="1"/>
    </xf>
    <xf numFmtId="0" fontId="4" fillId="0" borderId="0" xfId="0" applyFont="1" applyAlignment="1">
      <alignment horizontal="center" wrapText="1"/>
    </xf>
    <xf numFmtId="0" fontId="4" fillId="0" borderId="0" xfId="0" applyFont="1" applyAlignment="1">
      <alignment horizontal="center"/>
    </xf>
    <xf numFmtId="0" fontId="9" fillId="0" borderId="0" xfId="0" applyFont="1" applyAlignment="1">
      <alignment horizontal="left" vertical="center" wrapText="1"/>
    </xf>
    <xf numFmtId="0" fontId="5" fillId="0" borderId="0" xfId="0" applyFont="1" applyAlignment="1">
      <alignment horizontal="left" vertical="center" wrapText="1"/>
    </xf>
    <xf numFmtId="0" fontId="8" fillId="0" borderId="6" xfId="0" applyFont="1" applyBorder="1" applyAlignment="1">
      <alignment horizontal="right" vertical="center" wrapText="1"/>
    </xf>
    <xf numFmtId="0" fontId="8" fillId="0" borderId="2" xfId="0" applyFont="1" applyBorder="1" applyAlignment="1">
      <alignment horizontal="right" vertical="center" wrapText="1"/>
    </xf>
    <xf numFmtId="0" fontId="5" fillId="0" borderId="6" xfId="0" applyFont="1" applyBorder="1" applyAlignment="1">
      <alignment horizontal="right" wrapText="1"/>
    </xf>
    <xf numFmtId="0" fontId="5" fillId="0" borderId="2" xfId="0" applyFont="1" applyBorder="1" applyAlignment="1">
      <alignment horizontal="right" wrapText="1"/>
    </xf>
    <xf numFmtId="0" fontId="9" fillId="0" borderId="0" xfId="0" applyFont="1" applyFill="1" applyAlignment="1">
      <alignment horizontal="left" wrapText="1"/>
    </xf>
    <xf numFmtId="0" fontId="8" fillId="0" borderId="6" xfId="0" applyFont="1" applyBorder="1" applyAlignment="1">
      <alignment horizontal="left" vertical="center"/>
    </xf>
    <xf numFmtId="0" fontId="8" fillId="0" borderId="7" xfId="0" applyFont="1" applyBorder="1" applyAlignment="1">
      <alignment horizontal="left" vertical="center"/>
    </xf>
    <xf numFmtId="0" fontId="8" fillId="0" borderId="2" xfId="0" applyFont="1" applyBorder="1" applyAlignment="1">
      <alignment horizontal="left" vertical="center"/>
    </xf>
    <xf numFmtId="0" fontId="8" fillId="0" borderId="7" xfId="0" applyFont="1" applyBorder="1" applyAlignment="1">
      <alignment horizontal="right" vertical="center" wrapText="1"/>
    </xf>
    <xf numFmtId="0" fontId="9" fillId="0" borderId="0" xfId="0" applyFont="1" applyFill="1" applyAlignment="1">
      <alignment horizontal="left" vertical="center" wrapText="1"/>
    </xf>
    <xf numFmtId="0" fontId="7" fillId="0" borderId="0" xfId="0" applyFont="1" applyAlignment="1">
      <alignment horizontal="left" vertical="center"/>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2" xfId="0" applyFont="1" applyBorder="1" applyAlignment="1">
      <alignment horizontal="left" vertical="center" wrapText="1"/>
    </xf>
    <xf numFmtId="0" fontId="1" fillId="2" borderId="1" xfId="0" applyFont="1" applyFill="1" applyBorder="1" applyAlignment="1">
      <alignment horizontal="center" vertical="center" wrapText="1"/>
    </xf>
    <xf numFmtId="3" fontId="1" fillId="2" borderId="1" xfId="0" applyNumberFormat="1" applyFont="1" applyFill="1" applyBorder="1" applyAlignment="1">
      <alignment horizontal="center" vertical="center" wrapText="1"/>
    </xf>
    <xf numFmtId="3" fontId="1" fillId="2" borderId="3" xfId="0" applyNumberFormat="1" applyFont="1" applyFill="1" applyBorder="1" applyAlignment="1">
      <alignment horizontal="center" vertical="center" wrapText="1"/>
    </xf>
    <xf numFmtId="3" fontId="1" fillId="2" borderId="4" xfId="0" applyNumberFormat="1" applyFont="1" applyFill="1" applyBorder="1" applyAlignment="1">
      <alignment horizontal="center" vertical="center" wrapText="1"/>
    </xf>
    <xf numFmtId="3" fontId="1" fillId="2" borderId="5" xfId="0" applyNumberFormat="1" applyFont="1" applyFill="1" applyBorder="1" applyAlignment="1">
      <alignment horizontal="center" vertical="center" wrapText="1"/>
    </xf>
    <xf numFmtId="0" fontId="22"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center" vertical="center"/>
    </xf>
    <xf numFmtId="0" fontId="24" fillId="0" borderId="0" xfId="0" applyFont="1" applyFill="1" applyAlignment="1">
      <alignment horizontal="left" vertical="center" wrapText="1"/>
    </xf>
    <xf numFmtId="0" fontId="9" fillId="0" borderId="8" xfId="0" applyFont="1" applyBorder="1" applyAlignment="1">
      <alignment horizontal="left" vertical="center" wrapText="1"/>
    </xf>
    <xf numFmtId="0" fontId="8" fillId="0" borderId="0" xfId="0" applyFont="1" applyAlignment="1">
      <alignment horizontal="left" wrapText="1"/>
    </xf>
    <xf numFmtId="0" fontId="5" fillId="0" borderId="0" xfId="0" applyFont="1" applyAlignment="1">
      <alignment horizontal="left" wrapText="1"/>
    </xf>
    <xf numFmtId="3" fontId="5" fillId="0" borderId="6" xfId="0" applyNumberFormat="1" applyFont="1" applyBorder="1" applyAlignment="1">
      <alignment horizontal="center"/>
    </xf>
    <xf numFmtId="3" fontId="5" fillId="0" borderId="2" xfId="0" applyNumberFormat="1" applyFont="1" applyBorder="1" applyAlignment="1">
      <alignment horizontal="center"/>
    </xf>
    <xf numFmtId="3" fontId="5" fillId="0" borderId="1" xfId="0" applyNumberFormat="1" applyFont="1" applyBorder="1" applyAlignment="1">
      <alignment horizontal="center"/>
    </xf>
    <xf numFmtId="0" fontId="8" fillId="0" borderId="0" xfId="0" applyFont="1" applyFill="1" applyAlignment="1">
      <alignment horizontal="left" wrapText="1"/>
    </xf>
    <xf numFmtId="0" fontId="5" fillId="0" borderId="6" xfId="0" applyFont="1" applyBorder="1" applyAlignment="1">
      <alignment horizontal="center" wrapText="1"/>
    </xf>
    <xf numFmtId="0" fontId="4" fillId="0" borderId="2" xfId="0" applyFont="1" applyBorder="1" applyAlignment="1">
      <alignment horizontal="center" wrapText="1"/>
    </xf>
    <xf numFmtId="0" fontId="8" fillId="0" borderId="0" xfId="0" applyFont="1" applyFill="1" applyAlignment="1">
      <alignment horizontal="left" vertical="center" wrapText="1"/>
    </xf>
    <xf numFmtId="0" fontId="8" fillId="0" borderId="0" xfId="0" applyFont="1" applyAlignment="1">
      <alignment horizontal="left" vertical="center" wrapText="1"/>
    </xf>
    <xf numFmtId="0" fontId="5" fillId="0" borderId="7" xfId="0" applyFont="1" applyBorder="1" applyAlignment="1">
      <alignment horizontal="center" wrapText="1"/>
    </xf>
    <xf numFmtId="0" fontId="5" fillId="0" borderId="2" xfId="0" applyFont="1" applyBorder="1" applyAlignment="1">
      <alignment horizontal="center" wrapText="1"/>
    </xf>
    <xf numFmtId="0" fontId="8" fillId="0" borderId="1" xfId="0" applyFont="1" applyBorder="1" applyAlignment="1">
      <alignment horizontal="right" vertical="center" wrapText="1"/>
    </xf>
    <xf numFmtId="0" fontId="5" fillId="0" borderId="1" xfId="0" applyFont="1" applyBorder="1" applyAlignment="1">
      <alignment horizontal="right" wrapText="1"/>
    </xf>
    <xf numFmtId="0" fontId="12" fillId="0" borderId="0" xfId="0" applyFont="1" applyAlignment="1">
      <alignment horizontal="left" vertical="center" wrapText="1"/>
    </xf>
    <xf numFmtId="0" fontId="8" fillId="0" borderId="1" xfId="0" applyFont="1" applyBorder="1" applyAlignment="1">
      <alignment horizontal="left" vertical="center" wrapText="1"/>
    </xf>
    <xf numFmtId="0" fontId="9" fillId="0" borderId="0" xfId="0" applyFont="1" applyAlignment="1">
      <alignment horizontal="left" vertical="top" wrapText="1"/>
    </xf>
    <xf numFmtId="0" fontId="8" fillId="0" borderId="6" xfId="0" applyFont="1" applyBorder="1" applyAlignment="1">
      <alignment vertical="center" wrapText="1"/>
    </xf>
    <xf numFmtId="0" fontId="8" fillId="0" borderId="7" xfId="0" applyFont="1" applyBorder="1" applyAlignment="1">
      <alignment vertical="center" wrapText="1"/>
    </xf>
    <xf numFmtId="0" fontId="8" fillId="0" borderId="2" xfId="0" applyFont="1" applyBorder="1" applyAlignment="1">
      <alignment vertical="center" wrapText="1"/>
    </xf>
    <xf numFmtId="0" fontId="14" fillId="0" borderId="0" xfId="0" applyFont="1" applyAlignment="1">
      <alignment horizontal="left" wrapText="1"/>
    </xf>
    <xf numFmtId="0" fontId="5" fillId="0" borderId="0" xfId="0" applyFont="1" applyAlignment="1">
      <alignment horizontal="center" wrapText="1"/>
    </xf>
  </cellXfs>
  <cellStyles count="2">
    <cellStyle name="Normal" xfId="0" builtinId="0"/>
    <cellStyle name="Normal 10 2" xfId="1" xr:uid="{20B58882-FC9D-42FB-BDEA-4A493FFC619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1FE515-7A74-47E5-BA45-FAD67E016E70}">
  <dimension ref="A1:W426"/>
  <sheetViews>
    <sheetView tabSelected="1" topLeftCell="A13" zoomScaleNormal="100" workbookViewId="0">
      <selection activeCell="A32" sqref="A32:K32"/>
    </sheetView>
  </sheetViews>
  <sheetFormatPr defaultColWidth="8.85546875" defaultRowHeight="15" x14ac:dyDescent="0.25"/>
  <cols>
    <col min="1" max="1" width="11.5703125" style="20" customWidth="1"/>
    <col min="2" max="2" width="17.7109375" style="20" customWidth="1"/>
    <col min="3" max="3" width="23.28515625" style="20" customWidth="1"/>
    <col min="4" max="4" width="19.5703125" style="20" customWidth="1"/>
    <col min="5" max="5" width="13.7109375" style="20" customWidth="1"/>
    <col min="6" max="6" width="12.140625" style="20" customWidth="1"/>
    <col min="7" max="7" width="11.7109375" style="20" customWidth="1"/>
    <col min="8" max="8" width="14.7109375" style="20" customWidth="1"/>
    <col min="9" max="9" width="11.140625" style="20" customWidth="1"/>
    <col min="10" max="10" width="10.85546875" style="20" customWidth="1"/>
    <col min="11" max="11" width="18.7109375" style="20" customWidth="1"/>
    <col min="12" max="12" width="24.28515625" style="20" customWidth="1"/>
    <col min="13" max="14" width="12.7109375" style="20" customWidth="1"/>
    <col min="15" max="16384" width="8.85546875" style="20"/>
  </cols>
  <sheetData>
    <row r="1" spans="1:13" ht="13.9" customHeight="1" x14ac:dyDescent="0.25">
      <c r="K1" s="189" t="s">
        <v>226</v>
      </c>
      <c r="L1" s="189"/>
    </row>
    <row r="2" spans="1:13" ht="13.9" x14ac:dyDescent="0.25">
      <c r="L2" s="50"/>
    </row>
    <row r="4" spans="1:13" ht="13.9" x14ac:dyDescent="0.25">
      <c r="A4" s="140"/>
      <c r="B4" s="140"/>
      <c r="C4" s="140"/>
      <c r="D4" s="140"/>
      <c r="E4" s="140"/>
      <c r="F4" s="140"/>
      <c r="G4" s="140"/>
      <c r="H4" s="140"/>
      <c r="I4" s="140"/>
      <c r="J4" s="140"/>
      <c r="K4" s="140"/>
      <c r="L4" s="140"/>
      <c r="M4" s="140"/>
    </row>
    <row r="5" spans="1:13" x14ac:dyDescent="0.25">
      <c r="A5" s="66" t="s">
        <v>0</v>
      </c>
      <c r="B5" s="119"/>
      <c r="C5" s="119"/>
      <c r="D5" s="119"/>
      <c r="E5" s="119"/>
      <c r="F5" s="119"/>
      <c r="G5" s="119"/>
      <c r="H5" s="119"/>
      <c r="I5" s="119"/>
      <c r="J5" s="119"/>
      <c r="K5" s="119"/>
      <c r="L5" s="119"/>
      <c r="M5" s="119"/>
    </row>
    <row r="6" spans="1:13" ht="13.9" customHeight="1" x14ac:dyDescent="0.25">
      <c r="A6" s="47"/>
    </row>
    <row r="7" spans="1:13" x14ac:dyDescent="0.25">
      <c r="A7" s="47" t="s">
        <v>1</v>
      </c>
    </row>
    <row r="8" spans="1:13" ht="13.9" customHeight="1" x14ac:dyDescent="0.25">
      <c r="A8" s="158" t="s">
        <v>2</v>
      </c>
      <c r="B8" s="164"/>
      <c r="C8" s="165" t="s">
        <v>3</v>
      </c>
      <c r="D8" s="165"/>
      <c r="E8" s="158" t="s">
        <v>4</v>
      </c>
      <c r="F8" s="158" t="s">
        <v>5</v>
      </c>
      <c r="G8" s="159" t="s">
        <v>6</v>
      </c>
      <c r="H8" s="160" t="s">
        <v>7</v>
      </c>
      <c r="I8" s="160" t="s">
        <v>187</v>
      </c>
      <c r="J8" s="160" t="s">
        <v>188</v>
      </c>
      <c r="K8" s="122"/>
      <c r="L8" s="160" t="s">
        <v>8</v>
      </c>
      <c r="M8" s="158" t="s">
        <v>9</v>
      </c>
    </row>
    <row r="9" spans="1:13" ht="30" customHeight="1" x14ac:dyDescent="0.25">
      <c r="A9" s="158"/>
      <c r="B9" s="164"/>
      <c r="C9" s="1" t="s">
        <v>10</v>
      </c>
      <c r="D9" s="1" t="s">
        <v>11</v>
      </c>
      <c r="E9" s="158"/>
      <c r="F9" s="158"/>
      <c r="G9" s="159"/>
      <c r="H9" s="161"/>
      <c r="I9" s="162"/>
      <c r="J9" s="161"/>
      <c r="K9" s="65" t="s">
        <v>12</v>
      </c>
      <c r="L9" s="161"/>
      <c r="M9" s="158"/>
    </row>
    <row r="10" spans="1:13" ht="13.9" x14ac:dyDescent="0.25">
      <c r="A10" s="2">
        <v>1</v>
      </c>
      <c r="B10" s="3">
        <v>2</v>
      </c>
      <c r="C10" s="3">
        <v>3</v>
      </c>
      <c r="D10" s="3">
        <v>4</v>
      </c>
      <c r="E10" s="3">
        <v>5</v>
      </c>
      <c r="F10" s="3">
        <v>6</v>
      </c>
      <c r="G10" s="3">
        <v>7</v>
      </c>
      <c r="H10" s="3" t="s">
        <v>13</v>
      </c>
      <c r="I10" s="2">
        <v>9</v>
      </c>
      <c r="J10" s="4">
        <v>10</v>
      </c>
      <c r="K10" s="4">
        <v>11</v>
      </c>
      <c r="L10" s="3" t="s">
        <v>14</v>
      </c>
      <c r="M10" s="2" t="s">
        <v>15</v>
      </c>
    </row>
    <row r="11" spans="1:13" x14ac:dyDescent="0.25">
      <c r="A11" s="5"/>
      <c r="B11" s="6" t="s">
        <v>16</v>
      </c>
      <c r="C11" s="6" t="s">
        <v>17</v>
      </c>
      <c r="D11" s="6" t="s">
        <v>17</v>
      </c>
      <c r="E11" s="6" t="s">
        <v>17</v>
      </c>
      <c r="F11" s="7">
        <f>F12+F13+F14+F15+F16+F17+F18</f>
        <v>9.3000000000000007</v>
      </c>
      <c r="G11" s="8" t="s">
        <v>17</v>
      </c>
      <c r="H11" s="9">
        <f>H12+H13+H14+H15+H16+H17+H18</f>
        <v>148798</v>
      </c>
      <c r="I11" s="9">
        <f>I12+I13+I14+I15+I16+I17+I18</f>
        <v>9298</v>
      </c>
      <c r="J11" s="9">
        <f>J12+J13+J14+J15+J16+J17+J18</f>
        <v>12087</v>
      </c>
      <c r="K11" s="9">
        <f>K17+K16+K15+K14+K13+K12+K18</f>
        <v>4270</v>
      </c>
      <c r="L11" s="9">
        <f>L12+L13+L14+L15+L16+L17+L18</f>
        <v>40149</v>
      </c>
      <c r="M11" s="10">
        <f>M12+M13+M14+M15+M16+M17+M18</f>
        <v>214602</v>
      </c>
    </row>
    <row r="12" spans="1:13" ht="29.25" x14ac:dyDescent="0.25">
      <c r="A12" s="19">
        <v>1</v>
      </c>
      <c r="B12" s="11" t="s">
        <v>18</v>
      </c>
      <c r="C12" s="12" t="s">
        <v>19</v>
      </c>
      <c r="D12" s="13" t="s">
        <v>20</v>
      </c>
      <c r="E12" s="14">
        <v>3105</v>
      </c>
      <c r="F12" s="15">
        <v>1</v>
      </c>
      <c r="G12" s="18">
        <v>8</v>
      </c>
      <c r="H12" s="15">
        <f>ROUND(E12*F12*G12,0)</f>
        <v>24840</v>
      </c>
      <c r="I12" s="15">
        <f>ROUNDDOWN(E12*F12*0.5,0)</f>
        <v>1552</v>
      </c>
      <c r="J12" s="15">
        <f t="shared" ref="J12:J18" si="0">ROUNDDOWN(E12*F12*0.65,0)</f>
        <v>2018</v>
      </c>
      <c r="K12" s="15">
        <f>ROUND(426.863*F12,0)</f>
        <v>427</v>
      </c>
      <c r="L12" s="15">
        <f>ROUNDUP((H12+I12+J12)*0.2359,0)</f>
        <v>6702</v>
      </c>
      <c r="M12" s="67">
        <f>H12+I12+J12+L12+K12</f>
        <v>35539</v>
      </c>
    </row>
    <row r="13" spans="1:13" ht="27.6" x14ac:dyDescent="0.25">
      <c r="A13" s="19">
        <v>2</v>
      </c>
      <c r="B13" s="11" t="s">
        <v>21</v>
      </c>
      <c r="C13" s="12" t="s">
        <v>185</v>
      </c>
      <c r="D13" s="13" t="s">
        <v>22</v>
      </c>
      <c r="E13" s="14">
        <v>1293</v>
      </c>
      <c r="F13" s="15">
        <v>1</v>
      </c>
      <c r="G13" s="18">
        <v>8</v>
      </c>
      <c r="H13" s="15">
        <f>ROUND(E13*F13*G13,0)</f>
        <v>10344</v>
      </c>
      <c r="I13" s="15">
        <f t="shared" ref="I13:I17" si="1">ROUNDDOWN(E13*F13*0.5,0)</f>
        <v>646</v>
      </c>
      <c r="J13" s="15">
        <f t="shared" si="0"/>
        <v>840</v>
      </c>
      <c r="K13" s="15">
        <f t="shared" ref="K13:K17" si="2">ROUND(426.863*F13,0)</f>
        <v>427</v>
      </c>
      <c r="L13" s="15">
        <f t="shared" ref="L13:L18" si="3">ROUNDUP((H13+I13+J13)*0.2359,0)</f>
        <v>2791</v>
      </c>
      <c r="M13" s="67">
        <f t="shared" ref="M13:M17" si="4">H13+I13+J13+L13+K13</f>
        <v>15048</v>
      </c>
    </row>
    <row r="14" spans="1:13" ht="13.9" x14ac:dyDescent="0.25">
      <c r="A14" s="19">
        <v>3</v>
      </c>
      <c r="B14" s="16" t="s">
        <v>23</v>
      </c>
      <c r="C14" s="12" t="s">
        <v>24</v>
      </c>
      <c r="D14" s="17">
        <v>10</v>
      </c>
      <c r="E14" s="17">
        <v>2100</v>
      </c>
      <c r="F14" s="17">
        <v>1</v>
      </c>
      <c r="G14" s="18">
        <v>8</v>
      </c>
      <c r="H14" s="15">
        <f t="shared" ref="H14:H17" si="5">ROUND(E14*F14*G14,0)</f>
        <v>16800</v>
      </c>
      <c r="I14" s="15">
        <f t="shared" si="1"/>
        <v>1050</v>
      </c>
      <c r="J14" s="15">
        <f t="shared" si="0"/>
        <v>1365</v>
      </c>
      <c r="K14" s="15">
        <f t="shared" si="2"/>
        <v>427</v>
      </c>
      <c r="L14" s="15">
        <f t="shared" si="3"/>
        <v>4533</v>
      </c>
      <c r="M14" s="67">
        <f t="shared" si="4"/>
        <v>24175</v>
      </c>
    </row>
    <row r="15" spans="1:13" ht="13.9" x14ac:dyDescent="0.25">
      <c r="A15" s="19">
        <v>4</v>
      </c>
      <c r="B15" s="16" t="s">
        <v>23</v>
      </c>
      <c r="C15" s="12" t="s">
        <v>25</v>
      </c>
      <c r="D15" s="17">
        <v>9</v>
      </c>
      <c r="E15" s="17">
        <v>1900</v>
      </c>
      <c r="F15" s="17">
        <v>3</v>
      </c>
      <c r="G15" s="18">
        <v>8</v>
      </c>
      <c r="H15" s="15">
        <f t="shared" si="5"/>
        <v>45600</v>
      </c>
      <c r="I15" s="15">
        <f t="shared" si="1"/>
        <v>2850</v>
      </c>
      <c r="J15" s="15">
        <f t="shared" si="0"/>
        <v>3705</v>
      </c>
      <c r="K15" s="15">
        <f t="shared" si="2"/>
        <v>1281</v>
      </c>
      <c r="L15" s="15">
        <f t="shared" si="3"/>
        <v>12304</v>
      </c>
      <c r="M15" s="67">
        <f t="shared" si="4"/>
        <v>65740</v>
      </c>
    </row>
    <row r="16" spans="1:13" x14ac:dyDescent="0.25">
      <c r="A16" s="19">
        <v>5</v>
      </c>
      <c r="B16" s="16" t="s">
        <v>26</v>
      </c>
      <c r="C16" s="12" t="s">
        <v>27</v>
      </c>
      <c r="D16" s="17">
        <v>9</v>
      </c>
      <c r="E16" s="17">
        <v>1653</v>
      </c>
      <c r="F16" s="17">
        <v>2</v>
      </c>
      <c r="G16" s="18">
        <v>8</v>
      </c>
      <c r="H16" s="15">
        <f t="shared" si="5"/>
        <v>26448</v>
      </c>
      <c r="I16" s="15">
        <f t="shared" si="1"/>
        <v>1653</v>
      </c>
      <c r="J16" s="15">
        <f t="shared" si="0"/>
        <v>2148</v>
      </c>
      <c r="K16" s="15">
        <f>ROUND(426.863*F16,0)</f>
        <v>854</v>
      </c>
      <c r="L16" s="15">
        <f t="shared" si="3"/>
        <v>7136</v>
      </c>
      <c r="M16" s="67">
        <f t="shared" si="4"/>
        <v>38239</v>
      </c>
    </row>
    <row r="17" spans="1:14" ht="42" customHeight="1" x14ac:dyDescent="0.25">
      <c r="A17" s="19">
        <v>6</v>
      </c>
      <c r="B17" s="21" t="s">
        <v>28</v>
      </c>
      <c r="C17" s="12" t="s">
        <v>29</v>
      </c>
      <c r="D17" s="17">
        <v>11</v>
      </c>
      <c r="E17" s="17">
        <v>2496</v>
      </c>
      <c r="F17" s="17">
        <v>1</v>
      </c>
      <c r="G17" s="18">
        <v>8</v>
      </c>
      <c r="H17" s="15">
        <f t="shared" si="5"/>
        <v>19968</v>
      </c>
      <c r="I17" s="15">
        <f t="shared" si="1"/>
        <v>1248</v>
      </c>
      <c r="J17" s="15">
        <f t="shared" si="0"/>
        <v>1622</v>
      </c>
      <c r="K17" s="15">
        <f t="shared" si="2"/>
        <v>427</v>
      </c>
      <c r="L17" s="15">
        <f t="shared" si="3"/>
        <v>5388</v>
      </c>
      <c r="M17" s="67">
        <f t="shared" si="4"/>
        <v>28653</v>
      </c>
    </row>
    <row r="18" spans="1:14" x14ac:dyDescent="0.25">
      <c r="A18" s="19">
        <v>7</v>
      </c>
      <c r="B18" s="16" t="s">
        <v>30</v>
      </c>
      <c r="C18" s="12" t="s">
        <v>31</v>
      </c>
      <c r="D18" s="17">
        <v>10</v>
      </c>
      <c r="E18" s="17">
        <v>1999</v>
      </c>
      <c r="F18" s="17">
        <v>0.3</v>
      </c>
      <c r="G18" s="18">
        <v>8</v>
      </c>
      <c r="H18" s="15">
        <f>ROUND(E18*F18*G18,0)</f>
        <v>4798</v>
      </c>
      <c r="I18" s="15">
        <f>ROUNDDOWN(E18*F18*0.5,0)</f>
        <v>299</v>
      </c>
      <c r="J18" s="15">
        <f t="shared" si="0"/>
        <v>389</v>
      </c>
      <c r="K18" s="15">
        <f>ROUND(426.863,0)</f>
        <v>427</v>
      </c>
      <c r="L18" s="15">
        <f t="shared" si="3"/>
        <v>1295</v>
      </c>
      <c r="M18" s="67">
        <f>H18+I18+J18+L18+K18</f>
        <v>7208</v>
      </c>
    </row>
    <row r="20" spans="1:14" ht="29.45" customHeight="1" x14ac:dyDescent="0.25">
      <c r="A20" s="188" t="s">
        <v>32</v>
      </c>
      <c r="B20" s="188"/>
      <c r="C20" s="188"/>
      <c r="D20" s="188"/>
      <c r="E20" s="188"/>
      <c r="F20" s="188"/>
      <c r="G20" s="188"/>
      <c r="H20" s="188"/>
      <c r="I20" s="188"/>
      <c r="J20" s="188"/>
      <c r="K20" s="188"/>
      <c r="L20" s="188"/>
      <c r="M20" s="188"/>
    </row>
    <row r="21" spans="1:14" ht="31.15" customHeight="1" x14ac:dyDescent="0.25">
      <c r="A21" s="188" t="s">
        <v>33</v>
      </c>
      <c r="B21" s="188"/>
      <c r="C21" s="188"/>
      <c r="D21" s="188"/>
      <c r="E21" s="188"/>
      <c r="F21" s="188"/>
      <c r="G21" s="188"/>
      <c r="H21" s="188"/>
      <c r="I21" s="188"/>
      <c r="J21" s="188"/>
      <c r="K21" s="188"/>
      <c r="L21" s="188"/>
      <c r="M21" s="188"/>
    </row>
    <row r="22" spans="1:14" ht="27" customHeight="1" x14ac:dyDescent="0.25">
      <c r="A22" s="188" t="s">
        <v>34</v>
      </c>
      <c r="B22" s="188"/>
      <c r="C22" s="188"/>
      <c r="D22" s="188"/>
      <c r="E22" s="188"/>
      <c r="F22" s="188"/>
      <c r="G22" s="188"/>
      <c r="H22" s="188"/>
      <c r="I22" s="188"/>
      <c r="J22" s="188"/>
      <c r="K22" s="188"/>
      <c r="L22" s="188"/>
      <c r="M22" s="188"/>
    </row>
    <row r="24" spans="1:14" x14ac:dyDescent="0.25">
      <c r="A24" s="154" t="s">
        <v>35</v>
      </c>
      <c r="B24" s="154"/>
      <c r="C24" s="22"/>
    </row>
    <row r="25" spans="1:14" ht="14.45" customHeight="1" x14ac:dyDescent="0.25">
      <c r="A25" s="23" t="s">
        <v>36</v>
      </c>
      <c r="B25" s="23"/>
      <c r="C25" s="23"/>
      <c r="D25" s="23"/>
      <c r="E25" s="23"/>
      <c r="F25" s="23"/>
      <c r="G25" s="23"/>
      <c r="H25" s="23"/>
      <c r="I25" s="23"/>
      <c r="J25" s="23"/>
      <c r="K25" s="23"/>
      <c r="L25" s="23"/>
      <c r="N25" s="47"/>
    </row>
    <row r="26" spans="1:14" ht="14.45" customHeight="1" x14ac:dyDescent="0.25">
      <c r="A26" s="23"/>
      <c r="B26" s="23"/>
      <c r="C26" s="23"/>
      <c r="D26" s="23"/>
      <c r="E26" s="23"/>
      <c r="F26" s="23"/>
      <c r="G26" s="23"/>
      <c r="H26" s="23"/>
      <c r="I26" s="23"/>
      <c r="J26" s="23"/>
      <c r="K26" s="23"/>
      <c r="L26" s="23"/>
      <c r="N26" s="47"/>
    </row>
    <row r="27" spans="1:14" x14ac:dyDescent="0.25">
      <c r="A27" s="185" t="s">
        <v>37</v>
      </c>
      <c r="B27" s="186"/>
      <c r="C27" s="186"/>
      <c r="D27" s="187"/>
      <c r="E27" s="24">
        <v>45640</v>
      </c>
      <c r="F27" s="25"/>
      <c r="G27" s="25"/>
      <c r="H27" s="25"/>
      <c r="I27" s="25"/>
      <c r="J27" s="25"/>
      <c r="K27" s="25"/>
      <c r="L27" s="25"/>
    </row>
    <row r="28" spans="1:14" x14ac:dyDescent="0.25">
      <c r="A28" s="185" t="s">
        <v>38</v>
      </c>
      <c r="B28" s="186"/>
      <c r="C28" s="186"/>
      <c r="D28" s="187"/>
      <c r="E28" s="24">
        <v>30960</v>
      </c>
      <c r="F28" s="25"/>
      <c r="G28" s="25"/>
      <c r="H28" s="25"/>
      <c r="I28" s="25"/>
      <c r="J28" s="25"/>
      <c r="K28" s="25"/>
      <c r="L28" s="25"/>
    </row>
    <row r="29" spans="1:14" x14ac:dyDescent="0.25">
      <c r="A29" s="185" t="s">
        <v>39</v>
      </c>
      <c r="B29" s="186"/>
      <c r="C29" s="186"/>
      <c r="D29" s="187"/>
      <c r="E29" s="26">
        <f>3360+3840</f>
        <v>7200</v>
      </c>
      <c r="F29" s="25"/>
      <c r="G29" s="25"/>
      <c r="H29" s="25"/>
      <c r="I29" s="25"/>
      <c r="J29" s="25"/>
      <c r="K29" s="25"/>
      <c r="L29" s="25"/>
    </row>
    <row r="30" spans="1:14" x14ac:dyDescent="0.25">
      <c r="A30" s="181" t="s">
        <v>40</v>
      </c>
      <c r="B30" s="181"/>
      <c r="C30" s="181"/>
      <c r="D30" s="181"/>
      <c r="E30" s="27">
        <f>SUM(E27:E29)</f>
        <v>83800</v>
      </c>
    </row>
    <row r="31" spans="1:14" ht="13.9" x14ac:dyDescent="0.25">
      <c r="A31" s="68"/>
      <c r="B31" s="68"/>
      <c r="C31" s="68"/>
      <c r="D31" s="68"/>
      <c r="E31" s="69"/>
    </row>
    <row r="32" spans="1:14" ht="52.9" customHeight="1" x14ac:dyDescent="0.25">
      <c r="A32" s="153" t="s">
        <v>225</v>
      </c>
      <c r="B32" s="153"/>
      <c r="C32" s="153"/>
      <c r="D32" s="153"/>
      <c r="E32" s="153"/>
      <c r="F32" s="153"/>
      <c r="G32" s="153"/>
      <c r="H32" s="153"/>
      <c r="I32" s="153"/>
      <c r="J32" s="153"/>
      <c r="K32" s="153"/>
    </row>
    <row r="33" spans="1:13" ht="71.45" customHeight="1" x14ac:dyDescent="0.25">
      <c r="A33" s="148" t="s">
        <v>210</v>
      </c>
      <c r="B33" s="148"/>
      <c r="C33" s="148"/>
      <c r="D33" s="148"/>
      <c r="E33" s="148"/>
      <c r="F33" s="148"/>
      <c r="G33" s="148"/>
      <c r="H33" s="148"/>
      <c r="I33" s="148"/>
      <c r="J33" s="148"/>
      <c r="K33" s="148"/>
    </row>
    <row r="34" spans="1:13" ht="14.45" customHeight="1" x14ac:dyDescent="0.25">
      <c r="A34" s="184" t="s">
        <v>41</v>
      </c>
      <c r="B34" s="184"/>
      <c r="C34" s="184"/>
      <c r="D34" s="184"/>
      <c r="E34" s="184"/>
      <c r="F34" s="184"/>
      <c r="G34" s="184"/>
      <c r="H34" s="184"/>
      <c r="I34" s="184"/>
      <c r="J34" s="184"/>
      <c r="K34" s="184"/>
    </row>
    <row r="35" spans="1:13" ht="76.900000000000006" customHeight="1" x14ac:dyDescent="0.25">
      <c r="A35" s="142" t="s">
        <v>42</v>
      </c>
      <c r="B35" s="142"/>
      <c r="C35" s="142"/>
      <c r="D35" s="142"/>
      <c r="E35" s="142"/>
      <c r="F35" s="142"/>
      <c r="G35" s="142"/>
      <c r="H35" s="142"/>
      <c r="I35" s="142"/>
      <c r="J35" s="142"/>
      <c r="K35" s="142"/>
    </row>
    <row r="36" spans="1:13" ht="82.9" customHeight="1" x14ac:dyDescent="0.25">
      <c r="A36" s="142" t="s">
        <v>43</v>
      </c>
      <c r="B36" s="142"/>
      <c r="C36" s="142"/>
      <c r="D36" s="142"/>
      <c r="E36" s="142"/>
      <c r="F36" s="142"/>
      <c r="G36" s="142"/>
      <c r="H36" s="142"/>
      <c r="I36" s="142"/>
      <c r="J36" s="142"/>
      <c r="K36" s="142"/>
    </row>
    <row r="37" spans="1:13" ht="295.14999999999998" customHeight="1" x14ac:dyDescent="0.25">
      <c r="A37" s="142" t="s">
        <v>211</v>
      </c>
      <c r="B37" s="142"/>
      <c r="C37" s="142"/>
      <c r="D37" s="142"/>
      <c r="E37" s="142"/>
      <c r="F37" s="142"/>
      <c r="G37" s="142"/>
      <c r="H37" s="142"/>
      <c r="I37" s="142"/>
      <c r="J37" s="142"/>
      <c r="K37" s="142"/>
      <c r="L37" s="142"/>
      <c r="M37" s="142"/>
    </row>
    <row r="38" spans="1:13" ht="21.6" customHeight="1" x14ac:dyDescent="0.25">
      <c r="A38" s="126"/>
      <c r="B38" s="126"/>
      <c r="C38" s="126"/>
      <c r="D38" s="126"/>
      <c r="E38" s="126"/>
      <c r="F38" s="126"/>
      <c r="G38" s="126"/>
      <c r="H38" s="126"/>
      <c r="I38" s="126"/>
      <c r="J38" s="126"/>
      <c r="K38" s="126"/>
      <c r="L38" s="126"/>
      <c r="M38" s="126"/>
    </row>
    <row r="39" spans="1:13" x14ac:dyDescent="0.25">
      <c r="A39" s="68"/>
      <c r="B39" s="68"/>
      <c r="C39" s="69"/>
    </row>
    <row r="40" spans="1:13" x14ac:dyDescent="0.25">
      <c r="A40" s="70" t="s">
        <v>44</v>
      </c>
      <c r="B40" s="126"/>
      <c r="C40" s="126"/>
      <c r="D40" s="126"/>
      <c r="E40" s="126"/>
      <c r="F40" s="126"/>
      <c r="G40" s="126"/>
      <c r="H40" s="126"/>
      <c r="I40" s="126"/>
      <c r="J40" s="126"/>
      <c r="K40" s="126"/>
      <c r="L40" s="126"/>
      <c r="M40" s="126"/>
    </row>
    <row r="41" spans="1:13" x14ac:dyDescent="0.25">
      <c r="A41" s="20" t="s">
        <v>45</v>
      </c>
      <c r="B41" s="126"/>
      <c r="C41" s="126"/>
      <c r="D41" s="126"/>
      <c r="E41" s="126"/>
      <c r="F41" s="126"/>
      <c r="G41" s="126"/>
      <c r="H41" s="126"/>
      <c r="I41" s="126"/>
      <c r="J41" s="126"/>
      <c r="K41" s="126"/>
      <c r="L41" s="126"/>
      <c r="M41" s="126"/>
    </row>
    <row r="42" spans="1:13" x14ac:dyDescent="0.25">
      <c r="A42" s="12" t="s">
        <v>161</v>
      </c>
      <c r="B42" s="127"/>
      <c r="C42" s="127"/>
      <c r="D42" s="28">
        <f>165*198</f>
        <v>32670</v>
      </c>
      <c r="E42" s="126"/>
      <c r="F42" s="126"/>
      <c r="G42" s="126"/>
      <c r="H42" s="126"/>
      <c r="I42" s="126"/>
      <c r="J42" s="126"/>
      <c r="K42" s="126"/>
      <c r="L42" s="126"/>
      <c r="M42" s="126"/>
    </row>
    <row r="43" spans="1:13" x14ac:dyDescent="0.25">
      <c r="A43" s="12" t="s">
        <v>162</v>
      </c>
      <c r="B43" s="127"/>
      <c r="C43" s="127"/>
      <c r="D43" s="28">
        <f>40*68</f>
        <v>2720</v>
      </c>
      <c r="E43" s="126"/>
      <c r="F43" s="126"/>
      <c r="G43" s="126"/>
      <c r="H43" s="126"/>
      <c r="I43" s="126"/>
      <c r="J43" s="126"/>
      <c r="K43" s="126"/>
      <c r="L43" s="126"/>
      <c r="M43" s="126"/>
    </row>
    <row r="44" spans="1:13" x14ac:dyDescent="0.25">
      <c r="A44" s="12" t="s">
        <v>194</v>
      </c>
      <c r="B44" s="127"/>
      <c r="C44" s="127"/>
      <c r="D44" s="28">
        <f>30*68</f>
        <v>2040</v>
      </c>
      <c r="E44" s="126"/>
      <c r="F44" s="126"/>
      <c r="G44" s="126"/>
      <c r="H44" s="126"/>
      <c r="I44" s="126"/>
      <c r="J44" s="126"/>
      <c r="K44" s="126"/>
      <c r="L44" s="126"/>
      <c r="M44" s="126"/>
    </row>
    <row r="45" spans="1:13" x14ac:dyDescent="0.25">
      <c r="A45" s="12" t="s">
        <v>212</v>
      </c>
      <c r="B45" s="127"/>
      <c r="C45" s="127"/>
      <c r="D45" s="28">
        <f>1026.25*8</f>
        <v>8210</v>
      </c>
      <c r="E45" s="126"/>
      <c r="F45" s="126"/>
      <c r="G45" s="126"/>
      <c r="H45" s="126"/>
      <c r="I45" s="126"/>
      <c r="J45" s="126"/>
      <c r="K45" s="126"/>
      <c r="L45" s="126"/>
      <c r="M45" s="126"/>
    </row>
    <row r="46" spans="1:13" x14ac:dyDescent="0.25">
      <c r="A46" s="126"/>
      <c r="B46" s="126"/>
      <c r="C46" s="29" t="s">
        <v>40</v>
      </c>
      <c r="D46" s="30">
        <f>SUM(D42:D45)</f>
        <v>45640</v>
      </c>
      <c r="E46" s="126"/>
      <c r="F46" s="126"/>
      <c r="G46" s="126"/>
      <c r="H46" s="126"/>
      <c r="I46" s="126"/>
      <c r="J46" s="126"/>
      <c r="K46" s="126"/>
      <c r="L46" s="126"/>
      <c r="M46" s="126"/>
    </row>
    <row r="47" spans="1:13" x14ac:dyDescent="0.25">
      <c r="A47" s="126"/>
      <c r="B47" s="126"/>
      <c r="C47" s="126"/>
      <c r="D47" s="126"/>
      <c r="E47" s="126"/>
      <c r="F47" s="126"/>
      <c r="G47" s="126"/>
      <c r="H47" s="126"/>
      <c r="I47" s="126"/>
      <c r="J47" s="126"/>
      <c r="K47" s="126"/>
      <c r="L47" s="126"/>
      <c r="M47" s="126"/>
    </row>
    <row r="48" spans="1:13" x14ac:dyDescent="0.25">
      <c r="A48" s="70"/>
      <c r="B48" s="126"/>
      <c r="C48" s="126"/>
      <c r="D48" s="126"/>
      <c r="E48" s="126"/>
      <c r="F48" s="126"/>
      <c r="G48" s="126"/>
      <c r="H48" s="126"/>
      <c r="I48" s="126"/>
      <c r="J48" s="126"/>
      <c r="K48" s="126"/>
      <c r="L48" s="126"/>
      <c r="M48" s="126"/>
    </row>
    <row r="49" spans="1:13" ht="26.45" customHeight="1" x14ac:dyDescent="0.25">
      <c r="A49" s="177" t="s">
        <v>163</v>
      </c>
      <c r="B49" s="177"/>
      <c r="C49" s="177"/>
      <c r="D49" s="177"/>
      <c r="E49" s="177"/>
      <c r="F49" s="177"/>
      <c r="G49" s="177"/>
      <c r="H49" s="177"/>
      <c r="I49" s="177"/>
      <c r="J49" s="177"/>
      <c r="K49" s="177"/>
      <c r="L49" s="177"/>
      <c r="M49" s="177"/>
    </row>
    <row r="50" spans="1:13" ht="40.15" customHeight="1" x14ac:dyDescent="0.25">
      <c r="A50" s="163" t="s">
        <v>207</v>
      </c>
      <c r="B50" s="163"/>
      <c r="C50" s="163"/>
      <c r="D50" s="163"/>
      <c r="E50" s="163"/>
      <c r="F50" s="163"/>
      <c r="G50" s="163"/>
      <c r="H50" s="163"/>
      <c r="I50" s="163"/>
      <c r="J50" s="163"/>
      <c r="K50" s="163"/>
      <c r="L50" s="163"/>
      <c r="M50" s="163"/>
    </row>
    <row r="51" spans="1:13" ht="26.45" customHeight="1" x14ac:dyDescent="0.25">
      <c r="A51" s="130"/>
      <c r="B51" s="121"/>
      <c r="C51" s="121"/>
      <c r="D51" s="121"/>
      <c r="E51" s="121"/>
      <c r="F51" s="121"/>
      <c r="G51" s="121"/>
      <c r="H51" s="121"/>
      <c r="I51" s="121"/>
      <c r="J51" s="121"/>
      <c r="K51" s="121"/>
      <c r="L51" s="121"/>
      <c r="M51" s="121"/>
    </row>
    <row r="52" spans="1:13" x14ac:dyDescent="0.25">
      <c r="A52" s="70" t="s">
        <v>158</v>
      </c>
      <c r="B52" s="121"/>
      <c r="C52" s="121"/>
      <c r="D52" s="121"/>
      <c r="E52" s="121"/>
      <c r="F52" s="121"/>
      <c r="G52" s="121"/>
      <c r="H52" s="121"/>
      <c r="I52" s="121"/>
      <c r="J52" s="121"/>
      <c r="K52" s="121"/>
      <c r="L52" s="121"/>
      <c r="M52" s="121"/>
    </row>
    <row r="53" spans="1:13" x14ac:dyDescent="0.25">
      <c r="A53" s="23" t="s">
        <v>47</v>
      </c>
      <c r="B53" s="121"/>
      <c r="C53" s="121"/>
      <c r="D53" s="121"/>
      <c r="E53" s="121"/>
      <c r="F53" s="121"/>
      <c r="G53" s="121"/>
      <c r="H53" s="121"/>
      <c r="I53" s="121"/>
      <c r="J53" s="121"/>
      <c r="K53" s="121"/>
      <c r="L53" s="121"/>
      <c r="M53" s="121"/>
    </row>
    <row r="54" spans="1:13" x14ac:dyDescent="0.25">
      <c r="A54" s="20" t="s">
        <v>48</v>
      </c>
      <c r="B54" s="121"/>
      <c r="C54" s="121"/>
      <c r="D54" s="121"/>
      <c r="E54" s="121"/>
      <c r="F54" s="121"/>
      <c r="G54" s="121"/>
      <c r="H54" s="121"/>
      <c r="I54" s="121"/>
      <c r="J54" s="121"/>
      <c r="K54" s="121"/>
      <c r="L54" s="121"/>
      <c r="M54" s="121"/>
    </row>
    <row r="55" spans="1:13" ht="40.15" customHeight="1" x14ac:dyDescent="0.25">
      <c r="A55" s="143" t="s">
        <v>200</v>
      </c>
      <c r="B55" s="143"/>
      <c r="C55" s="143"/>
      <c r="D55" s="143"/>
      <c r="E55" s="143"/>
      <c r="F55" s="143"/>
      <c r="G55" s="143"/>
      <c r="H55" s="143"/>
      <c r="I55" s="143"/>
      <c r="J55" s="143"/>
      <c r="L55" s="121"/>
      <c r="M55" s="121"/>
    </row>
    <row r="56" spans="1:13" ht="26.45" customHeight="1" x14ac:dyDescent="0.25">
      <c r="A56" s="143" t="s">
        <v>164</v>
      </c>
      <c r="B56" s="143"/>
      <c r="C56" s="143"/>
      <c r="D56" s="143"/>
      <c r="E56" s="143"/>
      <c r="F56" s="143"/>
      <c r="G56" s="143"/>
      <c r="H56" s="143"/>
      <c r="I56" s="143"/>
      <c r="J56" s="143"/>
      <c r="L56" s="121"/>
      <c r="M56" s="121"/>
    </row>
    <row r="57" spans="1:13" ht="26.45" customHeight="1" x14ac:dyDescent="0.25">
      <c r="A57" s="143" t="s">
        <v>213</v>
      </c>
      <c r="B57" s="143"/>
      <c r="C57" s="143"/>
      <c r="D57" s="143"/>
      <c r="E57" s="143"/>
      <c r="F57" s="143"/>
      <c r="G57" s="143"/>
      <c r="H57" s="143"/>
      <c r="I57" s="143"/>
      <c r="J57" s="143"/>
      <c r="L57" s="121"/>
      <c r="M57" s="121"/>
    </row>
    <row r="58" spans="1:13" ht="21.6" customHeight="1" x14ac:dyDescent="0.25">
      <c r="A58" s="131"/>
      <c r="B58" s="131"/>
      <c r="C58" s="131"/>
      <c r="D58" s="131"/>
      <c r="E58" s="131"/>
      <c r="F58" s="131"/>
      <c r="G58" s="131"/>
      <c r="H58" s="131"/>
      <c r="I58" s="131"/>
      <c r="J58" s="131"/>
      <c r="K58" s="131"/>
      <c r="L58" s="131"/>
      <c r="M58" s="121"/>
    </row>
    <row r="59" spans="1:13" x14ac:dyDescent="0.25">
      <c r="A59" s="71">
        <v>1</v>
      </c>
      <c r="B59" s="125">
        <f>200*73.4</f>
        <v>14680.000000000002</v>
      </c>
      <c r="C59" s="121"/>
      <c r="D59" s="121"/>
      <c r="E59" s="121"/>
      <c r="F59" s="121"/>
      <c r="G59" s="121"/>
      <c r="H59" s="121"/>
      <c r="I59" s="121"/>
      <c r="J59" s="72"/>
      <c r="K59" s="73"/>
      <c r="L59" s="121"/>
      <c r="M59" s="121"/>
    </row>
    <row r="60" spans="1:13" x14ac:dyDescent="0.25">
      <c r="A60" s="71">
        <v>2</v>
      </c>
      <c r="B60" s="125">
        <f>50*200</f>
        <v>10000</v>
      </c>
      <c r="C60" s="121"/>
      <c r="D60" s="121"/>
      <c r="E60" s="121"/>
      <c r="F60" s="121"/>
      <c r="G60" s="121"/>
      <c r="H60" s="121"/>
      <c r="I60" s="121"/>
      <c r="J60" s="72"/>
      <c r="K60" s="73"/>
      <c r="L60" s="121"/>
      <c r="M60" s="121"/>
    </row>
    <row r="61" spans="1:13" x14ac:dyDescent="0.25">
      <c r="A61" s="71">
        <v>3</v>
      </c>
      <c r="B61" s="125">
        <f>785*8</f>
        <v>6280</v>
      </c>
      <c r="C61" s="121"/>
      <c r="D61" s="121"/>
      <c r="E61" s="121"/>
      <c r="F61" s="121"/>
      <c r="G61" s="121"/>
      <c r="H61" s="121"/>
      <c r="I61" s="121"/>
      <c r="J61" s="72"/>
      <c r="K61" s="73"/>
      <c r="L61" s="121"/>
      <c r="M61" s="121"/>
    </row>
    <row r="62" spans="1:13" x14ac:dyDescent="0.25">
      <c r="A62" s="74" t="s">
        <v>40</v>
      </c>
      <c r="B62" s="30">
        <f>SUM(B59:B61)</f>
        <v>30960</v>
      </c>
      <c r="C62" s="121"/>
      <c r="D62" s="121"/>
      <c r="E62" s="121"/>
      <c r="F62" s="121"/>
      <c r="G62" s="121"/>
      <c r="H62" s="121"/>
      <c r="I62" s="121"/>
      <c r="J62" s="121"/>
      <c r="K62" s="121"/>
      <c r="L62" s="121"/>
      <c r="M62" s="121"/>
    </row>
    <row r="63" spans="1:13" x14ac:dyDescent="0.25">
      <c r="A63" s="74"/>
      <c r="B63" s="113"/>
      <c r="C63" s="121"/>
      <c r="D63" s="121"/>
      <c r="E63" s="121"/>
      <c r="F63" s="121"/>
      <c r="G63" s="121"/>
      <c r="H63" s="121"/>
      <c r="I63" s="121"/>
      <c r="J63" s="121"/>
      <c r="K63" s="121"/>
      <c r="L63" s="121"/>
      <c r="M63" s="121"/>
    </row>
    <row r="64" spans="1:13" ht="13.9" customHeight="1" x14ac:dyDescent="0.25">
      <c r="A64" s="136" t="s">
        <v>208</v>
      </c>
      <c r="B64" s="136"/>
      <c r="C64" s="136"/>
      <c r="D64" s="136"/>
      <c r="E64" s="136"/>
      <c r="F64" s="136"/>
      <c r="G64" s="136"/>
      <c r="H64" s="136"/>
      <c r="I64" s="136"/>
      <c r="J64" s="136"/>
      <c r="K64" s="136"/>
      <c r="L64" s="136"/>
      <c r="M64" s="121"/>
    </row>
    <row r="65" spans="1:13" ht="72.599999999999994" customHeight="1" x14ac:dyDescent="0.25">
      <c r="A65" s="136"/>
      <c r="B65" s="136"/>
      <c r="C65" s="136"/>
      <c r="D65" s="136"/>
      <c r="E65" s="136"/>
      <c r="F65" s="136"/>
      <c r="G65" s="136"/>
      <c r="H65" s="136"/>
      <c r="I65" s="136"/>
      <c r="J65" s="136"/>
      <c r="K65" s="136"/>
      <c r="L65" s="136"/>
      <c r="M65" s="121"/>
    </row>
    <row r="66" spans="1:13" ht="26.45" customHeight="1" x14ac:dyDescent="0.25">
      <c r="A66" s="31" t="s">
        <v>49</v>
      </c>
      <c r="D66" s="121"/>
      <c r="E66" s="121"/>
      <c r="F66" s="121"/>
      <c r="G66" s="121"/>
      <c r="H66" s="121"/>
      <c r="I66" s="121"/>
      <c r="J66" s="121"/>
      <c r="K66" s="121"/>
      <c r="L66" s="121"/>
      <c r="M66" s="121"/>
    </row>
    <row r="67" spans="1:13" x14ac:dyDescent="0.25">
      <c r="A67" s="144" t="s">
        <v>50</v>
      </c>
      <c r="B67" s="145"/>
      <c r="C67" s="41">
        <f>M11</f>
        <v>214602</v>
      </c>
      <c r="D67" s="121"/>
      <c r="E67" s="121"/>
      <c r="F67" s="121"/>
      <c r="G67" s="121"/>
      <c r="H67" s="121"/>
      <c r="I67" s="121"/>
      <c r="J67" s="121"/>
      <c r="K67" s="121"/>
      <c r="L67" s="121"/>
      <c r="M67" s="121"/>
    </row>
    <row r="68" spans="1:13" x14ac:dyDescent="0.25">
      <c r="A68" s="144" t="s">
        <v>51</v>
      </c>
      <c r="B68" s="145"/>
      <c r="C68" s="41">
        <f>E30</f>
        <v>83800</v>
      </c>
      <c r="D68" s="121"/>
      <c r="E68" s="121"/>
      <c r="F68" s="121"/>
      <c r="G68" s="121"/>
      <c r="H68" s="121"/>
      <c r="I68" s="121"/>
      <c r="J68" s="121"/>
      <c r="K68" s="121"/>
      <c r="L68" s="121"/>
      <c r="M68" s="121"/>
    </row>
    <row r="69" spans="1:13" x14ac:dyDescent="0.25">
      <c r="A69" s="146" t="s">
        <v>40</v>
      </c>
      <c r="B69" s="147"/>
      <c r="C69" s="27">
        <f>C68+C67</f>
        <v>298402</v>
      </c>
      <c r="D69" s="121"/>
      <c r="E69" s="121"/>
      <c r="F69" s="121"/>
      <c r="G69" s="121"/>
      <c r="H69" s="121"/>
      <c r="I69" s="121"/>
      <c r="J69" s="121"/>
      <c r="K69" s="121"/>
      <c r="L69" s="121"/>
      <c r="M69" s="121"/>
    </row>
    <row r="71" spans="1:13" x14ac:dyDescent="0.25">
      <c r="A71" s="47" t="s">
        <v>52</v>
      </c>
    </row>
    <row r="72" spans="1:13" ht="14.45" customHeight="1" x14ac:dyDescent="0.25">
      <c r="A72" s="158" t="s">
        <v>2</v>
      </c>
      <c r="B72" s="164"/>
      <c r="C72" s="165" t="s">
        <v>3</v>
      </c>
      <c r="D72" s="165"/>
      <c r="E72" s="158" t="s">
        <v>4</v>
      </c>
      <c r="F72" s="158" t="s">
        <v>5</v>
      </c>
      <c r="G72" s="159" t="s">
        <v>6</v>
      </c>
      <c r="H72" s="160" t="s">
        <v>7</v>
      </c>
      <c r="I72" s="160" t="s">
        <v>187</v>
      </c>
      <c r="J72" s="160" t="s">
        <v>188</v>
      </c>
      <c r="K72" s="122"/>
      <c r="L72" s="160" t="s">
        <v>8</v>
      </c>
      <c r="M72" s="158" t="s">
        <v>9</v>
      </c>
    </row>
    <row r="73" spans="1:13" ht="24" customHeight="1" x14ac:dyDescent="0.25">
      <c r="A73" s="158"/>
      <c r="B73" s="164"/>
      <c r="C73" s="1" t="s">
        <v>10</v>
      </c>
      <c r="D73" s="1" t="s">
        <v>11</v>
      </c>
      <c r="E73" s="158"/>
      <c r="F73" s="158"/>
      <c r="G73" s="159"/>
      <c r="H73" s="161"/>
      <c r="I73" s="162"/>
      <c r="J73" s="161"/>
      <c r="K73" s="65" t="s">
        <v>12</v>
      </c>
      <c r="L73" s="161"/>
      <c r="M73" s="158"/>
    </row>
    <row r="74" spans="1:13" x14ac:dyDescent="0.25">
      <c r="A74" s="2">
        <v>1</v>
      </c>
      <c r="B74" s="3">
        <v>2</v>
      </c>
      <c r="C74" s="3">
        <v>3</v>
      </c>
      <c r="D74" s="3">
        <v>4</v>
      </c>
      <c r="E74" s="3">
        <v>5</v>
      </c>
      <c r="F74" s="3">
        <v>6</v>
      </c>
      <c r="G74" s="3">
        <v>7</v>
      </c>
      <c r="H74" s="3" t="s">
        <v>13</v>
      </c>
      <c r="I74" s="2">
        <v>9</v>
      </c>
      <c r="J74" s="4">
        <v>10</v>
      </c>
      <c r="K74" s="4">
        <v>11</v>
      </c>
      <c r="L74" s="3" t="s">
        <v>14</v>
      </c>
      <c r="M74" s="2" t="s">
        <v>15</v>
      </c>
    </row>
    <row r="75" spans="1:13" x14ac:dyDescent="0.25">
      <c r="A75" s="5"/>
      <c r="B75" s="32" t="s">
        <v>16</v>
      </c>
      <c r="C75" s="32" t="s">
        <v>17</v>
      </c>
      <c r="D75" s="32" t="s">
        <v>17</v>
      </c>
      <c r="E75" s="32" t="s">
        <v>17</v>
      </c>
      <c r="F75" s="33">
        <f>F76+F77+F78+F79+F80+F81+F82</f>
        <v>9.3000000000000007</v>
      </c>
      <c r="G75" s="8" t="s">
        <v>17</v>
      </c>
      <c r="H75" s="34">
        <f>H76+H77+H78+H79+H80+H81+H82</f>
        <v>223196</v>
      </c>
      <c r="I75" s="34">
        <f t="shared" ref="I75:J75" si="6">I76+I77+I78+I79+I80+I81+I82</f>
        <v>9298</v>
      </c>
      <c r="J75" s="34">
        <f t="shared" si="6"/>
        <v>12087</v>
      </c>
      <c r="K75" s="9">
        <f>K81+K80+K79+K78+K77+K76+K82</f>
        <v>4270</v>
      </c>
      <c r="L75" s="34">
        <f>L76+L77+L78+L79+L80+L81+L82</f>
        <v>57699</v>
      </c>
      <c r="M75" s="34">
        <f>M76+M77+M78+M79+M80+M81+M82</f>
        <v>306550</v>
      </c>
    </row>
    <row r="76" spans="1:13" ht="29.25" x14ac:dyDescent="0.25">
      <c r="A76" s="19">
        <v>1</v>
      </c>
      <c r="B76" s="11" t="s">
        <v>18</v>
      </c>
      <c r="C76" s="12" t="s">
        <v>19</v>
      </c>
      <c r="D76" s="13" t="s">
        <v>20</v>
      </c>
      <c r="E76" s="14">
        <v>3105</v>
      </c>
      <c r="F76" s="15">
        <v>1</v>
      </c>
      <c r="G76" s="18">
        <v>12</v>
      </c>
      <c r="H76" s="15">
        <f t="shared" ref="H76:H82" si="7">ROUND(E76*F76*G76,0)</f>
        <v>37260</v>
      </c>
      <c r="I76" s="15">
        <f>ROUNDDOWN(E76*F76*0.5,0)</f>
        <v>1552</v>
      </c>
      <c r="J76" s="15">
        <f>ROUNDDOWN(E76*F76*0.65,0)</f>
        <v>2018</v>
      </c>
      <c r="K76" s="15">
        <f>ROUND(426.863*F76,0)</f>
        <v>427</v>
      </c>
      <c r="L76" s="15">
        <f t="shared" ref="L76:L82" si="8">ROUNDUP((H76+I76+J76)*0.2359,0)</f>
        <v>9632</v>
      </c>
      <c r="M76" s="67">
        <f>H76+I76+J76+L76+K76</f>
        <v>50889</v>
      </c>
    </row>
    <row r="77" spans="1:13" ht="29.25" x14ac:dyDescent="0.25">
      <c r="A77" s="19">
        <v>2</v>
      </c>
      <c r="B77" s="11" t="s">
        <v>21</v>
      </c>
      <c r="C77" s="12" t="s">
        <v>185</v>
      </c>
      <c r="D77" s="13" t="s">
        <v>22</v>
      </c>
      <c r="E77" s="14">
        <v>1293</v>
      </c>
      <c r="F77" s="15">
        <v>1</v>
      </c>
      <c r="G77" s="18">
        <v>12</v>
      </c>
      <c r="H77" s="15">
        <f t="shared" si="7"/>
        <v>15516</v>
      </c>
      <c r="I77" s="15">
        <f>ROUNDDOWN(E77*F77*0.5,0)</f>
        <v>646</v>
      </c>
      <c r="J77" s="15">
        <f>ROUNDDOWN(E77*F77*0.65,0)</f>
        <v>840</v>
      </c>
      <c r="K77" s="15">
        <f t="shared" ref="K77:K81" si="9">ROUND(426.863*F77,0)</f>
        <v>427</v>
      </c>
      <c r="L77" s="15">
        <f t="shared" si="8"/>
        <v>4011</v>
      </c>
      <c r="M77" s="67">
        <f>H77+I77+J77+L77+K77</f>
        <v>21440</v>
      </c>
    </row>
    <row r="78" spans="1:13" x14ac:dyDescent="0.25">
      <c r="A78" s="19">
        <v>3</v>
      </c>
      <c r="B78" s="16" t="s">
        <v>23</v>
      </c>
      <c r="C78" s="12" t="s">
        <v>24</v>
      </c>
      <c r="D78" s="17">
        <v>10</v>
      </c>
      <c r="E78" s="17">
        <v>2100</v>
      </c>
      <c r="F78" s="17">
        <v>1</v>
      </c>
      <c r="G78" s="18">
        <v>12</v>
      </c>
      <c r="H78" s="15">
        <f t="shared" si="7"/>
        <v>25200</v>
      </c>
      <c r="I78" s="15">
        <f t="shared" ref="I78:I82" si="10">ROUNDDOWN(E78*F78*0.5,0)</f>
        <v>1050</v>
      </c>
      <c r="J78" s="15">
        <f t="shared" ref="J78:J82" si="11">ROUNDDOWN(E78*F78*0.65,0)</f>
        <v>1365</v>
      </c>
      <c r="K78" s="15">
        <f t="shared" si="9"/>
        <v>427</v>
      </c>
      <c r="L78" s="15">
        <f t="shared" si="8"/>
        <v>6515</v>
      </c>
      <c r="M78" s="67">
        <f>H78+I78+J78+L78+K78</f>
        <v>34557</v>
      </c>
    </row>
    <row r="79" spans="1:13" x14ac:dyDescent="0.25">
      <c r="A79" s="19">
        <v>4</v>
      </c>
      <c r="B79" s="16" t="s">
        <v>23</v>
      </c>
      <c r="C79" s="12" t="s">
        <v>25</v>
      </c>
      <c r="D79" s="17">
        <v>9</v>
      </c>
      <c r="E79" s="17">
        <v>1900</v>
      </c>
      <c r="F79" s="17">
        <v>3</v>
      </c>
      <c r="G79" s="18">
        <v>12</v>
      </c>
      <c r="H79" s="15">
        <f t="shared" si="7"/>
        <v>68400</v>
      </c>
      <c r="I79" s="15">
        <f t="shared" si="10"/>
        <v>2850</v>
      </c>
      <c r="J79" s="15">
        <f t="shared" si="11"/>
        <v>3705</v>
      </c>
      <c r="K79" s="15">
        <f t="shared" si="9"/>
        <v>1281</v>
      </c>
      <c r="L79" s="15">
        <f t="shared" si="8"/>
        <v>17682</v>
      </c>
      <c r="M79" s="67">
        <f>H79+I79+J79+L79+K79</f>
        <v>93918</v>
      </c>
    </row>
    <row r="80" spans="1:13" x14ac:dyDescent="0.25">
      <c r="A80" s="19">
        <v>5</v>
      </c>
      <c r="B80" s="16" t="s">
        <v>26</v>
      </c>
      <c r="C80" s="12" t="s">
        <v>27</v>
      </c>
      <c r="D80" s="17">
        <v>9</v>
      </c>
      <c r="E80" s="17">
        <v>1653</v>
      </c>
      <c r="F80" s="17">
        <v>2</v>
      </c>
      <c r="G80" s="18">
        <v>12</v>
      </c>
      <c r="H80" s="15">
        <f t="shared" si="7"/>
        <v>39672</v>
      </c>
      <c r="I80" s="15">
        <f t="shared" si="10"/>
        <v>1653</v>
      </c>
      <c r="J80" s="15">
        <f t="shared" si="11"/>
        <v>2148</v>
      </c>
      <c r="K80" s="15">
        <f t="shared" si="9"/>
        <v>854</v>
      </c>
      <c r="L80" s="15">
        <f t="shared" si="8"/>
        <v>10256</v>
      </c>
      <c r="M80" s="67">
        <f>H80+I80+J80+L80+K80</f>
        <v>54583</v>
      </c>
    </row>
    <row r="81" spans="1:13" ht="44.45" customHeight="1" x14ac:dyDescent="0.25">
      <c r="A81" s="19">
        <v>6</v>
      </c>
      <c r="B81" s="21" t="s">
        <v>28</v>
      </c>
      <c r="C81" s="12" t="s">
        <v>29</v>
      </c>
      <c r="D81" s="17">
        <v>11</v>
      </c>
      <c r="E81" s="17">
        <v>2496</v>
      </c>
      <c r="F81" s="17">
        <v>1</v>
      </c>
      <c r="G81" s="18">
        <v>12</v>
      </c>
      <c r="H81" s="15">
        <f t="shared" si="7"/>
        <v>29952</v>
      </c>
      <c r="I81" s="15">
        <f t="shared" si="10"/>
        <v>1248</v>
      </c>
      <c r="J81" s="15">
        <f t="shared" si="11"/>
        <v>1622</v>
      </c>
      <c r="K81" s="15">
        <f t="shared" si="9"/>
        <v>427</v>
      </c>
      <c r="L81" s="15">
        <f t="shared" si="8"/>
        <v>7743</v>
      </c>
      <c r="M81" s="67">
        <f t="shared" ref="M81:M82" si="12">H81+I81+J81+L81+K81</f>
        <v>40992</v>
      </c>
    </row>
    <row r="82" spans="1:13" x14ac:dyDescent="0.25">
      <c r="A82" s="19">
        <v>7</v>
      </c>
      <c r="B82" s="16" t="s">
        <v>30</v>
      </c>
      <c r="C82" s="12" t="s">
        <v>31</v>
      </c>
      <c r="D82" s="17">
        <v>10</v>
      </c>
      <c r="E82" s="17">
        <v>1999</v>
      </c>
      <c r="F82" s="17">
        <v>0.3</v>
      </c>
      <c r="G82" s="18">
        <v>12</v>
      </c>
      <c r="H82" s="15">
        <f t="shared" si="7"/>
        <v>7196</v>
      </c>
      <c r="I82" s="15">
        <f t="shared" si="10"/>
        <v>299</v>
      </c>
      <c r="J82" s="15">
        <f t="shared" si="11"/>
        <v>389</v>
      </c>
      <c r="K82" s="15">
        <f>ROUND(426.863,0)</f>
        <v>427</v>
      </c>
      <c r="L82" s="15">
        <f t="shared" si="8"/>
        <v>1860</v>
      </c>
      <c r="M82" s="67">
        <f t="shared" si="12"/>
        <v>10171</v>
      </c>
    </row>
    <row r="84" spans="1:13" x14ac:dyDescent="0.25">
      <c r="A84" s="76" t="s">
        <v>53</v>
      </c>
      <c r="B84" s="77"/>
      <c r="C84" s="76"/>
      <c r="D84" s="76"/>
      <c r="E84" s="76"/>
      <c r="F84" s="76"/>
      <c r="G84" s="76"/>
      <c r="H84" s="76"/>
      <c r="I84" s="76"/>
      <c r="J84" s="76"/>
      <c r="K84" s="76"/>
      <c r="L84" s="76"/>
      <c r="M84" s="76"/>
    </row>
    <row r="85" spans="1:13" ht="28.9" customHeight="1" x14ac:dyDescent="0.25">
      <c r="A85" s="139" t="s">
        <v>33</v>
      </c>
      <c r="B85" s="139"/>
      <c r="C85" s="139"/>
      <c r="D85" s="139"/>
      <c r="E85" s="139"/>
      <c r="F85" s="139"/>
      <c r="G85" s="139"/>
      <c r="H85" s="139"/>
      <c r="I85" s="139"/>
      <c r="J85" s="139"/>
      <c r="K85" s="139"/>
      <c r="L85" s="139"/>
      <c r="M85" s="139"/>
    </row>
    <row r="86" spans="1:13" ht="30.6" customHeight="1" x14ac:dyDescent="0.25">
      <c r="A86" s="139" t="s">
        <v>34</v>
      </c>
      <c r="B86" s="139"/>
      <c r="C86" s="139"/>
      <c r="D86" s="139"/>
      <c r="E86" s="139"/>
      <c r="F86" s="139"/>
      <c r="G86" s="139"/>
      <c r="H86" s="139"/>
      <c r="I86" s="139"/>
      <c r="J86" s="139"/>
      <c r="K86" s="139"/>
      <c r="L86" s="139"/>
      <c r="M86" s="139"/>
    </row>
    <row r="88" spans="1:13" x14ac:dyDescent="0.25">
      <c r="A88" s="154" t="s">
        <v>35</v>
      </c>
      <c r="B88" s="154"/>
    </row>
    <row r="89" spans="1:13" x14ac:dyDescent="0.25">
      <c r="A89" s="23" t="s">
        <v>54</v>
      </c>
      <c r="B89" s="23"/>
      <c r="C89" s="23"/>
      <c r="D89" s="23"/>
      <c r="E89" s="23"/>
      <c r="F89" s="23"/>
      <c r="G89" s="23"/>
      <c r="H89" s="23"/>
      <c r="I89" s="23"/>
      <c r="J89" s="23"/>
      <c r="K89" s="23"/>
      <c r="L89" s="23"/>
    </row>
    <row r="90" spans="1:13" x14ac:dyDescent="0.25">
      <c r="A90" s="23"/>
      <c r="B90" s="23"/>
      <c r="C90" s="23"/>
      <c r="D90" s="23"/>
      <c r="E90" s="23"/>
      <c r="F90" s="23"/>
      <c r="G90" s="23"/>
      <c r="H90" s="23"/>
      <c r="I90" s="23"/>
      <c r="J90" s="23"/>
      <c r="K90" s="23"/>
      <c r="L90" s="23"/>
    </row>
    <row r="91" spans="1:13" ht="14.45" customHeight="1" x14ac:dyDescent="0.25">
      <c r="A91" s="183" t="s">
        <v>55</v>
      </c>
      <c r="B91" s="183"/>
      <c r="C91" s="183"/>
      <c r="D91" s="183"/>
      <c r="E91" s="24">
        <v>68460</v>
      </c>
      <c r="F91" s="25"/>
      <c r="G91" s="25"/>
      <c r="H91" s="25"/>
      <c r="I91" s="25"/>
      <c r="J91" s="25"/>
      <c r="K91" s="25"/>
      <c r="L91" s="25"/>
    </row>
    <row r="92" spans="1:13" ht="14.45" customHeight="1" x14ac:dyDescent="0.25">
      <c r="A92" s="149" t="s">
        <v>56</v>
      </c>
      <c r="B92" s="150"/>
      <c r="C92" s="150"/>
      <c r="D92" s="151"/>
      <c r="E92" s="35">
        <v>46440</v>
      </c>
      <c r="F92" s="36"/>
      <c r="G92" s="36"/>
      <c r="H92" s="36"/>
      <c r="I92" s="36"/>
      <c r="J92" s="36"/>
      <c r="K92" s="36"/>
      <c r="L92" s="36"/>
    </row>
    <row r="93" spans="1:13" ht="14.45" customHeight="1" x14ac:dyDescent="0.25">
      <c r="A93" s="149" t="s">
        <v>57</v>
      </c>
      <c r="B93" s="150"/>
      <c r="C93" s="150"/>
      <c r="D93" s="151"/>
      <c r="E93" s="24">
        <f>5040+5760</f>
        <v>10800</v>
      </c>
      <c r="F93" s="25"/>
      <c r="G93" s="25"/>
      <c r="H93" s="25"/>
      <c r="I93" s="25"/>
      <c r="J93" s="25"/>
      <c r="K93" s="25"/>
      <c r="L93" s="25"/>
    </row>
    <row r="94" spans="1:13" ht="14.45" customHeight="1" x14ac:dyDescent="0.25">
      <c r="A94" s="180" t="s">
        <v>40</v>
      </c>
      <c r="B94" s="180"/>
      <c r="C94" s="180"/>
      <c r="D94" s="180"/>
      <c r="E94" s="37">
        <f>E93+E92+E91</f>
        <v>125700</v>
      </c>
      <c r="F94" s="25"/>
      <c r="G94" s="25"/>
      <c r="H94" s="25"/>
      <c r="I94" s="25"/>
      <c r="J94" s="25"/>
      <c r="K94" s="25"/>
      <c r="L94" s="25"/>
    </row>
    <row r="95" spans="1:13" ht="14.45" customHeight="1" x14ac:dyDescent="0.25">
      <c r="A95" s="38"/>
      <c r="B95" s="38"/>
      <c r="C95" s="38"/>
      <c r="D95" s="38"/>
      <c r="E95" s="39"/>
      <c r="F95" s="25"/>
      <c r="G95" s="25"/>
      <c r="H95" s="25"/>
      <c r="I95" s="25"/>
      <c r="J95" s="25"/>
      <c r="K95" s="25"/>
      <c r="L95" s="25"/>
    </row>
    <row r="96" spans="1:13" ht="275.45" customHeight="1" x14ac:dyDescent="0.25">
      <c r="A96" s="142" t="s">
        <v>214</v>
      </c>
      <c r="B96" s="142"/>
      <c r="C96" s="142"/>
      <c r="D96" s="142"/>
      <c r="E96" s="142"/>
      <c r="F96" s="142"/>
      <c r="G96" s="142"/>
      <c r="H96" s="142"/>
      <c r="I96" s="142"/>
      <c r="J96" s="142"/>
      <c r="K96" s="142"/>
      <c r="L96" s="142"/>
      <c r="M96" s="142"/>
    </row>
    <row r="97" spans="1:13" ht="37.15" customHeight="1" x14ac:dyDescent="0.25">
      <c r="A97" s="126"/>
      <c r="B97" s="126"/>
      <c r="C97" s="126"/>
      <c r="D97" s="126"/>
      <c r="E97" s="126"/>
      <c r="F97" s="126"/>
      <c r="G97" s="126"/>
      <c r="H97" s="126"/>
      <c r="I97" s="126"/>
      <c r="J97" s="126"/>
      <c r="K97" s="126"/>
      <c r="L97" s="126"/>
      <c r="M97" s="126"/>
    </row>
    <row r="98" spans="1:13" x14ac:dyDescent="0.25">
      <c r="A98" s="70" t="s">
        <v>44</v>
      </c>
      <c r="B98" s="126"/>
      <c r="C98" s="126"/>
      <c r="D98" s="126"/>
      <c r="E98" s="126"/>
      <c r="F98" s="126"/>
      <c r="G98" s="126"/>
      <c r="H98" s="126"/>
      <c r="I98" s="126"/>
      <c r="J98" s="126"/>
      <c r="K98" s="126"/>
      <c r="L98" s="126"/>
      <c r="M98" s="126"/>
    </row>
    <row r="99" spans="1:13" x14ac:dyDescent="0.25">
      <c r="A99" s="20" t="s">
        <v>58</v>
      </c>
      <c r="B99" s="126"/>
      <c r="C99" s="126"/>
      <c r="D99" s="126"/>
      <c r="E99" s="126"/>
      <c r="F99" s="126"/>
      <c r="G99" s="126"/>
      <c r="H99" s="126"/>
      <c r="I99" s="126"/>
      <c r="J99" s="126"/>
      <c r="K99" s="126"/>
      <c r="L99" s="126"/>
      <c r="M99" s="126"/>
    </row>
    <row r="100" spans="1:13" x14ac:dyDescent="0.25">
      <c r="A100" s="12" t="s">
        <v>165</v>
      </c>
      <c r="B100" s="127"/>
      <c r="C100" s="127"/>
      <c r="D100" s="28">
        <f>250*198</f>
        <v>49500</v>
      </c>
      <c r="E100" s="126"/>
      <c r="F100" s="126"/>
      <c r="G100" s="126"/>
      <c r="H100" s="126"/>
      <c r="I100" s="126"/>
      <c r="J100" s="126"/>
      <c r="K100" s="126"/>
      <c r="L100" s="126"/>
      <c r="M100" s="126"/>
    </row>
    <row r="101" spans="1:13" x14ac:dyDescent="0.25">
      <c r="A101" s="12" t="s">
        <v>166</v>
      </c>
      <c r="B101" s="127"/>
      <c r="C101" s="127"/>
      <c r="D101" s="28">
        <f>60*68</f>
        <v>4080</v>
      </c>
      <c r="E101" s="126"/>
      <c r="F101" s="126"/>
      <c r="G101" s="126"/>
      <c r="H101" s="126"/>
      <c r="I101" s="126"/>
      <c r="J101" s="126"/>
      <c r="K101" s="126"/>
      <c r="L101" s="126"/>
      <c r="M101" s="126"/>
    </row>
    <row r="102" spans="1:13" x14ac:dyDescent="0.25">
      <c r="A102" s="12" t="s">
        <v>194</v>
      </c>
      <c r="B102" s="127"/>
      <c r="C102" s="127"/>
      <c r="D102" s="28">
        <f>30*68</f>
        <v>2040</v>
      </c>
      <c r="E102" s="126"/>
      <c r="F102" s="126"/>
      <c r="G102" s="126"/>
      <c r="H102" s="126"/>
      <c r="I102" s="126"/>
      <c r="J102" s="126"/>
      <c r="K102" s="126"/>
      <c r="L102" s="126"/>
      <c r="M102" s="126"/>
    </row>
    <row r="103" spans="1:13" x14ac:dyDescent="0.25">
      <c r="A103" s="12" t="s">
        <v>215</v>
      </c>
      <c r="B103" s="127"/>
      <c r="C103" s="127"/>
      <c r="D103" s="28">
        <f>1070*12</f>
        <v>12840</v>
      </c>
      <c r="E103" s="126"/>
      <c r="F103" s="126"/>
      <c r="G103" s="126"/>
      <c r="H103" s="126"/>
      <c r="I103" s="126"/>
      <c r="J103" s="126"/>
      <c r="K103" s="126"/>
      <c r="L103" s="126"/>
      <c r="M103" s="126"/>
    </row>
    <row r="104" spans="1:13" x14ac:dyDescent="0.25">
      <c r="A104" s="126"/>
      <c r="B104" s="126"/>
      <c r="C104" s="29" t="s">
        <v>40</v>
      </c>
      <c r="D104" s="30">
        <f>SUM(D100:D103)</f>
        <v>68460</v>
      </c>
      <c r="E104" s="126"/>
      <c r="F104" s="126"/>
      <c r="G104" s="126"/>
      <c r="H104" s="126"/>
      <c r="I104" s="126"/>
      <c r="J104" s="126"/>
      <c r="K104" s="126"/>
      <c r="L104" s="126"/>
      <c r="M104" s="126"/>
    </row>
    <row r="105" spans="1:13" x14ac:dyDescent="0.25">
      <c r="A105" s="114"/>
      <c r="B105" s="126"/>
      <c r="C105" s="126"/>
      <c r="D105" s="126"/>
      <c r="E105" s="126"/>
      <c r="F105" s="126"/>
      <c r="G105" s="126"/>
      <c r="H105" s="126"/>
      <c r="I105" s="126"/>
      <c r="J105" s="126"/>
      <c r="K105" s="126"/>
      <c r="L105" s="126"/>
      <c r="M105" s="126"/>
    </row>
    <row r="106" spans="1:13" x14ac:dyDescent="0.25">
      <c r="A106" s="70"/>
      <c r="B106" s="126"/>
      <c r="C106" s="126"/>
      <c r="D106" s="126"/>
      <c r="E106" s="126"/>
      <c r="F106" s="126"/>
      <c r="G106" s="126"/>
      <c r="H106" s="126"/>
      <c r="I106" s="126"/>
      <c r="J106" s="126"/>
      <c r="K106" s="126"/>
      <c r="L106" s="126"/>
      <c r="M106" s="126"/>
    </row>
    <row r="107" spans="1:13" ht="26.45" customHeight="1" x14ac:dyDescent="0.25">
      <c r="A107" s="177" t="s">
        <v>163</v>
      </c>
      <c r="B107" s="177"/>
      <c r="C107" s="177"/>
      <c r="D107" s="177"/>
      <c r="E107" s="177"/>
      <c r="F107" s="177"/>
      <c r="G107" s="177"/>
      <c r="H107" s="177"/>
      <c r="I107" s="177"/>
      <c r="J107" s="177"/>
      <c r="K107" s="177"/>
      <c r="L107" s="177"/>
      <c r="M107" s="177"/>
    </row>
    <row r="108" spans="1:13" ht="45" customHeight="1" x14ac:dyDescent="0.25">
      <c r="A108" s="163" t="s">
        <v>209</v>
      </c>
      <c r="B108" s="163"/>
      <c r="C108" s="163"/>
      <c r="D108" s="163"/>
      <c r="E108" s="163"/>
      <c r="F108" s="163"/>
      <c r="G108" s="163"/>
      <c r="H108" s="163"/>
      <c r="I108" s="163"/>
      <c r="J108" s="163"/>
      <c r="K108" s="163"/>
      <c r="L108" s="163"/>
      <c r="M108" s="163"/>
    </row>
    <row r="109" spans="1:13" x14ac:dyDescent="0.25">
      <c r="A109" s="126"/>
      <c r="B109" s="126"/>
      <c r="C109" s="126"/>
      <c r="D109" s="126"/>
      <c r="E109" s="126"/>
      <c r="F109" s="126"/>
      <c r="G109" s="126"/>
      <c r="H109" s="126"/>
      <c r="I109" s="126"/>
      <c r="J109" s="126"/>
      <c r="K109" s="126"/>
      <c r="L109" s="126"/>
      <c r="M109" s="126"/>
    </row>
    <row r="110" spans="1:13" x14ac:dyDescent="0.25">
      <c r="A110" s="70" t="s">
        <v>46</v>
      </c>
      <c r="B110" s="121"/>
      <c r="C110" s="121"/>
      <c r="D110" s="121"/>
      <c r="E110" s="121"/>
      <c r="F110" s="121"/>
      <c r="G110" s="121"/>
      <c r="H110" s="121"/>
      <c r="I110" s="121"/>
      <c r="J110" s="121"/>
      <c r="K110" s="126"/>
      <c r="L110" s="126"/>
      <c r="M110" s="126"/>
    </row>
    <row r="111" spans="1:13" x14ac:dyDescent="0.25">
      <c r="A111" s="20" t="s">
        <v>59</v>
      </c>
      <c r="B111" s="121"/>
      <c r="C111" s="121"/>
      <c r="D111" s="121"/>
      <c r="E111" s="121"/>
      <c r="F111" s="121"/>
      <c r="G111" s="121"/>
      <c r="H111" s="121"/>
      <c r="I111" s="121"/>
      <c r="J111" s="121"/>
      <c r="K111" s="126"/>
      <c r="L111" s="126"/>
      <c r="M111" s="126"/>
    </row>
    <row r="112" spans="1:13" ht="28.15" customHeight="1" x14ac:dyDescent="0.25">
      <c r="A112" s="143" t="s">
        <v>195</v>
      </c>
      <c r="B112" s="143"/>
      <c r="C112" s="143"/>
      <c r="D112" s="143"/>
      <c r="E112" s="143"/>
      <c r="F112" s="143"/>
      <c r="G112" s="143"/>
      <c r="H112" s="143"/>
      <c r="I112" s="143"/>
      <c r="J112" s="143"/>
      <c r="K112" s="126"/>
      <c r="L112" s="126"/>
      <c r="M112" s="126"/>
    </row>
    <row r="113" spans="1:13" x14ac:dyDescent="0.25">
      <c r="A113" s="143" t="s">
        <v>167</v>
      </c>
      <c r="B113" s="143"/>
      <c r="C113" s="143"/>
      <c r="D113" s="143"/>
      <c r="E113" s="143"/>
      <c r="F113" s="143"/>
      <c r="G113" s="143"/>
      <c r="H113" s="143"/>
      <c r="I113" s="143"/>
      <c r="J113" s="143"/>
      <c r="K113" s="126"/>
      <c r="L113" s="126"/>
      <c r="M113" s="126"/>
    </row>
    <row r="114" spans="1:13" x14ac:dyDescent="0.25">
      <c r="A114" s="143" t="s">
        <v>216</v>
      </c>
      <c r="B114" s="143"/>
      <c r="C114" s="143"/>
      <c r="D114" s="143"/>
      <c r="E114" s="143"/>
      <c r="F114" s="143"/>
      <c r="G114" s="143"/>
      <c r="H114" s="143"/>
      <c r="I114" s="143"/>
      <c r="J114" s="143"/>
      <c r="K114" s="126"/>
      <c r="L114" s="126"/>
      <c r="M114" s="126"/>
    </row>
    <row r="115" spans="1:13" x14ac:dyDescent="0.25">
      <c r="A115" s="71"/>
      <c r="B115" s="121"/>
      <c r="C115" s="121"/>
      <c r="D115" s="121"/>
      <c r="E115" s="121"/>
      <c r="F115" s="121"/>
      <c r="G115" s="121"/>
      <c r="H115" s="121"/>
      <c r="I115" s="121"/>
      <c r="J115" s="72"/>
      <c r="K115" s="126"/>
      <c r="L115" s="126"/>
      <c r="M115" s="126"/>
    </row>
    <row r="116" spans="1:13" x14ac:dyDescent="0.25">
      <c r="A116" s="71">
        <v>1</v>
      </c>
      <c r="B116" s="125">
        <f>300*73.4</f>
        <v>22020</v>
      </c>
      <c r="C116" s="121"/>
      <c r="D116" s="121"/>
      <c r="E116" s="121"/>
      <c r="F116" s="121"/>
      <c r="G116" s="121"/>
      <c r="H116" s="121"/>
      <c r="I116" s="121"/>
      <c r="J116" s="72"/>
      <c r="K116" s="126"/>
      <c r="L116" s="126"/>
      <c r="M116" s="126"/>
    </row>
    <row r="117" spans="1:13" x14ac:dyDescent="0.25">
      <c r="A117" s="71">
        <v>2</v>
      </c>
      <c r="B117" s="125">
        <f>50*300</f>
        <v>15000</v>
      </c>
      <c r="C117" s="121"/>
      <c r="D117" s="121"/>
      <c r="E117" s="121"/>
      <c r="F117" s="121"/>
      <c r="G117" s="121"/>
      <c r="H117" s="121"/>
      <c r="I117" s="121"/>
      <c r="J117" s="72"/>
      <c r="K117" s="126"/>
      <c r="L117" s="126"/>
      <c r="M117" s="126"/>
    </row>
    <row r="118" spans="1:13" x14ac:dyDescent="0.25">
      <c r="A118" s="71">
        <v>3</v>
      </c>
      <c r="B118" s="125">
        <f>785*12</f>
        <v>9420</v>
      </c>
      <c r="C118" s="121"/>
      <c r="D118" s="121"/>
      <c r="E118" s="121"/>
      <c r="F118" s="121"/>
      <c r="G118" s="121"/>
      <c r="H118" s="121"/>
      <c r="I118" s="121"/>
      <c r="J118" s="72"/>
      <c r="K118" s="126"/>
      <c r="L118" s="126"/>
      <c r="M118" s="126"/>
    </row>
    <row r="119" spans="1:13" x14ac:dyDescent="0.25">
      <c r="A119" s="74" t="s">
        <v>40</v>
      </c>
      <c r="B119" s="30">
        <f>SUM(B116:B118)</f>
        <v>46440</v>
      </c>
      <c r="C119" s="121"/>
      <c r="D119" s="121"/>
      <c r="E119" s="121"/>
      <c r="F119" s="121"/>
      <c r="G119" s="121"/>
      <c r="H119" s="121"/>
      <c r="I119" s="121"/>
      <c r="J119" s="121"/>
      <c r="K119" s="126"/>
      <c r="L119" s="126"/>
      <c r="M119" s="126"/>
    </row>
    <row r="120" spans="1:13" x14ac:dyDescent="0.25">
      <c r="A120" s="74"/>
      <c r="B120" s="113"/>
      <c r="C120" s="121"/>
      <c r="D120" s="121"/>
      <c r="E120" s="121"/>
      <c r="F120" s="121"/>
      <c r="G120" s="121"/>
      <c r="H120" s="121"/>
      <c r="I120" s="121"/>
      <c r="J120" s="121"/>
      <c r="K120" s="126"/>
      <c r="L120" s="126"/>
      <c r="M120" s="126"/>
    </row>
    <row r="121" spans="1:13" ht="13.9" customHeight="1" x14ac:dyDescent="0.25">
      <c r="A121" s="136" t="s">
        <v>208</v>
      </c>
      <c r="B121" s="136"/>
      <c r="C121" s="136"/>
      <c r="D121" s="136"/>
      <c r="E121" s="136"/>
      <c r="F121" s="136"/>
      <c r="G121" s="136"/>
      <c r="H121" s="136"/>
      <c r="I121" s="136"/>
      <c r="J121" s="136"/>
      <c r="K121" s="136"/>
      <c r="L121" s="136"/>
      <c r="M121" s="126"/>
    </row>
    <row r="122" spans="1:13" ht="71.45" customHeight="1" x14ac:dyDescent="0.25">
      <c r="A122" s="136"/>
      <c r="B122" s="136"/>
      <c r="C122" s="136"/>
      <c r="D122" s="136"/>
      <c r="E122" s="136"/>
      <c r="F122" s="136"/>
      <c r="G122" s="136"/>
      <c r="H122" s="136"/>
      <c r="I122" s="136"/>
      <c r="J122" s="136"/>
      <c r="K122" s="136"/>
      <c r="L122" s="136"/>
    </row>
    <row r="123" spans="1:13" ht="16.899999999999999" customHeight="1" x14ac:dyDescent="0.25">
      <c r="A123" s="132"/>
      <c r="B123" s="132"/>
      <c r="C123" s="132"/>
      <c r="D123" s="132"/>
      <c r="E123" s="132"/>
      <c r="F123" s="132"/>
      <c r="G123" s="132"/>
      <c r="H123" s="132"/>
      <c r="I123" s="132"/>
      <c r="J123" s="132"/>
      <c r="K123" s="132"/>
      <c r="L123" s="132"/>
    </row>
    <row r="124" spans="1:13" ht="14.45" customHeight="1" x14ac:dyDescent="0.25">
      <c r="A124" s="25" t="s">
        <v>49</v>
      </c>
      <c r="D124" s="40"/>
      <c r="E124" s="40"/>
      <c r="F124" s="40"/>
      <c r="G124" s="40"/>
      <c r="H124" s="40"/>
      <c r="I124" s="40"/>
      <c r="J124" s="40"/>
      <c r="K124" s="40"/>
      <c r="L124" s="40"/>
    </row>
    <row r="125" spans="1:13" ht="14.45" customHeight="1" x14ac:dyDescent="0.25">
      <c r="A125" s="180" t="s">
        <v>50</v>
      </c>
      <c r="B125" s="180"/>
      <c r="C125" s="41">
        <f>M75</f>
        <v>306550</v>
      </c>
      <c r="D125" s="40"/>
      <c r="E125" s="40"/>
      <c r="F125" s="40"/>
      <c r="G125" s="40"/>
      <c r="H125" s="40"/>
      <c r="I125" s="40"/>
      <c r="J125" s="40"/>
      <c r="K125" s="40"/>
      <c r="L125" s="40"/>
    </row>
    <row r="126" spans="1:13" ht="14.45" customHeight="1" x14ac:dyDescent="0.25">
      <c r="A126" s="180" t="s">
        <v>51</v>
      </c>
      <c r="B126" s="180"/>
      <c r="C126" s="41">
        <f>E94</f>
        <v>125700</v>
      </c>
      <c r="D126" s="23"/>
      <c r="E126" s="23"/>
      <c r="F126" s="23"/>
      <c r="G126" s="23"/>
      <c r="H126" s="23"/>
      <c r="I126" s="23"/>
      <c r="J126" s="23"/>
      <c r="K126" s="23"/>
      <c r="L126" s="23"/>
    </row>
    <row r="127" spans="1:13" x14ac:dyDescent="0.25">
      <c r="A127" s="181" t="s">
        <v>40</v>
      </c>
      <c r="B127" s="181"/>
      <c r="C127" s="27">
        <f>C126+C125</f>
        <v>432250</v>
      </c>
    </row>
    <row r="129" spans="1:23" x14ac:dyDescent="0.25">
      <c r="A129" s="47" t="s">
        <v>60</v>
      </c>
    </row>
    <row r="131" spans="1:23" x14ac:dyDescent="0.25">
      <c r="A131" s="141" t="s">
        <v>61</v>
      </c>
      <c r="B131" s="141"/>
      <c r="C131" s="141"/>
      <c r="D131" s="141"/>
      <c r="E131" s="141"/>
      <c r="F131" s="141"/>
      <c r="G131" s="141"/>
    </row>
    <row r="132" spans="1:23" x14ac:dyDescent="0.25">
      <c r="A132" s="129"/>
      <c r="B132" s="129"/>
      <c r="C132" s="129"/>
      <c r="D132" s="129"/>
    </row>
    <row r="133" spans="1:23" ht="18" x14ac:dyDescent="0.25">
      <c r="A133" s="78" t="s">
        <v>62</v>
      </c>
      <c r="B133" s="79" t="s">
        <v>168</v>
      </c>
      <c r="C133" s="80" t="s">
        <v>63</v>
      </c>
      <c r="D133" s="79" t="s">
        <v>64</v>
      </c>
      <c r="E133" s="17" t="s">
        <v>65</v>
      </c>
      <c r="F133" s="118" t="s">
        <v>66</v>
      </c>
      <c r="G133" s="12" t="s">
        <v>67</v>
      </c>
      <c r="V133" s="22"/>
      <c r="W133" s="22"/>
    </row>
    <row r="134" spans="1:23" x14ac:dyDescent="0.25">
      <c r="A134" s="78">
        <v>2024</v>
      </c>
      <c r="B134" s="17">
        <v>405.4</v>
      </c>
      <c r="C134" s="17">
        <v>6.65</v>
      </c>
      <c r="D134" s="17">
        <v>8</v>
      </c>
      <c r="E134" s="41">
        <f>ROUND(B134*C134*D134,0)</f>
        <v>21567</v>
      </c>
      <c r="F134" s="42">
        <f>ROUND(E134*0.21,0)</f>
        <v>4529</v>
      </c>
      <c r="G134" s="41">
        <f>F134+E134</f>
        <v>26096</v>
      </c>
      <c r="L134" s="22"/>
    </row>
    <row r="135" spans="1:23" x14ac:dyDescent="0.25">
      <c r="A135" s="78">
        <v>2025</v>
      </c>
      <c r="B135" s="17">
        <v>405.4</v>
      </c>
      <c r="C135" s="17">
        <v>6.65</v>
      </c>
      <c r="D135" s="17">
        <v>12</v>
      </c>
      <c r="E135" s="41">
        <f t="shared" ref="E135:E137" si="13">ROUND(B135*C135*D135,0)</f>
        <v>32351</v>
      </c>
      <c r="F135" s="42">
        <f t="shared" ref="F135:F137" si="14">ROUND(E135*0.21,0)</f>
        <v>6794</v>
      </c>
      <c r="G135" s="41">
        <f>F135+E135</f>
        <v>39145</v>
      </c>
      <c r="L135" s="22"/>
    </row>
    <row r="136" spans="1:23" x14ac:dyDescent="0.25">
      <c r="A136" s="78">
        <v>2026</v>
      </c>
      <c r="B136" s="17">
        <v>405.4</v>
      </c>
      <c r="C136" s="17">
        <v>6.65</v>
      </c>
      <c r="D136" s="17">
        <v>12</v>
      </c>
      <c r="E136" s="41">
        <f t="shared" si="13"/>
        <v>32351</v>
      </c>
      <c r="F136" s="42">
        <f t="shared" si="14"/>
        <v>6794</v>
      </c>
      <c r="G136" s="41">
        <f>F136+E136</f>
        <v>39145</v>
      </c>
      <c r="L136" s="22"/>
    </row>
    <row r="137" spans="1:23" x14ac:dyDescent="0.25">
      <c r="A137" s="78">
        <v>2027</v>
      </c>
      <c r="B137" s="17">
        <v>405.4</v>
      </c>
      <c r="C137" s="17">
        <v>6.65</v>
      </c>
      <c r="D137" s="17">
        <v>12</v>
      </c>
      <c r="E137" s="41">
        <f t="shared" si="13"/>
        <v>32351</v>
      </c>
      <c r="F137" s="42">
        <f t="shared" si="14"/>
        <v>6794</v>
      </c>
      <c r="G137" s="41">
        <f>F137+E137</f>
        <v>39145</v>
      </c>
      <c r="L137" s="22"/>
    </row>
    <row r="139" spans="1:23" ht="14.45" customHeight="1" x14ac:dyDescent="0.25">
      <c r="A139" s="43" t="s">
        <v>68</v>
      </c>
    </row>
    <row r="141" spans="1:23" x14ac:dyDescent="0.25">
      <c r="B141" s="47" t="s">
        <v>69</v>
      </c>
    </row>
    <row r="143" spans="1:23" ht="45" x14ac:dyDescent="0.25">
      <c r="A143" s="78" t="s">
        <v>62</v>
      </c>
      <c r="B143" s="81" t="s">
        <v>169</v>
      </c>
      <c r="C143" s="44" t="s">
        <v>70</v>
      </c>
      <c r="D143" s="118" t="s">
        <v>71</v>
      </c>
      <c r="E143" s="17" t="s">
        <v>64</v>
      </c>
      <c r="F143" s="17" t="s">
        <v>65</v>
      </c>
      <c r="G143" s="44" t="s">
        <v>66</v>
      </c>
      <c r="H143" s="17" t="s">
        <v>67</v>
      </c>
    </row>
    <row r="144" spans="1:23" x14ac:dyDescent="0.25">
      <c r="A144" s="78">
        <v>2024</v>
      </c>
      <c r="B144" s="17">
        <v>405.4</v>
      </c>
      <c r="C144" s="17">
        <v>4.97</v>
      </c>
      <c r="D144" s="45">
        <f>B144*C144</f>
        <v>2014.8379999999997</v>
      </c>
      <c r="E144" s="17">
        <v>8</v>
      </c>
      <c r="F144" s="41">
        <f>ROUND(B144*C144*E144,0)</f>
        <v>16119</v>
      </c>
      <c r="G144" s="42">
        <f>ROUND(F144*0.21,0)</f>
        <v>3385</v>
      </c>
      <c r="H144" s="41">
        <f>G144+F144</f>
        <v>19504</v>
      </c>
    </row>
    <row r="145" spans="1:11" x14ac:dyDescent="0.25">
      <c r="A145" s="78">
        <v>2025</v>
      </c>
      <c r="B145" s="17">
        <v>405.4</v>
      </c>
      <c r="C145" s="17">
        <v>4.97</v>
      </c>
      <c r="D145" s="45">
        <f t="shared" ref="D145:D147" si="15">B145*C145</f>
        <v>2014.8379999999997</v>
      </c>
      <c r="E145" s="17">
        <v>12</v>
      </c>
      <c r="F145" s="41">
        <f>ROUND(B145*C145*E145,0)</f>
        <v>24178</v>
      </c>
      <c r="G145" s="42">
        <f>ROUND(F145*0.21,0)</f>
        <v>5077</v>
      </c>
      <c r="H145" s="41">
        <f>G145+F145</f>
        <v>29255</v>
      </c>
    </row>
    <row r="146" spans="1:11" x14ac:dyDescent="0.25">
      <c r="A146" s="78">
        <v>2026</v>
      </c>
      <c r="B146" s="17">
        <v>405.4</v>
      </c>
      <c r="C146" s="17">
        <v>4.97</v>
      </c>
      <c r="D146" s="45">
        <f t="shared" si="15"/>
        <v>2014.8379999999997</v>
      </c>
      <c r="E146" s="17">
        <v>12</v>
      </c>
      <c r="F146" s="41">
        <f>ROUND(B146*C146*E146,0)</f>
        <v>24178</v>
      </c>
      <c r="G146" s="42">
        <f>ROUND(F146*0.21,0)</f>
        <v>5077</v>
      </c>
      <c r="H146" s="41">
        <f>G146+F146</f>
        <v>29255</v>
      </c>
    </row>
    <row r="147" spans="1:11" x14ac:dyDescent="0.25">
      <c r="A147" s="78">
        <v>2027</v>
      </c>
      <c r="B147" s="17">
        <v>405.4</v>
      </c>
      <c r="C147" s="17">
        <v>4.97</v>
      </c>
      <c r="D147" s="45">
        <f t="shared" si="15"/>
        <v>2014.8379999999997</v>
      </c>
      <c r="E147" s="17">
        <v>12</v>
      </c>
      <c r="F147" s="41">
        <f>ROUND(B147*C147*E147,0)</f>
        <v>24178</v>
      </c>
      <c r="G147" s="42">
        <f>ROUND(F147*0.21,0)</f>
        <v>5077</v>
      </c>
      <c r="H147" s="41">
        <f>G147+F147</f>
        <v>29255</v>
      </c>
    </row>
    <row r="149" spans="1:11" ht="37.9" customHeight="1" x14ac:dyDescent="0.25">
      <c r="A149" s="168" t="s">
        <v>72</v>
      </c>
      <c r="B149" s="168"/>
      <c r="C149" s="168"/>
      <c r="D149" s="168"/>
      <c r="E149" s="168"/>
      <c r="F149" s="168"/>
      <c r="G149" s="168"/>
      <c r="H149" s="168"/>
      <c r="I149" s="124"/>
      <c r="J149" s="124"/>
      <c r="K149" s="124"/>
    </row>
    <row r="150" spans="1:11" ht="15.75" x14ac:dyDescent="0.25">
      <c r="B150" s="182"/>
      <c r="C150" s="182"/>
      <c r="D150" s="182"/>
      <c r="E150" s="182"/>
      <c r="F150" s="182"/>
      <c r="G150" s="182"/>
      <c r="H150" s="182"/>
      <c r="I150" s="182"/>
      <c r="J150" s="182"/>
    </row>
    <row r="152" spans="1:11" x14ac:dyDescent="0.25">
      <c r="A152" s="47" t="s">
        <v>170</v>
      </c>
    </row>
    <row r="153" spans="1:11" ht="45" customHeight="1" x14ac:dyDescent="0.25">
      <c r="A153" s="78" t="s">
        <v>62</v>
      </c>
      <c r="B153" s="118" t="s">
        <v>73</v>
      </c>
      <c r="C153" s="118" t="s">
        <v>74</v>
      </c>
      <c r="D153" s="118" t="s">
        <v>181</v>
      </c>
      <c r="E153" s="118" t="s">
        <v>76</v>
      </c>
      <c r="F153" s="118" t="s">
        <v>40</v>
      </c>
      <c r="G153" s="44" t="s">
        <v>66</v>
      </c>
      <c r="H153" s="17" t="s">
        <v>67</v>
      </c>
    </row>
    <row r="154" spans="1:11" x14ac:dyDescent="0.25">
      <c r="A154" s="78">
        <v>2024</v>
      </c>
      <c r="B154" s="17">
        <v>8</v>
      </c>
      <c r="C154" s="125">
        <v>2880</v>
      </c>
      <c r="D154" s="125">
        <v>2880</v>
      </c>
      <c r="E154" s="125">
        <v>1440</v>
      </c>
      <c r="F154" s="125">
        <f>C154+D154+E154</f>
        <v>7200</v>
      </c>
      <c r="G154" s="41">
        <f>ROUND(F154*0.21,0)</f>
        <v>1512</v>
      </c>
      <c r="H154" s="41">
        <f>G154+F154</f>
        <v>8712</v>
      </c>
    </row>
    <row r="155" spans="1:11" x14ac:dyDescent="0.25">
      <c r="A155" s="78">
        <v>2025</v>
      </c>
      <c r="B155" s="17">
        <v>12</v>
      </c>
      <c r="C155" s="125">
        <v>4320</v>
      </c>
      <c r="D155" s="125">
        <v>4320</v>
      </c>
      <c r="E155" s="125">
        <v>2160</v>
      </c>
      <c r="F155" s="125">
        <f>C155+D155+E155</f>
        <v>10800</v>
      </c>
      <c r="G155" s="41">
        <f t="shared" ref="G155:G157" si="16">ROUND(F155*0.21,0)</f>
        <v>2268</v>
      </c>
      <c r="H155" s="41">
        <f>G155+F155</f>
        <v>13068</v>
      </c>
    </row>
    <row r="156" spans="1:11" x14ac:dyDescent="0.25">
      <c r="A156" s="78">
        <v>2026</v>
      </c>
      <c r="B156" s="17">
        <v>12</v>
      </c>
      <c r="C156" s="125">
        <v>4320</v>
      </c>
      <c r="D156" s="125">
        <v>4320</v>
      </c>
      <c r="E156" s="125">
        <v>2160</v>
      </c>
      <c r="F156" s="125">
        <f>C156+D156+E156</f>
        <v>10800</v>
      </c>
      <c r="G156" s="41">
        <f t="shared" si="16"/>
        <v>2268</v>
      </c>
      <c r="H156" s="41">
        <f>G156+F156</f>
        <v>13068</v>
      </c>
    </row>
    <row r="157" spans="1:11" x14ac:dyDescent="0.25">
      <c r="A157" s="78">
        <v>2027</v>
      </c>
      <c r="B157" s="17">
        <v>12</v>
      </c>
      <c r="C157" s="125">
        <v>4320</v>
      </c>
      <c r="D157" s="125">
        <v>4320</v>
      </c>
      <c r="E157" s="125">
        <v>2160</v>
      </c>
      <c r="F157" s="125">
        <f>C157+D157+E157</f>
        <v>10800</v>
      </c>
      <c r="G157" s="41">
        <f t="shared" si="16"/>
        <v>2268</v>
      </c>
      <c r="H157" s="41">
        <f>G157+F157</f>
        <v>13068</v>
      </c>
    </row>
    <row r="159" spans="1:11" ht="33" customHeight="1" x14ac:dyDescent="0.25">
      <c r="A159" s="177" t="s">
        <v>77</v>
      </c>
      <c r="B159" s="177"/>
      <c r="C159" s="177"/>
      <c r="D159" s="177"/>
      <c r="E159" s="177"/>
      <c r="F159" s="177"/>
      <c r="G159" s="177"/>
      <c r="H159" s="177"/>
      <c r="I159" s="121"/>
      <c r="K159" s="121"/>
    </row>
    <row r="162" spans="1:5" x14ac:dyDescent="0.25">
      <c r="A162" s="46" t="s">
        <v>78</v>
      </c>
      <c r="B162" s="47"/>
    </row>
    <row r="164" spans="1:5" ht="60" x14ac:dyDescent="0.25">
      <c r="B164" s="118" t="s">
        <v>79</v>
      </c>
      <c r="C164" s="17" t="s">
        <v>80</v>
      </c>
      <c r="D164" s="118" t="s">
        <v>81</v>
      </c>
      <c r="E164" s="118" t="s">
        <v>82</v>
      </c>
    </row>
    <row r="165" spans="1:5" x14ac:dyDescent="0.25">
      <c r="B165" s="17">
        <v>60</v>
      </c>
      <c r="C165" s="17">
        <v>3</v>
      </c>
      <c r="D165" s="17">
        <v>5</v>
      </c>
      <c r="E165" s="125">
        <f>B165*C165*D165</f>
        <v>900</v>
      </c>
    </row>
    <row r="166" spans="1:5" x14ac:dyDescent="0.25">
      <c r="B166" s="12" t="s">
        <v>83</v>
      </c>
      <c r="C166" s="12"/>
      <c r="D166" s="118"/>
      <c r="E166" s="125"/>
    </row>
    <row r="167" spans="1:5" x14ac:dyDescent="0.25">
      <c r="B167" s="17">
        <v>120</v>
      </c>
      <c r="C167" s="17">
        <v>3</v>
      </c>
      <c r="D167" s="17">
        <v>5</v>
      </c>
      <c r="E167" s="125">
        <f>B167*C167*D167</f>
        <v>1800</v>
      </c>
    </row>
    <row r="168" spans="1:5" ht="30" x14ac:dyDescent="0.25">
      <c r="B168" s="118" t="s">
        <v>84</v>
      </c>
      <c r="C168" s="12"/>
      <c r="D168" s="118"/>
      <c r="E168" s="125"/>
    </row>
    <row r="169" spans="1:5" x14ac:dyDescent="0.25">
      <c r="B169" s="17">
        <v>400</v>
      </c>
      <c r="C169" s="17"/>
      <c r="D169" s="17">
        <v>5</v>
      </c>
      <c r="E169" s="125">
        <f>D169*B169</f>
        <v>2000</v>
      </c>
    </row>
    <row r="170" spans="1:5" x14ac:dyDescent="0.25">
      <c r="B170" s="82"/>
      <c r="C170" s="82"/>
      <c r="D170" s="82"/>
      <c r="E170" s="83">
        <f>E165+E167+E169</f>
        <v>4700</v>
      </c>
    </row>
    <row r="171" spans="1:5" x14ac:dyDescent="0.25">
      <c r="B171" s="82"/>
      <c r="C171" s="82"/>
      <c r="D171" s="82"/>
      <c r="E171" s="120"/>
    </row>
    <row r="172" spans="1:5" x14ac:dyDescent="0.25">
      <c r="A172" s="84" t="s">
        <v>171</v>
      </c>
      <c r="C172" s="82"/>
      <c r="D172" s="82"/>
      <c r="E172" s="120"/>
    </row>
    <row r="173" spans="1:5" x14ac:dyDescent="0.25">
      <c r="B173" s="82"/>
      <c r="C173" s="82"/>
      <c r="D173" s="82"/>
      <c r="E173" s="120"/>
    </row>
    <row r="174" spans="1:5" x14ac:dyDescent="0.25">
      <c r="B174" s="82"/>
      <c r="C174" s="82"/>
      <c r="D174" s="82"/>
      <c r="E174" s="82"/>
    </row>
    <row r="175" spans="1:5" x14ac:dyDescent="0.25">
      <c r="A175" s="46" t="s">
        <v>182</v>
      </c>
      <c r="B175" s="47"/>
      <c r="C175" s="47"/>
    </row>
    <row r="177" spans="1:13" ht="71.45" customHeight="1" x14ac:dyDescent="0.25">
      <c r="A177" s="78" t="s">
        <v>62</v>
      </c>
      <c r="B177" s="12" t="s">
        <v>183</v>
      </c>
      <c r="C177" s="48" t="s">
        <v>186</v>
      </c>
      <c r="D177" s="49" t="s">
        <v>196</v>
      </c>
      <c r="E177" s="118" t="s">
        <v>85</v>
      </c>
      <c r="F177" s="85"/>
      <c r="G177" s="82"/>
    </row>
    <row r="178" spans="1:13" x14ac:dyDescent="0.25">
      <c r="A178" s="78">
        <v>2024</v>
      </c>
      <c r="B178" s="125">
        <f>1500*4</f>
        <v>6000</v>
      </c>
      <c r="C178" s="125">
        <f>1000*2</f>
        <v>2000</v>
      </c>
      <c r="D178" s="125">
        <f>9*500</f>
        <v>4500</v>
      </c>
      <c r="E178" s="125">
        <f>SUM(C178:D178:B178)</f>
        <v>12500</v>
      </c>
      <c r="F178" s="22"/>
      <c r="G178" s="22"/>
    </row>
    <row r="179" spans="1:13" x14ac:dyDescent="0.25">
      <c r="A179" s="78">
        <v>2025</v>
      </c>
      <c r="B179" s="125">
        <v>0</v>
      </c>
      <c r="C179" s="125">
        <v>0</v>
      </c>
      <c r="D179" s="125">
        <f>9*500</f>
        <v>4500</v>
      </c>
      <c r="E179" s="125">
        <f>SUM(C179:D179:B179)</f>
        <v>4500</v>
      </c>
      <c r="F179" s="22"/>
      <c r="G179" s="22"/>
    </row>
    <row r="180" spans="1:13" x14ac:dyDescent="0.25">
      <c r="A180" s="78">
        <v>2026</v>
      </c>
      <c r="B180" s="125">
        <f>1500*2</f>
        <v>3000</v>
      </c>
      <c r="C180" s="125">
        <f>1000*2</f>
        <v>2000</v>
      </c>
      <c r="D180" s="125">
        <f>12*500</f>
        <v>6000</v>
      </c>
      <c r="E180" s="125">
        <f>SUM(C180:D180:B180)</f>
        <v>11000</v>
      </c>
      <c r="F180" s="22"/>
      <c r="G180" s="22"/>
    </row>
    <row r="181" spans="1:13" x14ac:dyDescent="0.25">
      <c r="A181" s="78">
        <v>2027</v>
      </c>
      <c r="B181" s="125">
        <v>0</v>
      </c>
      <c r="C181" s="125">
        <v>0</v>
      </c>
      <c r="D181" s="125">
        <f>12*500</f>
        <v>6000</v>
      </c>
      <c r="E181" s="125">
        <f>SUM(C181:D181:B181)</f>
        <v>6000</v>
      </c>
      <c r="G181" s="22"/>
    </row>
    <row r="182" spans="1:13" x14ac:dyDescent="0.25">
      <c r="A182" s="86"/>
      <c r="B182" s="87"/>
      <c r="C182" s="87"/>
      <c r="D182" s="87"/>
      <c r="E182" s="87"/>
      <c r="G182" s="22"/>
    </row>
    <row r="183" spans="1:13" ht="219" customHeight="1" x14ac:dyDescent="0.25">
      <c r="A183" s="168" t="s">
        <v>197</v>
      </c>
      <c r="B183" s="168"/>
      <c r="C183" s="168"/>
      <c r="D183" s="168"/>
      <c r="E183" s="168"/>
      <c r="F183" s="168"/>
      <c r="G183" s="168"/>
      <c r="H183" s="168"/>
      <c r="I183" s="50"/>
      <c r="J183" s="50"/>
      <c r="K183" s="50"/>
      <c r="L183" s="50"/>
      <c r="M183" s="50"/>
    </row>
    <row r="185" spans="1:13" x14ac:dyDescent="0.25">
      <c r="A185" s="46" t="s">
        <v>86</v>
      </c>
      <c r="B185" s="46"/>
      <c r="C185" s="47"/>
    </row>
    <row r="187" spans="1:13" ht="88.15" customHeight="1" x14ac:dyDescent="0.25">
      <c r="A187" s="78" t="s">
        <v>62</v>
      </c>
      <c r="B187" s="174" t="s">
        <v>87</v>
      </c>
      <c r="C187" s="178"/>
      <c r="D187" s="179"/>
      <c r="E187" s="44" t="s">
        <v>66</v>
      </c>
      <c r="F187" s="17" t="s">
        <v>67</v>
      </c>
    </row>
    <row r="188" spans="1:13" x14ac:dyDescent="0.25">
      <c r="A188" s="88">
        <v>2024</v>
      </c>
      <c r="B188" s="172">
        <v>15000</v>
      </c>
      <c r="C188" s="172"/>
      <c r="D188" s="172"/>
      <c r="E188" s="41">
        <f>ROUND(B188*0.21,0)</f>
        <v>3150</v>
      </c>
      <c r="F188" s="41">
        <f>B188+E188</f>
        <v>18150</v>
      </c>
    </row>
    <row r="189" spans="1:13" x14ac:dyDescent="0.25">
      <c r="A189" s="88">
        <v>2025</v>
      </c>
      <c r="B189" s="172">
        <v>15000</v>
      </c>
      <c r="C189" s="172"/>
      <c r="D189" s="172"/>
      <c r="E189" s="41">
        <f t="shared" ref="E189:E191" si="17">ROUND(B189*0.21,0)</f>
        <v>3150</v>
      </c>
      <c r="F189" s="41">
        <f t="shared" ref="F189:F191" si="18">B189+E189</f>
        <v>18150</v>
      </c>
    </row>
    <row r="190" spans="1:13" x14ac:dyDescent="0.25">
      <c r="A190" s="133" t="s">
        <v>189</v>
      </c>
      <c r="B190" s="172">
        <v>18414</v>
      </c>
      <c r="C190" s="172"/>
      <c r="D190" s="172"/>
      <c r="E190" s="41">
        <f t="shared" si="17"/>
        <v>3867</v>
      </c>
      <c r="F190" s="41">
        <f t="shared" si="18"/>
        <v>22281</v>
      </c>
    </row>
    <row r="191" spans="1:13" x14ac:dyDescent="0.25">
      <c r="A191" s="133" t="s">
        <v>190</v>
      </c>
      <c r="B191" s="172">
        <v>21280</v>
      </c>
      <c r="C191" s="172"/>
      <c r="D191" s="172"/>
      <c r="E191" s="41">
        <f t="shared" si="17"/>
        <v>4469</v>
      </c>
      <c r="F191" s="41">
        <f t="shared" si="18"/>
        <v>25749</v>
      </c>
    </row>
    <row r="192" spans="1:13" s="43" customFormat="1" ht="15.75" x14ac:dyDescent="0.25">
      <c r="A192" s="43" t="s">
        <v>88</v>
      </c>
      <c r="B192" s="89"/>
    </row>
    <row r="193" spans="1:18" ht="88.15" customHeight="1" x14ac:dyDescent="0.25">
      <c r="A193" s="176" t="s">
        <v>202</v>
      </c>
      <c r="B193" s="176"/>
      <c r="C193" s="176"/>
      <c r="D193" s="176"/>
      <c r="E193" s="176"/>
      <c r="F193" s="176"/>
    </row>
    <row r="195" spans="1:18" x14ac:dyDescent="0.25">
      <c r="A195" s="46" t="s">
        <v>89</v>
      </c>
      <c r="B195" s="47"/>
    </row>
    <row r="197" spans="1:18" ht="36" customHeight="1" x14ac:dyDescent="0.25">
      <c r="A197" s="12"/>
      <c r="B197" s="90" t="s">
        <v>90</v>
      </c>
      <c r="C197" s="118" t="s">
        <v>91</v>
      </c>
      <c r="D197" s="17" t="s">
        <v>40</v>
      </c>
      <c r="E197" s="118" t="s">
        <v>66</v>
      </c>
      <c r="F197" s="17" t="s">
        <v>67</v>
      </c>
    </row>
    <row r="198" spans="1:18" x14ac:dyDescent="0.25">
      <c r="A198" s="88">
        <v>2024</v>
      </c>
      <c r="B198" s="41">
        <v>7500</v>
      </c>
      <c r="C198" s="41">
        <v>500</v>
      </c>
      <c r="D198" s="41">
        <f>B198+C198</f>
        <v>8000</v>
      </c>
      <c r="E198" s="41">
        <f>ROUND(D198*0.21,0)</f>
        <v>1680</v>
      </c>
      <c r="F198" s="41">
        <f>D198+E198</f>
        <v>9680</v>
      </c>
    </row>
    <row r="199" spans="1:18" x14ac:dyDescent="0.25">
      <c r="A199" s="88">
        <v>2025</v>
      </c>
      <c r="B199" s="41">
        <v>0</v>
      </c>
      <c r="C199" s="41">
        <v>500</v>
      </c>
      <c r="D199" s="41">
        <f t="shared" ref="D199:D201" si="19">B199+C199</f>
        <v>500</v>
      </c>
      <c r="E199" s="41">
        <f t="shared" ref="E199:E201" si="20">ROUND(D199*0.21,0)</f>
        <v>105</v>
      </c>
      <c r="F199" s="41">
        <f t="shared" ref="F199:F200" si="21">D199+E199</f>
        <v>605</v>
      </c>
    </row>
    <row r="200" spans="1:18" x14ac:dyDescent="0.25">
      <c r="A200" s="88">
        <v>2026</v>
      </c>
      <c r="B200" s="41">
        <v>0</v>
      </c>
      <c r="C200" s="41">
        <v>500</v>
      </c>
      <c r="D200" s="41">
        <f t="shared" si="19"/>
        <v>500</v>
      </c>
      <c r="E200" s="41">
        <f t="shared" si="20"/>
        <v>105</v>
      </c>
      <c r="F200" s="41">
        <f t="shared" si="21"/>
        <v>605</v>
      </c>
    </row>
    <row r="201" spans="1:18" x14ac:dyDescent="0.25">
      <c r="A201" s="88">
        <v>2027</v>
      </c>
      <c r="B201" s="41">
        <v>0</v>
      </c>
      <c r="C201" s="41">
        <v>500</v>
      </c>
      <c r="D201" s="41">
        <f t="shared" si="19"/>
        <v>500</v>
      </c>
      <c r="E201" s="41">
        <f t="shared" si="20"/>
        <v>105</v>
      </c>
      <c r="F201" s="41">
        <f>D201+E201</f>
        <v>605</v>
      </c>
    </row>
    <row r="203" spans="1:18" ht="33" customHeight="1" x14ac:dyDescent="0.25">
      <c r="A203" s="173" t="s">
        <v>217</v>
      </c>
      <c r="B203" s="173"/>
      <c r="C203" s="173"/>
      <c r="D203" s="173"/>
      <c r="E203" s="173"/>
      <c r="F203" s="173"/>
      <c r="G203" s="173"/>
      <c r="H203" s="173"/>
      <c r="I203" s="173"/>
      <c r="J203" s="173"/>
      <c r="K203" s="124"/>
      <c r="L203" s="50"/>
      <c r="M203" s="50"/>
      <c r="N203" s="50"/>
      <c r="O203" s="50"/>
      <c r="P203" s="50"/>
      <c r="Q203" s="50"/>
      <c r="R203" s="50"/>
    </row>
    <row r="209" spans="1:11" x14ac:dyDescent="0.25">
      <c r="A209" s="46" t="s">
        <v>92</v>
      </c>
      <c r="B209" s="47"/>
      <c r="C209" s="47"/>
    </row>
    <row r="210" spans="1:11" x14ac:dyDescent="0.25">
      <c r="B210" s="47"/>
      <c r="C210" s="47"/>
    </row>
    <row r="211" spans="1:11" ht="39" customHeight="1" x14ac:dyDescent="0.25">
      <c r="A211" s="12"/>
      <c r="B211" s="174" t="s">
        <v>93</v>
      </c>
      <c r="C211" s="175"/>
      <c r="D211" s="137" t="s">
        <v>94</v>
      </c>
      <c r="E211" s="137"/>
      <c r="F211" s="49" t="s">
        <v>95</v>
      </c>
      <c r="G211" s="49" t="s">
        <v>66</v>
      </c>
      <c r="H211" s="55" t="s">
        <v>67</v>
      </c>
    </row>
    <row r="212" spans="1:11" x14ac:dyDescent="0.25">
      <c r="A212" s="88">
        <v>2024</v>
      </c>
      <c r="B212" s="170">
        <f>1200*25</f>
        <v>30000</v>
      </c>
      <c r="C212" s="171"/>
      <c r="D212" s="172">
        <f>400*25</f>
        <v>10000</v>
      </c>
      <c r="E212" s="172"/>
      <c r="F212" s="125">
        <f>SUM(B212:D212)</f>
        <v>40000</v>
      </c>
      <c r="G212" s="125">
        <f>ROUND(F212*0.21,0)</f>
        <v>8400</v>
      </c>
      <c r="H212" s="125">
        <f>G212+F212</f>
        <v>48400</v>
      </c>
    </row>
    <row r="213" spans="1:11" x14ac:dyDescent="0.25">
      <c r="A213" s="88">
        <v>2025</v>
      </c>
      <c r="B213" s="170">
        <f t="shared" ref="B213:B215" si="22">1200*25</f>
        <v>30000</v>
      </c>
      <c r="C213" s="171"/>
      <c r="D213" s="172">
        <f t="shared" ref="D213:D215" si="23">400*25</f>
        <v>10000</v>
      </c>
      <c r="E213" s="172"/>
      <c r="F213" s="125">
        <f t="shared" ref="F213:F215" si="24">SUM(B213:D213)</f>
        <v>40000</v>
      </c>
      <c r="G213" s="125">
        <f t="shared" ref="G213:G215" si="25">ROUND(F213*0.21,0)</f>
        <v>8400</v>
      </c>
      <c r="H213" s="125">
        <f t="shared" ref="H213:H215" si="26">G213+F213</f>
        <v>48400</v>
      </c>
    </row>
    <row r="214" spans="1:11" x14ac:dyDescent="0.25">
      <c r="A214" s="88">
        <v>2026</v>
      </c>
      <c r="B214" s="170">
        <f t="shared" si="22"/>
        <v>30000</v>
      </c>
      <c r="C214" s="171"/>
      <c r="D214" s="172">
        <f t="shared" si="23"/>
        <v>10000</v>
      </c>
      <c r="E214" s="172"/>
      <c r="F214" s="125">
        <f t="shared" si="24"/>
        <v>40000</v>
      </c>
      <c r="G214" s="125">
        <f t="shared" si="25"/>
        <v>8400</v>
      </c>
      <c r="H214" s="125">
        <f t="shared" si="26"/>
        <v>48400</v>
      </c>
    </row>
    <row r="215" spans="1:11" x14ac:dyDescent="0.25">
      <c r="A215" s="88">
        <v>2027</v>
      </c>
      <c r="B215" s="170">
        <f t="shared" si="22"/>
        <v>30000</v>
      </c>
      <c r="C215" s="171"/>
      <c r="D215" s="172">
        <f t="shared" si="23"/>
        <v>10000</v>
      </c>
      <c r="E215" s="172"/>
      <c r="F215" s="125">
        <f t="shared" si="24"/>
        <v>40000</v>
      </c>
      <c r="G215" s="125">
        <f t="shared" si="25"/>
        <v>8400</v>
      </c>
      <c r="H215" s="125">
        <f t="shared" si="26"/>
        <v>48400</v>
      </c>
    </row>
    <row r="216" spans="1:11" x14ac:dyDescent="0.25">
      <c r="A216" s="91"/>
      <c r="B216" s="51"/>
      <c r="C216" s="51"/>
      <c r="D216" s="51"/>
      <c r="E216" s="51"/>
      <c r="F216" s="51"/>
      <c r="G216" s="51"/>
      <c r="H216" s="51"/>
    </row>
    <row r="217" spans="1:11" ht="52.15" customHeight="1" x14ac:dyDescent="0.25">
      <c r="A217" s="167" t="s">
        <v>96</v>
      </c>
      <c r="B217" s="167"/>
      <c r="C217" s="167"/>
      <c r="D217" s="167"/>
      <c r="E217" s="167"/>
      <c r="F217" s="167"/>
      <c r="G217" s="167"/>
      <c r="H217" s="167"/>
      <c r="I217" s="126"/>
      <c r="J217" s="126"/>
    </row>
    <row r="218" spans="1:11" ht="61.15" customHeight="1" x14ac:dyDescent="0.25">
      <c r="A218" s="139" t="s">
        <v>97</v>
      </c>
      <c r="B218" s="139"/>
      <c r="C218" s="139"/>
      <c r="D218" s="139"/>
      <c r="E218" s="139"/>
      <c r="F218" s="139"/>
      <c r="G218" s="139"/>
      <c r="H218" s="139"/>
      <c r="I218" s="123"/>
      <c r="K218" s="123"/>
    </row>
    <row r="221" spans="1:11" ht="26.25" x14ac:dyDescent="0.4">
      <c r="D221" s="92" t="s">
        <v>172</v>
      </c>
      <c r="E221" s="93"/>
    </row>
    <row r="222" spans="1:11" ht="26.25" x14ac:dyDescent="0.4">
      <c r="D222" s="92"/>
      <c r="E222" s="93"/>
    </row>
    <row r="223" spans="1:11" ht="81.599999999999994" customHeight="1" x14ac:dyDescent="0.25">
      <c r="A223" s="168" t="s">
        <v>159</v>
      </c>
      <c r="B223" s="169"/>
      <c r="C223" s="169"/>
      <c r="D223" s="169"/>
      <c r="E223" s="169"/>
      <c r="F223" s="169"/>
      <c r="G223" s="169"/>
      <c r="H223" s="169"/>
      <c r="I223" s="169"/>
      <c r="J223" s="169"/>
    </row>
    <row r="225" spans="1:13" x14ac:dyDescent="0.25">
      <c r="A225" s="66" t="s">
        <v>0</v>
      </c>
    </row>
    <row r="227" spans="1:13" x14ac:dyDescent="0.25">
      <c r="A227" s="47" t="s">
        <v>98</v>
      </c>
    </row>
    <row r="228" spans="1:13" ht="14.45" customHeight="1" x14ac:dyDescent="0.25">
      <c r="A228" s="158" t="s">
        <v>2</v>
      </c>
      <c r="B228" s="164"/>
      <c r="C228" s="165" t="s">
        <v>3</v>
      </c>
      <c r="D228" s="165"/>
      <c r="E228" s="158" t="s">
        <v>4</v>
      </c>
      <c r="F228" s="158" t="s">
        <v>5</v>
      </c>
      <c r="G228" s="159" t="s">
        <v>6</v>
      </c>
      <c r="H228" s="160" t="s">
        <v>7</v>
      </c>
      <c r="I228" s="160" t="s">
        <v>187</v>
      </c>
      <c r="J228" s="160" t="s">
        <v>188</v>
      </c>
      <c r="K228" s="122"/>
      <c r="L228" s="160" t="s">
        <v>8</v>
      </c>
      <c r="M228" s="158" t="s">
        <v>9</v>
      </c>
    </row>
    <row r="229" spans="1:13" ht="33" customHeight="1" x14ac:dyDescent="0.25">
      <c r="A229" s="158"/>
      <c r="B229" s="164"/>
      <c r="C229" s="1" t="s">
        <v>10</v>
      </c>
      <c r="D229" s="1" t="s">
        <v>11</v>
      </c>
      <c r="E229" s="158"/>
      <c r="F229" s="158"/>
      <c r="G229" s="159"/>
      <c r="H229" s="161"/>
      <c r="I229" s="162"/>
      <c r="J229" s="161"/>
      <c r="K229" s="65" t="s">
        <v>12</v>
      </c>
      <c r="L229" s="161"/>
      <c r="M229" s="158"/>
    </row>
    <row r="230" spans="1:13" x14ac:dyDescent="0.25">
      <c r="A230" s="2">
        <v>1</v>
      </c>
      <c r="B230" s="3">
        <v>2</v>
      </c>
      <c r="C230" s="3">
        <v>3</v>
      </c>
      <c r="D230" s="3">
        <v>4</v>
      </c>
      <c r="E230" s="3">
        <v>5</v>
      </c>
      <c r="F230" s="3">
        <v>6</v>
      </c>
      <c r="G230" s="3">
        <v>7</v>
      </c>
      <c r="H230" s="3" t="s">
        <v>13</v>
      </c>
      <c r="I230" s="2">
        <v>9</v>
      </c>
      <c r="J230" s="4">
        <v>10</v>
      </c>
      <c r="K230" s="4">
        <v>11</v>
      </c>
      <c r="L230" s="3" t="s">
        <v>14</v>
      </c>
      <c r="M230" s="2" t="s">
        <v>15</v>
      </c>
    </row>
    <row r="231" spans="1:13" x14ac:dyDescent="0.25">
      <c r="A231" s="5"/>
      <c r="B231" s="32" t="s">
        <v>16</v>
      </c>
      <c r="C231" s="32" t="s">
        <v>17</v>
      </c>
      <c r="D231" s="32" t="s">
        <v>17</v>
      </c>
      <c r="E231" s="32" t="s">
        <v>17</v>
      </c>
      <c r="F231" s="33">
        <f>F232+F233+F234</f>
        <v>3.3</v>
      </c>
      <c r="G231" s="8" t="s">
        <v>17</v>
      </c>
      <c r="H231" s="34">
        <f>H232+H233+H234</f>
        <v>36316</v>
      </c>
      <c r="I231" s="34">
        <f t="shared" ref="I231:M231" si="27">I232+I233+I234</f>
        <v>3025</v>
      </c>
      <c r="J231" s="34">
        <f t="shared" si="27"/>
        <v>3933</v>
      </c>
      <c r="K231" s="34">
        <f>K232+K233+K234</f>
        <v>1708</v>
      </c>
      <c r="L231" s="34">
        <f t="shared" si="27"/>
        <v>10210</v>
      </c>
      <c r="M231" s="34">
        <f t="shared" si="27"/>
        <v>55192</v>
      </c>
    </row>
    <row r="232" spans="1:13" x14ac:dyDescent="0.25">
      <c r="A232" s="19">
        <v>1</v>
      </c>
      <c r="B232" s="16" t="s">
        <v>99</v>
      </c>
      <c r="C232" s="12" t="s">
        <v>25</v>
      </c>
      <c r="D232" s="17">
        <v>9</v>
      </c>
      <c r="E232" s="134">
        <v>1900</v>
      </c>
      <c r="F232" s="17">
        <v>2</v>
      </c>
      <c r="G232" s="18">
        <v>6</v>
      </c>
      <c r="H232" s="15">
        <f>ROUND(E232*F232*G232,0)</f>
        <v>22800</v>
      </c>
      <c r="I232" s="15">
        <f>ROUNDDOWN(E232*F232*0.5,0)</f>
        <v>1900</v>
      </c>
      <c r="J232" s="15">
        <f>ROUNDDOWN(E232*F232*0.65,0)</f>
        <v>2470</v>
      </c>
      <c r="K232" s="15">
        <f>ROUND(426.863*F232,0)</f>
        <v>854</v>
      </c>
      <c r="L232" s="15">
        <f>ROUNDUP((H232+I232+J232)*0.2359,0)</f>
        <v>6410</v>
      </c>
      <c r="M232" s="67">
        <f>H232+I232+J232+L232+K232</f>
        <v>34434</v>
      </c>
    </row>
    <row r="233" spans="1:13" x14ac:dyDescent="0.25">
      <c r="A233" s="19">
        <v>2</v>
      </c>
      <c r="B233" s="16" t="s">
        <v>184</v>
      </c>
      <c r="C233" s="12" t="s">
        <v>27</v>
      </c>
      <c r="D233" s="17">
        <v>9</v>
      </c>
      <c r="E233" s="134">
        <v>1653</v>
      </c>
      <c r="F233" s="17">
        <v>1</v>
      </c>
      <c r="G233" s="18">
        <v>6</v>
      </c>
      <c r="H233" s="15">
        <f>ROUND(E233*F233*G233,0)</f>
        <v>9918</v>
      </c>
      <c r="I233" s="15">
        <f>ROUNDDOWN(E233*F233*0.5,0)</f>
        <v>826</v>
      </c>
      <c r="J233" s="15">
        <f>ROUNDDOWN(E233*F233*0.65,0)</f>
        <v>1074</v>
      </c>
      <c r="K233" s="15">
        <f t="shared" ref="K233" si="28">ROUND(426.863*F233,0)</f>
        <v>427</v>
      </c>
      <c r="L233" s="15">
        <f>ROUNDUP((H233+I233+J233)*0.2359,0)</f>
        <v>2788</v>
      </c>
      <c r="M233" s="67">
        <f>H233+I233+J233+L233+K233</f>
        <v>15033</v>
      </c>
    </row>
    <row r="234" spans="1:13" x14ac:dyDescent="0.25">
      <c r="A234" s="19">
        <v>3</v>
      </c>
      <c r="B234" s="16" t="s">
        <v>30</v>
      </c>
      <c r="C234" s="12" t="s">
        <v>31</v>
      </c>
      <c r="D234" s="17">
        <v>10</v>
      </c>
      <c r="E234" s="134">
        <v>1999</v>
      </c>
      <c r="F234" s="17">
        <v>0.3</v>
      </c>
      <c r="G234" s="18">
        <v>6</v>
      </c>
      <c r="H234" s="15">
        <f>ROUND(E234*F234*G234,0)</f>
        <v>3598</v>
      </c>
      <c r="I234" s="15">
        <f>ROUNDDOWN(E234*F234*0.5,0)</f>
        <v>299</v>
      </c>
      <c r="J234" s="15">
        <f>ROUNDDOWN(E234*F234*0.65,0)</f>
        <v>389</v>
      </c>
      <c r="K234" s="15">
        <f>ROUND(426.863,0)</f>
        <v>427</v>
      </c>
      <c r="L234" s="15">
        <f>ROUNDUP((H234+I234+J234)*0.2359,0)</f>
        <v>1012</v>
      </c>
      <c r="M234" s="67">
        <f>H234+I234+J234+L234+K234</f>
        <v>5725</v>
      </c>
    </row>
    <row r="236" spans="1:13" x14ac:dyDescent="0.25">
      <c r="A236" s="135" t="s">
        <v>32</v>
      </c>
      <c r="B236" s="116"/>
      <c r="C236" s="117"/>
      <c r="D236" s="117"/>
      <c r="E236" s="117"/>
      <c r="F236" s="117"/>
      <c r="G236" s="117"/>
      <c r="H236" s="117"/>
      <c r="I236" s="117"/>
      <c r="J236" s="117"/>
      <c r="K236" s="117"/>
      <c r="L236" s="117"/>
      <c r="M236" s="43"/>
    </row>
    <row r="237" spans="1:13" ht="33" customHeight="1" x14ac:dyDescent="0.25">
      <c r="A237" s="139" t="s">
        <v>102</v>
      </c>
      <c r="B237" s="139"/>
      <c r="C237" s="139"/>
      <c r="D237" s="139"/>
      <c r="E237" s="139"/>
      <c r="F237" s="139"/>
      <c r="G237" s="139"/>
      <c r="H237" s="139"/>
      <c r="I237" s="139"/>
      <c r="J237" s="139"/>
      <c r="K237" s="139"/>
      <c r="L237" s="139"/>
    </row>
    <row r="239" spans="1:13" x14ac:dyDescent="0.25">
      <c r="A239" s="154" t="s">
        <v>35</v>
      </c>
      <c r="B239" s="154"/>
    </row>
    <row r="240" spans="1:13" x14ac:dyDescent="0.25">
      <c r="A240" s="23" t="s">
        <v>103</v>
      </c>
      <c r="B240" s="23"/>
      <c r="C240" s="23"/>
      <c r="D240" s="23"/>
      <c r="E240" s="23"/>
      <c r="F240" s="23"/>
      <c r="G240" s="23"/>
      <c r="H240" s="23"/>
      <c r="I240" s="23"/>
      <c r="J240" s="23"/>
      <c r="K240" s="23"/>
      <c r="L240" s="23"/>
    </row>
    <row r="241" spans="1:13" x14ac:dyDescent="0.25">
      <c r="A241" s="23"/>
      <c r="B241" s="23"/>
      <c r="C241" s="23"/>
      <c r="D241" s="23"/>
      <c r="E241" s="23"/>
      <c r="F241" s="23"/>
      <c r="G241" s="23"/>
      <c r="H241" s="23"/>
      <c r="I241" s="23"/>
      <c r="J241" s="23"/>
      <c r="K241" s="23"/>
      <c r="L241" s="23"/>
    </row>
    <row r="242" spans="1:13" x14ac:dyDescent="0.25">
      <c r="A242" s="155" t="s">
        <v>37</v>
      </c>
      <c r="B242" s="156"/>
      <c r="C242" s="156"/>
      <c r="D242" s="157"/>
      <c r="E242" s="41">
        <f>D258</f>
        <v>17116</v>
      </c>
      <c r="F242" s="25"/>
      <c r="G242" s="52"/>
      <c r="H242" s="25"/>
      <c r="I242" s="25"/>
      <c r="J242" s="25"/>
      <c r="K242" s="25"/>
      <c r="L242" s="25"/>
    </row>
    <row r="243" spans="1:13" x14ac:dyDescent="0.25">
      <c r="A243" s="155" t="s">
        <v>104</v>
      </c>
      <c r="B243" s="156"/>
      <c r="C243" s="156"/>
      <c r="D243" s="157"/>
      <c r="E243" s="41">
        <f>B273</f>
        <v>15478.8</v>
      </c>
      <c r="F243" s="25"/>
      <c r="G243" s="25"/>
      <c r="H243" s="25"/>
      <c r="I243" s="25"/>
      <c r="J243" s="25"/>
      <c r="K243" s="25"/>
      <c r="L243" s="25"/>
    </row>
    <row r="244" spans="1:13" x14ac:dyDescent="0.25">
      <c r="A244" s="149" t="s">
        <v>105</v>
      </c>
      <c r="B244" s="150"/>
      <c r="C244" s="150"/>
      <c r="D244" s="151"/>
      <c r="E244" s="12">
        <f>840+960</f>
        <v>1800</v>
      </c>
      <c r="F244" s="25"/>
      <c r="G244" s="25"/>
      <c r="H244" s="25"/>
      <c r="I244" s="25"/>
      <c r="J244" s="25"/>
      <c r="K244" s="25"/>
      <c r="L244" s="25"/>
    </row>
    <row r="245" spans="1:13" x14ac:dyDescent="0.25">
      <c r="A245" s="144" t="s">
        <v>40</v>
      </c>
      <c r="B245" s="152"/>
      <c r="C245" s="152"/>
      <c r="D245" s="145"/>
      <c r="E245" s="27">
        <f>SUM(E242:E244)</f>
        <v>34394.800000000003</v>
      </c>
      <c r="F245" s="40"/>
      <c r="G245" s="40"/>
      <c r="H245" s="40"/>
      <c r="I245" s="40"/>
      <c r="J245" s="40"/>
      <c r="K245" s="40"/>
      <c r="L245" s="40"/>
    </row>
    <row r="246" spans="1:13" x14ac:dyDescent="0.25">
      <c r="A246" s="38"/>
      <c r="B246" s="38"/>
      <c r="C246" s="38"/>
      <c r="D246" s="38"/>
      <c r="E246" s="69"/>
      <c r="F246" s="40"/>
      <c r="G246" s="40"/>
      <c r="H246" s="40"/>
      <c r="I246" s="40"/>
      <c r="J246" s="40"/>
      <c r="K246" s="40"/>
      <c r="L246" s="40"/>
    </row>
    <row r="247" spans="1:13" ht="67.900000000000006" customHeight="1" x14ac:dyDescent="0.25">
      <c r="A247" s="166" t="s">
        <v>225</v>
      </c>
      <c r="B247" s="166"/>
      <c r="C247" s="166"/>
      <c r="D247" s="166"/>
      <c r="E247" s="166"/>
      <c r="F247" s="166"/>
      <c r="G247" s="166"/>
      <c r="H247" s="166"/>
      <c r="I247" s="166"/>
      <c r="J247" s="166"/>
      <c r="K247" s="166"/>
      <c r="L247" s="166"/>
      <c r="M247" s="166"/>
    </row>
    <row r="248" spans="1:13" ht="62.45" customHeight="1" x14ac:dyDescent="0.25">
      <c r="A248" s="148" t="s">
        <v>218</v>
      </c>
      <c r="B248" s="148"/>
      <c r="C248" s="148"/>
      <c r="D248" s="148"/>
      <c r="E248" s="148"/>
      <c r="F248" s="148"/>
      <c r="G248" s="148"/>
      <c r="H248" s="148"/>
      <c r="I248" s="148"/>
      <c r="J248" s="148"/>
      <c r="K248" s="148"/>
      <c r="L248" s="148"/>
      <c r="M248" s="148"/>
    </row>
    <row r="249" spans="1:13" ht="31.9" customHeight="1" x14ac:dyDescent="0.25">
      <c r="A249" s="139" t="s">
        <v>106</v>
      </c>
      <c r="B249" s="139"/>
      <c r="C249" s="139"/>
      <c r="D249" s="139"/>
      <c r="E249" s="139"/>
      <c r="F249" s="139"/>
      <c r="G249" s="139"/>
      <c r="H249" s="139"/>
      <c r="I249" s="139"/>
      <c r="J249" s="139"/>
      <c r="K249" s="139"/>
      <c r="L249" s="139"/>
      <c r="M249" s="139"/>
    </row>
    <row r="250" spans="1:13" ht="163.15" customHeight="1" x14ac:dyDescent="0.25">
      <c r="A250" s="142" t="s">
        <v>219</v>
      </c>
      <c r="B250" s="142"/>
      <c r="C250" s="142"/>
      <c r="D250" s="142"/>
      <c r="E250" s="142"/>
      <c r="F250" s="142"/>
      <c r="G250" s="142"/>
      <c r="H250" s="142"/>
      <c r="I250" s="142"/>
      <c r="J250" s="142"/>
      <c r="K250" s="142"/>
      <c r="L250" s="142"/>
      <c r="M250" s="142"/>
    </row>
    <row r="251" spans="1:13" ht="15.6" customHeight="1" x14ac:dyDescent="0.25">
      <c r="A251" s="142" t="s">
        <v>204</v>
      </c>
      <c r="B251" s="142"/>
      <c r="C251" s="142"/>
      <c r="D251" s="142"/>
      <c r="E251" s="142"/>
      <c r="F251" s="142"/>
      <c r="G251" s="142"/>
      <c r="H251" s="142"/>
      <c r="I251" s="142"/>
      <c r="J251" s="142"/>
      <c r="K251" s="142"/>
      <c r="L251" s="142"/>
      <c r="M251" s="142"/>
    </row>
    <row r="252" spans="1:13" ht="15.6" customHeight="1" x14ac:dyDescent="0.25">
      <c r="A252" s="38"/>
      <c r="B252" s="128"/>
      <c r="C252" s="128"/>
      <c r="D252" s="128"/>
      <c r="E252" s="128"/>
      <c r="F252" s="128"/>
      <c r="G252" s="128"/>
      <c r="H252" s="128"/>
      <c r="I252" s="128"/>
      <c r="J252" s="128"/>
      <c r="K252" s="128"/>
      <c r="L252" s="40"/>
    </row>
    <row r="253" spans="1:13" ht="15.6" customHeight="1" x14ac:dyDescent="0.25">
      <c r="A253" s="70" t="s">
        <v>44</v>
      </c>
      <c r="B253" s="126"/>
      <c r="C253" s="126"/>
      <c r="D253" s="126"/>
      <c r="E253" s="126"/>
      <c r="F253" s="126"/>
      <c r="G253" s="126"/>
      <c r="H253" s="126"/>
      <c r="I253" s="126"/>
      <c r="J253" s="126"/>
      <c r="K253" s="126"/>
      <c r="L253" s="126"/>
      <c r="M253" s="126"/>
    </row>
    <row r="254" spans="1:13" ht="15.6" customHeight="1" x14ac:dyDescent="0.25">
      <c r="A254" s="12" t="s">
        <v>173</v>
      </c>
      <c r="B254" s="127"/>
      <c r="C254" s="127"/>
      <c r="D254" s="28">
        <f>64*198</f>
        <v>12672</v>
      </c>
      <c r="E254" s="126"/>
      <c r="F254" s="126"/>
      <c r="G254" s="126"/>
      <c r="H254" s="126"/>
      <c r="I254" s="126"/>
      <c r="J254" s="126"/>
      <c r="K254" s="126"/>
      <c r="L254" s="126"/>
      <c r="M254" s="126"/>
    </row>
    <row r="255" spans="1:13" ht="15.6" customHeight="1" x14ac:dyDescent="0.25">
      <c r="A255" s="12" t="s">
        <v>174</v>
      </c>
      <c r="B255" s="127"/>
      <c r="C255" s="127"/>
      <c r="D255" s="28">
        <f>15*68</f>
        <v>1020</v>
      </c>
      <c r="E255" s="126"/>
      <c r="F255" s="126"/>
      <c r="G255" s="126"/>
      <c r="H255" s="126"/>
      <c r="I255" s="126"/>
      <c r="J255" s="126"/>
      <c r="K255" s="126"/>
      <c r="L255" s="126"/>
      <c r="M255" s="126"/>
    </row>
    <row r="256" spans="1:13" ht="15.6" customHeight="1" x14ac:dyDescent="0.25">
      <c r="A256" s="12" t="s">
        <v>191</v>
      </c>
      <c r="B256" s="127"/>
      <c r="C256" s="127"/>
      <c r="D256" s="28">
        <f>8*68</f>
        <v>544</v>
      </c>
      <c r="E256" s="126"/>
      <c r="F256" s="126"/>
      <c r="G256" s="126"/>
      <c r="H256" s="126"/>
      <c r="I256" s="126"/>
      <c r="J256" s="126"/>
      <c r="K256" s="126"/>
      <c r="L256" s="126"/>
      <c r="M256" s="126"/>
    </row>
    <row r="257" spans="1:13" ht="15.6" customHeight="1" x14ac:dyDescent="0.25">
      <c r="A257" s="12" t="s">
        <v>220</v>
      </c>
      <c r="B257" s="127"/>
      <c r="C257" s="127"/>
      <c r="D257" s="28">
        <f>480*6</f>
        <v>2880</v>
      </c>
      <c r="E257" s="126"/>
      <c r="F257" s="126"/>
      <c r="G257" s="126"/>
      <c r="H257" s="126"/>
      <c r="I257" s="126"/>
      <c r="J257" s="126"/>
      <c r="K257" s="126"/>
      <c r="L257" s="126"/>
      <c r="M257" s="126"/>
    </row>
    <row r="258" spans="1:13" ht="15.6" customHeight="1" x14ac:dyDescent="0.25">
      <c r="A258" s="126"/>
      <c r="B258" s="126"/>
      <c r="C258" s="29" t="s">
        <v>40</v>
      </c>
      <c r="D258" s="30">
        <f>SUM(D254:D257)</f>
        <v>17116</v>
      </c>
      <c r="E258" s="126"/>
      <c r="F258" s="126"/>
      <c r="G258" s="126"/>
      <c r="H258" s="126"/>
      <c r="I258" s="126"/>
      <c r="J258" s="126"/>
      <c r="K258" s="126"/>
      <c r="L258" s="126"/>
      <c r="M258" s="126"/>
    </row>
    <row r="259" spans="1:13" ht="15.6" customHeight="1" x14ac:dyDescent="0.25">
      <c r="A259" s="126"/>
      <c r="B259" s="126"/>
      <c r="C259" s="126"/>
      <c r="D259" s="126"/>
      <c r="E259" s="126"/>
      <c r="F259" s="126"/>
      <c r="G259" s="126"/>
      <c r="H259" s="126"/>
      <c r="I259" s="126"/>
      <c r="J259" s="126"/>
      <c r="K259" s="126"/>
      <c r="L259" s="126"/>
      <c r="M259" s="126"/>
    </row>
    <row r="260" spans="1:13" ht="15.6" customHeight="1" x14ac:dyDescent="0.25">
      <c r="A260" s="70"/>
      <c r="B260" s="126"/>
      <c r="C260" s="126"/>
      <c r="D260" s="126"/>
      <c r="E260" s="126"/>
      <c r="F260" s="126"/>
      <c r="G260" s="126"/>
      <c r="H260" s="126"/>
      <c r="I260" s="126"/>
      <c r="J260" s="126"/>
      <c r="K260" s="126"/>
      <c r="L260" s="126"/>
      <c r="M260" s="126"/>
    </row>
    <row r="261" spans="1:13" ht="30.6" customHeight="1" x14ac:dyDescent="0.25">
      <c r="A261" s="142" t="s">
        <v>107</v>
      </c>
      <c r="B261" s="142"/>
      <c r="C261" s="142"/>
      <c r="D261" s="142"/>
      <c r="E261" s="142"/>
      <c r="F261" s="142"/>
      <c r="G261" s="142"/>
      <c r="H261" s="142"/>
      <c r="I261" s="142"/>
      <c r="J261" s="142"/>
      <c r="K261" s="142"/>
      <c r="L261" s="142"/>
      <c r="M261" s="142"/>
    </row>
    <row r="262" spans="1:13" ht="44.45" customHeight="1" x14ac:dyDescent="0.25">
      <c r="A262" s="163" t="s">
        <v>205</v>
      </c>
      <c r="B262" s="163"/>
      <c r="C262" s="163"/>
      <c r="D262" s="163"/>
      <c r="E262" s="163"/>
      <c r="F262" s="163"/>
      <c r="G262" s="163"/>
      <c r="H262" s="163"/>
      <c r="I262" s="163"/>
      <c r="J262" s="163"/>
      <c r="K262" s="163"/>
      <c r="L262" s="163"/>
      <c r="M262" s="163"/>
    </row>
    <row r="263" spans="1:13" ht="15.6" customHeight="1" x14ac:dyDescent="0.25">
      <c r="A263" s="38"/>
      <c r="B263" s="128"/>
      <c r="C263" s="128"/>
      <c r="D263" s="128"/>
      <c r="E263" s="128"/>
      <c r="F263" s="128"/>
      <c r="G263" s="128"/>
      <c r="H263" s="128"/>
      <c r="I263" s="128"/>
      <c r="J263" s="128"/>
      <c r="K263" s="128"/>
      <c r="L263" s="40"/>
    </row>
    <row r="264" spans="1:13" x14ac:dyDescent="0.25">
      <c r="A264" s="70" t="s">
        <v>158</v>
      </c>
      <c r="B264" s="121"/>
      <c r="C264" s="121"/>
      <c r="D264" s="121"/>
      <c r="E264" s="121"/>
      <c r="F264" s="121"/>
      <c r="G264" s="121"/>
      <c r="H264" s="121"/>
      <c r="I264" s="121"/>
      <c r="J264" s="121"/>
      <c r="K264" s="126"/>
      <c r="L264" s="126"/>
      <c r="M264" s="126"/>
    </row>
    <row r="265" spans="1:13" x14ac:dyDescent="0.25">
      <c r="A265" s="20" t="s">
        <v>108</v>
      </c>
      <c r="B265" s="121"/>
      <c r="C265" s="121"/>
      <c r="D265" s="121"/>
      <c r="E265" s="121"/>
      <c r="F265" s="121"/>
      <c r="G265" s="121"/>
      <c r="H265" s="121"/>
      <c r="I265" s="121"/>
      <c r="J265" s="121"/>
      <c r="K265" s="126"/>
      <c r="L265" s="126"/>
      <c r="M265" s="126"/>
    </row>
    <row r="266" spans="1:13" ht="28.15" customHeight="1" x14ac:dyDescent="0.25">
      <c r="A266" s="143" t="s">
        <v>192</v>
      </c>
      <c r="B266" s="143"/>
      <c r="C266" s="143"/>
      <c r="D266" s="143"/>
      <c r="E266" s="143"/>
      <c r="F266" s="143"/>
      <c r="G266" s="143"/>
      <c r="H266" s="143"/>
      <c r="I266" s="143"/>
      <c r="J266" s="143"/>
      <c r="K266" s="126"/>
      <c r="L266" s="126"/>
      <c r="M266" s="126"/>
    </row>
    <row r="267" spans="1:13" ht="52.9" customHeight="1" x14ac:dyDescent="0.25">
      <c r="A267" s="143" t="s">
        <v>221</v>
      </c>
      <c r="B267" s="143"/>
      <c r="C267" s="143"/>
      <c r="D267" s="143"/>
      <c r="E267" s="143"/>
      <c r="F267" s="143"/>
      <c r="G267" s="143"/>
      <c r="H267" s="143"/>
      <c r="I267" s="143"/>
      <c r="J267" s="143"/>
      <c r="K267" s="126"/>
      <c r="L267" s="126"/>
      <c r="M267" s="126"/>
    </row>
    <row r="268" spans="1:13" x14ac:dyDescent="0.25">
      <c r="A268" s="143" t="s">
        <v>203</v>
      </c>
      <c r="B268" s="143"/>
      <c r="C268" s="143"/>
      <c r="D268" s="143"/>
      <c r="E268" s="143"/>
      <c r="F268" s="143"/>
      <c r="G268" s="143"/>
      <c r="H268" s="143"/>
      <c r="I268" s="143"/>
      <c r="J268" s="143"/>
      <c r="K268" s="126"/>
      <c r="L268" s="126"/>
      <c r="M268" s="126"/>
    </row>
    <row r="269" spans="1:13" x14ac:dyDescent="0.25">
      <c r="A269" s="71"/>
      <c r="B269" s="121"/>
      <c r="C269" s="121"/>
      <c r="D269" s="121"/>
      <c r="E269" s="121"/>
      <c r="F269" s="121"/>
      <c r="G269" s="121"/>
      <c r="H269" s="121"/>
      <c r="I269" s="121"/>
      <c r="J269" s="72"/>
      <c r="K269" s="126"/>
      <c r="L269" s="126"/>
      <c r="M269" s="126"/>
    </row>
    <row r="270" spans="1:13" x14ac:dyDescent="0.25">
      <c r="A270" s="71">
        <v>1</v>
      </c>
      <c r="B270" s="125">
        <f>75*73.4</f>
        <v>5505</v>
      </c>
      <c r="C270" s="121"/>
      <c r="D270" s="121"/>
      <c r="E270" s="121"/>
      <c r="F270" s="121"/>
      <c r="G270" s="121"/>
      <c r="H270" s="121"/>
      <c r="I270" s="121"/>
      <c r="J270" s="72"/>
      <c r="K270" s="126"/>
      <c r="L270" s="126"/>
      <c r="M270" s="126"/>
    </row>
    <row r="271" spans="1:13" x14ac:dyDescent="0.25">
      <c r="A271" s="71">
        <v>2</v>
      </c>
      <c r="B271" s="125">
        <f>100*75</f>
        <v>7500</v>
      </c>
      <c r="C271" s="121"/>
      <c r="D271" s="121"/>
      <c r="E271" s="121"/>
      <c r="F271" s="121"/>
      <c r="G271" s="121"/>
      <c r="H271" s="121"/>
      <c r="I271" s="121"/>
      <c r="J271" s="72"/>
      <c r="K271" s="126"/>
      <c r="L271" s="126"/>
      <c r="M271" s="126"/>
    </row>
    <row r="272" spans="1:13" x14ac:dyDescent="0.25">
      <c r="A272" s="71">
        <v>3</v>
      </c>
      <c r="B272" s="125">
        <f>412.3*6</f>
        <v>2473.8000000000002</v>
      </c>
      <c r="C272" s="121"/>
      <c r="D272" s="121"/>
      <c r="E272" s="121"/>
      <c r="F272" s="121"/>
      <c r="G272" s="121"/>
      <c r="H272" s="121"/>
      <c r="I272" s="121"/>
      <c r="J272" s="72"/>
      <c r="K272" s="126"/>
      <c r="L272" s="126"/>
      <c r="M272" s="126"/>
    </row>
    <row r="273" spans="1:15" x14ac:dyDescent="0.25">
      <c r="A273" s="74" t="s">
        <v>40</v>
      </c>
      <c r="B273" s="30">
        <f>SUM(B270:B272)</f>
        <v>15478.8</v>
      </c>
      <c r="C273" s="121"/>
      <c r="D273" s="121"/>
      <c r="E273" s="121"/>
      <c r="F273" s="94"/>
      <c r="G273" s="121"/>
      <c r="H273" s="121"/>
      <c r="I273" s="121"/>
      <c r="J273" s="121"/>
      <c r="K273" s="126"/>
      <c r="L273" s="126"/>
      <c r="M273" s="126"/>
    </row>
    <row r="274" spans="1:15" x14ac:dyDescent="0.25">
      <c r="A274" s="74"/>
      <c r="B274" s="113"/>
      <c r="C274" s="121"/>
      <c r="D274" s="121"/>
      <c r="E274" s="121"/>
      <c r="F274" s="94"/>
      <c r="G274" s="121"/>
      <c r="H274" s="121"/>
      <c r="I274" s="121"/>
      <c r="J274" s="121"/>
      <c r="K274" s="126"/>
      <c r="L274" s="126"/>
      <c r="M274" s="126"/>
    </row>
    <row r="275" spans="1:15" x14ac:dyDescent="0.25">
      <c r="A275" s="25" t="s">
        <v>175</v>
      </c>
      <c r="B275" s="113"/>
      <c r="C275" s="121"/>
      <c r="D275" s="121"/>
      <c r="E275" s="121"/>
      <c r="F275" s="94"/>
      <c r="G275" s="121"/>
      <c r="H275" s="121"/>
      <c r="I275" s="121"/>
      <c r="J275" s="121"/>
      <c r="K275" s="126"/>
      <c r="L275" s="126"/>
      <c r="M275" s="126"/>
    </row>
    <row r="276" spans="1:15" x14ac:dyDescent="0.25">
      <c r="A276" s="25"/>
      <c r="B276" s="113"/>
      <c r="C276" s="121"/>
      <c r="D276" s="121"/>
      <c r="E276" s="121"/>
      <c r="F276" s="94"/>
      <c r="G276" s="121"/>
      <c r="H276" s="121"/>
      <c r="I276" s="121"/>
      <c r="J276" s="121"/>
      <c r="K276" s="126"/>
      <c r="L276" s="126"/>
      <c r="M276" s="126"/>
    </row>
    <row r="277" spans="1:15" ht="13.9" customHeight="1" x14ac:dyDescent="0.25">
      <c r="A277" s="136" t="s">
        <v>206</v>
      </c>
      <c r="B277" s="136"/>
      <c r="C277" s="136"/>
      <c r="D277" s="136"/>
      <c r="E277" s="136"/>
      <c r="F277" s="136"/>
      <c r="G277" s="136"/>
      <c r="H277" s="136"/>
      <c r="I277" s="136"/>
      <c r="J277" s="136"/>
      <c r="K277" s="136"/>
      <c r="L277" s="136"/>
      <c r="M277" s="126"/>
    </row>
    <row r="278" spans="1:15" ht="75.599999999999994" customHeight="1" x14ac:dyDescent="0.25">
      <c r="A278" s="136"/>
      <c r="B278" s="136"/>
      <c r="C278" s="136"/>
      <c r="D278" s="136"/>
      <c r="E278" s="136"/>
      <c r="F278" s="136"/>
      <c r="G278" s="136"/>
      <c r="H278" s="136"/>
      <c r="I278" s="136"/>
      <c r="J278" s="136"/>
      <c r="K278" s="136"/>
      <c r="L278" s="136"/>
      <c r="M278" s="126"/>
    </row>
    <row r="279" spans="1:15" x14ac:dyDescent="0.25">
      <c r="A279" s="74"/>
      <c r="B279" s="75"/>
      <c r="C279" s="121"/>
      <c r="D279" s="121"/>
      <c r="E279" s="121"/>
      <c r="F279" s="121"/>
      <c r="G279" s="121"/>
      <c r="H279" s="121"/>
      <c r="I279" s="121"/>
      <c r="J279" s="121"/>
      <c r="K279" s="126"/>
      <c r="L279" s="126"/>
      <c r="M279" s="126"/>
    </row>
    <row r="280" spans="1:15" x14ac:dyDescent="0.25">
      <c r="A280" s="31" t="s">
        <v>49</v>
      </c>
      <c r="D280" s="38"/>
      <c r="E280" s="69"/>
      <c r="F280" s="40"/>
      <c r="G280" s="40"/>
      <c r="H280" s="40"/>
      <c r="I280" s="40"/>
      <c r="J280" s="40"/>
      <c r="K280" s="40"/>
      <c r="L280" s="40"/>
    </row>
    <row r="281" spans="1:15" x14ac:dyDescent="0.25">
      <c r="A281" s="144" t="s">
        <v>50</v>
      </c>
      <c r="B281" s="145"/>
      <c r="C281" s="41">
        <f>M231</f>
        <v>55192</v>
      </c>
      <c r="D281" s="38"/>
      <c r="E281" s="69"/>
      <c r="F281" s="40"/>
      <c r="G281" s="40"/>
      <c r="H281" s="40"/>
      <c r="I281" s="40"/>
      <c r="J281" s="40"/>
      <c r="K281" s="40"/>
      <c r="L281" s="40"/>
    </row>
    <row r="282" spans="1:15" x14ac:dyDescent="0.25">
      <c r="A282" s="144" t="s">
        <v>51</v>
      </c>
      <c r="B282" s="145"/>
      <c r="C282" s="41">
        <f>E245</f>
        <v>34394.800000000003</v>
      </c>
      <c r="D282" s="38"/>
      <c r="E282" s="69"/>
      <c r="F282" s="40"/>
      <c r="G282" s="40"/>
      <c r="H282" s="40"/>
      <c r="I282" s="40"/>
      <c r="J282" s="40"/>
      <c r="K282" s="40"/>
      <c r="L282" s="40"/>
    </row>
    <row r="283" spans="1:15" x14ac:dyDescent="0.25">
      <c r="A283" s="146" t="s">
        <v>40</v>
      </c>
      <c r="B283" s="147"/>
      <c r="C283" s="27">
        <f>C282+C281</f>
        <v>89586.8</v>
      </c>
      <c r="D283" s="38"/>
      <c r="E283" s="69"/>
      <c r="F283" s="40"/>
      <c r="G283" s="40"/>
      <c r="H283" s="40"/>
      <c r="I283" s="40"/>
      <c r="J283" s="40"/>
      <c r="K283" s="40"/>
      <c r="L283" s="40"/>
    </row>
    <row r="284" spans="1:15" ht="13.9" customHeight="1" x14ac:dyDescent="0.25">
      <c r="A284" s="38"/>
      <c r="B284" s="38"/>
      <c r="C284" s="38"/>
      <c r="D284" s="38"/>
      <c r="E284" s="69"/>
      <c r="F284" s="40"/>
      <c r="G284" s="40"/>
      <c r="H284" s="40"/>
      <c r="I284" s="40"/>
      <c r="J284" s="40"/>
      <c r="K284" s="40"/>
      <c r="L284" s="40"/>
    </row>
    <row r="287" spans="1:15" x14ac:dyDescent="0.25">
      <c r="A287" s="40"/>
      <c r="B287" s="40"/>
      <c r="C287" s="40"/>
      <c r="D287" s="40"/>
      <c r="E287" s="40"/>
      <c r="F287" s="40"/>
      <c r="G287" s="40"/>
      <c r="H287" s="40"/>
      <c r="I287" s="40"/>
      <c r="J287" s="40"/>
      <c r="K287" s="40"/>
      <c r="L287" s="40"/>
      <c r="O287" s="69"/>
    </row>
    <row r="288" spans="1:15" x14ac:dyDescent="0.25">
      <c r="A288" s="66" t="s">
        <v>0</v>
      </c>
      <c r="O288" s="69"/>
    </row>
    <row r="289" spans="1:15" x14ac:dyDescent="0.25">
      <c r="O289" s="69"/>
    </row>
    <row r="290" spans="1:15" x14ac:dyDescent="0.25">
      <c r="O290" s="69"/>
    </row>
    <row r="291" spans="1:15" x14ac:dyDescent="0.25">
      <c r="A291" s="47" t="s">
        <v>109</v>
      </c>
      <c r="O291" s="69"/>
    </row>
    <row r="292" spans="1:15" ht="14.45" customHeight="1" x14ac:dyDescent="0.25">
      <c r="A292" s="158" t="s">
        <v>2</v>
      </c>
      <c r="B292" s="164"/>
      <c r="C292" s="165" t="s">
        <v>3</v>
      </c>
      <c r="D292" s="165"/>
      <c r="E292" s="158" t="s">
        <v>4</v>
      </c>
      <c r="F292" s="158" t="s">
        <v>5</v>
      </c>
      <c r="G292" s="159" t="s">
        <v>6</v>
      </c>
      <c r="H292" s="160" t="s">
        <v>7</v>
      </c>
      <c r="I292" s="160" t="s">
        <v>187</v>
      </c>
      <c r="J292" s="160" t="s">
        <v>188</v>
      </c>
      <c r="K292" s="122"/>
      <c r="L292" s="160" t="s">
        <v>8</v>
      </c>
      <c r="M292" s="158" t="s">
        <v>9</v>
      </c>
      <c r="O292" s="69"/>
    </row>
    <row r="293" spans="1:15" ht="23.45" customHeight="1" x14ac:dyDescent="0.25">
      <c r="A293" s="158"/>
      <c r="B293" s="164"/>
      <c r="C293" s="1" t="s">
        <v>10</v>
      </c>
      <c r="D293" s="1" t="s">
        <v>11</v>
      </c>
      <c r="E293" s="158"/>
      <c r="F293" s="158"/>
      <c r="G293" s="159"/>
      <c r="H293" s="161"/>
      <c r="I293" s="162"/>
      <c r="J293" s="161"/>
      <c r="K293" s="65" t="s">
        <v>12</v>
      </c>
      <c r="L293" s="161"/>
      <c r="M293" s="158"/>
      <c r="O293" s="69"/>
    </row>
    <row r="294" spans="1:15" x14ac:dyDescent="0.25">
      <c r="A294" s="2">
        <v>1</v>
      </c>
      <c r="B294" s="3">
        <v>2</v>
      </c>
      <c r="C294" s="3">
        <v>3</v>
      </c>
      <c r="D294" s="3">
        <v>4</v>
      </c>
      <c r="E294" s="3">
        <v>5</v>
      </c>
      <c r="F294" s="3">
        <v>6</v>
      </c>
      <c r="G294" s="3">
        <v>7</v>
      </c>
      <c r="H294" s="3" t="s">
        <v>13</v>
      </c>
      <c r="I294" s="2">
        <v>9</v>
      </c>
      <c r="J294" s="4">
        <v>10</v>
      </c>
      <c r="K294" s="4">
        <v>11</v>
      </c>
      <c r="L294" s="3" t="s">
        <v>14</v>
      </c>
      <c r="M294" s="2" t="s">
        <v>15</v>
      </c>
      <c r="O294" s="69"/>
    </row>
    <row r="295" spans="1:15" x14ac:dyDescent="0.25">
      <c r="A295" s="5"/>
      <c r="B295" s="32" t="s">
        <v>16</v>
      </c>
      <c r="C295" s="32" t="s">
        <v>17</v>
      </c>
      <c r="D295" s="32" t="s">
        <v>17</v>
      </c>
      <c r="E295" s="32" t="s">
        <v>17</v>
      </c>
      <c r="F295" s="33">
        <f>F296+F297+F298</f>
        <v>3.3</v>
      </c>
      <c r="G295" s="8" t="s">
        <v>17</v>
      </c>
      <c r="H295" s="34">
        <f>H296+H297+H298</f>
        <v>72632</v>
      </c>
      <c r="I295" s="34">
        <f t="shared" ref="I295:J295" si="29">I296+I297+I298</f>
        <v>3025</v>
      </c>
      <c r="J295" s="34">
        <f t="shared" si="29"/>
        <v>3933</v>
      </c>
      <c r="K295" s="34">
        <f>K296+K297+K298</f>
        <v>1708</v>
      </c>
      <c r="L295" s="34">
        <f t="shared" ref="L295" si="30">L296+L297+L298</f>
        <v>18776</v>
      </c>
      <c r="M295" s="34">
        <f>M296+M297+M298</f>
        <v>100074</v>
      </c>
    </row>
    <row r="296" spans="1:15" x14ac:dyDescent="0.25">
      <c r="A296" s="19">
        <v>1</v>
      </c>
      <c r="B296" s="16" t="s">
        <v>99</v>
      </c>
      <c r="C296" s="12" t="s">
        <v>25</v>
      </c>
      <c r="D296" s="17">
        <v>9</v>
      </c>
      <c r="E296" s="134">
        <v>1900</v>
      </c>
      <c r="F296" s="17">
        <v>2</v>
      </c>
      <c r="G296" s="18">
        <v>12</v>
      </c>
      <c r="H296" s="15">
        <f>ROUND(E296*F296*G296,0)</f>
        <v>45600</v>
      </c>
      <c r="I296" s="15">
        <f t="shared" ref="I296:I298" si="31">ROUNDDOWN(E296*F296*0.5,0)</f>
        <v>1900</v>
      </c>
      <c r="J296" s="15">
        <f t="shared" ref="J296:J298" si="32">ROUNDDOWN(E296*F296*0.65,0)</f>
        <v>2470</v>
      </c>
      <c r="K296" s="15">
        <f>ROUND(426.863*F296,0)</f>
        <v>854</v>
      </c>
      <c r="L296" s="15">
        <f>ROUNDUP((H296+I296+J296)*0.2359,0)</f>
        <v>11788</v>
      </c>
      <c r="M296" s="67">
        <f>H296+I296+J296+L296+K296</f>
        <v>62612</v>
      </c>
    </row>
    <row r="297" spans="1:15" x14ac:dyDescent="0.25">
      <c r="A297" s="19">
        <v>2</v>
      </c>
      <c r="B297" s="16" t="s">
        <v>100</v>
      </c>
      <c r="C297" s="12" t="s">
        <v>27</v>
      </c>
      <c r="D297" s="17">
        <v>9</v>
      </c>
      <c r="E297" s="134">
        <v>1653</v>
      </c>
      <c r="F297" s="17">
        <v>1</v>
      </c>
      <c r="G297" s="18">
        <v>12</v>
      </c>
      <c r="H297" s="15">
        <f t="shared" ref="H297:H298" si="33">ROUND(E297*F297*G297,0)</f>
        <v>19836</v>
      </c>
      <c r="I297" s="15">
        <f t="shared" si="31"/>
        <v>826</v>
      </c>
      <c r="J297" s="15">
        <f t="shared" si="32"/>
        <v>1074</v>
      </c>
      <c r="K297" s="15">
        <f t="shared" ref="K297" si="34">ROUND(426.863*F297,0)</f>
        <v>427</v>
      </c>
      <c r="L297" s="15">
        <f t="shared" ref="L297:L298" si="35">ROUNDUP((H297+I297+J297)*0.2359,0)</f>
        <v>5128</v>
      </c>
      <c r="M297" s="67">
        <f>H297+I297+J297+L297+K297</f>
        <v>27291</v>
      </c>
    </row>
    <row r="298" spans="1:15" x14ac:dyDescent="0.25">
      <c r="A298" s="19">
        <v>3</v>
      </c>
      <c r="B298" s="16" t="s">
        <v>30</v>
      </c>
      <c r="C298" s="12" t="s">
        <v>31</v>
      </c>
      <c r="D298" s="17">
        <v>10</v>
      </c>
      <c r="E298" s="134">
        <v>1999</v>
      </c>
      <c r="F298" s="17">
        <v>0.3</v>
      </c>
      <c r="G298" s="18">
        <v>12</v>
      </c>
      <c r="H298" s="15">
        <f t="shared" si="33"/>
        <v>7196</v>
      </c>
      <c r="I298" s="15">
        <f t="shared" si="31"/>
        <v>299</v>
      </c>
      <c r="J298" s="15">
        <f t="shared" si="32"/>
        <v>389</v>
      </c>
      <c r="K298" s="15">
        <f>ROUND(426.863,0)</f>
        <v>427</v>
      </c>
      <c r="L298" s="15">
        <f t="shared" si="35"/>
        <v>1860</v>
      </c>
      <c r="M298" s="67">
        <f>H298+I298+J298+L298+K298</f>
        <v>10171</v>
      </c>
    </row>
    <row r="300" spans="1:15" x14ac:dyDescent="0.25">
      <c r="A300" s="76" t="s">
        <v>101</v>
      </c>
      <c r="B300" s="77"/>
      <c r="C300" s="76"/>
      <c r="D300" s="76"/>
      <c r="E300" s="76"/>
      <c r="F300" s="76"/>
      <c r="G300" s="76"/>
      <c r="H300" s="76"/>
      <c r="I300" s="76"/>
      <c r="J300" s="76"/>
      <c r="K300" s="76"/>
      <c r="L300" s="76"/>
      <c r="M300" s="76"/>
    </row>
    <row r="301" spans="1:15" ht="28.15" customHeight="1" x14ac:dyDescent="0.25">
      <c r="A301" s="139" t="s">
        <v>102</v>
      </c>
      <c r="B301" s="139"/>
      <c r="C301" s="139"/>
      <c r="D301" s="139"/>
      <c r="E301" s="139"/>
      <c r="F301" s="139"/>
      <c r="G301" s="139"/>
      <c r="H301" s="139"/>
      <c r="I301" s="139"/>
      <c r="J301" s="139"/>
      <c r="K301" s="139"/>
      <c r="L301" s="139"/>
      <c r="M301" s="139"/>
    </row>
    <row r="303" spans="1:15" ht="13.9" customHeight="1" x14ac:dyDescent="0.25">
      <c r="A303" s="154" t="s">
        <v>35</v>
      </c>
      <c r="B303" s="154"/>
    </row>
    <row r="304" spans="1:15" x14ac:dyDescent="0.25">
      <c r="A304" s="23" t="s">
        <v>110</v>
      </c>
      <c r="B304" s="23"/>
      <c r="C304" s="23"/>
      <c r="D304" s="23"/>
      <c r="E304" s="23"/>
      <c r="F304" s="23"/>
      <c r="G304" s="23"/>
      <c r="H304" s="23"/>
      <c r="I304" s="23"/>
      <c r="J304" s="23"/>
      <c r="K304" s="23"/>
      <c r="L304" s="23"/>
    </row>
    <row r="305" spans="1:13" x14ac:dyDescent="0.25">
      <c r="A305" s="23"/>
      <c r="B305" s="23"/>
      <c r="C305" s="23"/>
      <c r="D305" s="23"/>
      <c r="E305" s="23"/>
      <c r="F305" s="23"/>
      <c r="G305" s="23"/>
      <c r="H305" s="23"/>
      <c r="I305" s="23"/>
      <c r="J305" s="23"/>
      <c r="K305" s="23"/>
      <c r="L305" s="23"/>
    </row>
    <row r="306" spans="1:13" x14ac:dyDescent="0.25">
      <c r="A306" s="155" t="s">
        <v>111</v>
      </c>
      <c r="B306" s="156"/>
      <c r="C306" s="156"/>
      <c r="D306" s="157"/>
      <c r="E306" s="24">
        <f>D319</f>
        <v>34232</v>
      </c>
      <c r="F306" s="52"/>
      <c r="G306" s="25"/>
      <c r="H306" s="25"/>
      <c r="I306" s="25"/>
      <c r="J306" s="25"/>
      <c r="K306" s="25"/>
      <c r="L306" s="25"/>
    </row>
    <row r="307" spans="1:13" x14ac:dyDescent="0.25">
      <c r="A307" s="155" t="s">
        <v>112</v>
      </c>
      <c r="B307" s="156"/>
      <c r="C307" s="156"/>
      <c r="D307" s="157"/>
      <c r="E307" s="24">
        <f>B333</f>
        <v>30957.599999999999</v>
      </c>
      <c r="F307" s="25"/>
      <c r="G307" s="25"/>
      <c r="H307" s="25"/>
      <c r="I307" s="25"/>
      <c r="J307" s="25"/>
      <c r="K307" s="25"/>
      <c r="L307" s="25"/>
    </row>
    <row r="308" spans="1:13" x14ac:dyDescent="0.25">
      <c r="A308" s="149" t="s">
        <v>113</v>
      </c>
      <c r="B308" s="150"/>
      <c r="C308" s="150"/>
      <c r="D308" s="151"/>
      <c r="E308" s="24">
        <f>1680+1920</f>
        <v>3600</v>
      </c>
      <c r="F308" s="25"/>
      <c r="G308" s="25"/>
      <c r="H308" s="25"/>
      <c r="I308" s="25"/>
      <c r="J308" s="25"/>
      <c r="K308" s="25"/>
      <c r="L308" s="25"/>
    </row>
    <row r="309" spans="1:13" x14ac:dyDescent="0.25">
      <c r="A309" s="144" t="s">
        <v>40</v>
      </c>
      <c r="B309" s="152"/>
      <c r="C309" s="152"/>
      <c r="D309" s="145"/>
      <c r="E309" s="53">
        <f>E306+E307+E308</f>
        <v>68789.600000000006</v>
      </c>
      <c r="F309" s="40"/>
      <c r="G309" s="40"/>
      <c r="H309" s="40"/>
      <c r="I309" s="40"/>
      <c r="J309" s="40"/>
      <c r="K309" s="40"/>
      <c r="L309" s="40"/>
    </row>
    <row r="310" spans="1:13" x14ac:dyDescent="0.25">
      <c r="A310" s="38"/>
      <c r="B310" s="38"/>
      <c r="C310" s="38"/>
      <c r="D310" s="38"/>
      <c r="E310" s="54"/>
      <c r="F310" s="40"/>
      <c r="G310" s="40"/>
      <c r="H310" s="40"/>
      <c r="I310" s="40"/>
      <c r="J310" s="40"/>
      <c r="K310" s="40"/>
      <c r="L310" s="40"/>
    </row>
    <row r="311" spans="1:13" ht="168" customHeight="1" x14ac:dyDescent="0.25">
      <c r="A311" s="153" t="s">
        <v>222</v>
      </c>
      <c r="B311" s="153"/>
      <c r="C311" s="153"/>
      <c r="D311" s="153"/>
      <c r="E311" s="153"/>
      <c r="F311" s="153"/>
      <c r="G311" s="153"/>
      <c r="H311" s="153"/>
      <c r="I311" s="153"/>
      <c r="J311" s="153"/>
      <c r="K311" s="153"/>
      <c r="L311" s="153"/>
      <c r="M311" s="153"/>
    </row>
    <row r="312" spans="1:13" ht="16.149999999999999" customHeight="1" x14ac:dyDescent="0.25">
      <c r="A312" s="126"/>
      <c r="B312" s="126"/>
      <c r="C312" s="126"/>
      <c r="D312" s="126"/>
      <c r="E312" s="126"/>
      <c r="F312" s="126"/>
      <c r="G312" s="126"/>
      <c r="H312" s="126"/>
      <c r="I312" s="126"/>
      <c r="J312" s="126"/>
      <c r="K312" s="126"/>
      <c r="L312" s="126"/>
      <c r="M312" s="126"/>
    </row>
    <row r="313" spans="1:13" ht="16.149999999999999" customHeight="1" x14ac:dyDescent="0.25">
      <c r="A313" s="70" t="s">
        <v>44</v>
      </c>
      <c r="B313" s="126"/>
      <c r="C313" s="126"/>
      <c r="D313" s="126"/>
      <c r="E313" s="126"/>
      <c r="F313" s="126"/>
      <c r="G313" s="126"/>
      <c r="H313" s="126"/>
      <c r="I313" s="126"/>
      <c r="J313" s="126"/>
      <c r="K313" s="126"/>
      <c r="L313" s="126"/>
      <c r="M313" s="126"/>
    </row>
    <row r="314" spans="1:13" ht="16.149999999999999" customHeight="1" x14ac:dyDescent="0.25">
      <c r="A314" s="126"/>
      <c r="B314" s="126"/>
      <c r="C314" s="126"/>
      <c r="D314" s="126"/>
      <c r="E314" s="126"/>
      <c r="F314" s="126"/>
      <c r="G314" s="126"/>
      <c r="H314" s="126"/>
      <c r="I314" s="126"/>
      <c r="J314" s="126"/>
      <c r="K314" s="126"/>
      <c r="L314" s="126"/>
      <c r="M314" s="126"/>
    </row>
    <row r="315" spans="1:13" ht="16.149999999999999" customHeight="1" x14ac:dyDescent="0.25">
      <c r="A315" s="12" t="s">
        <v>176</v>
      </c>
      <c r="B315" s="127"/>
      <c r="C315" s="127"/>
      <c r="D315" s="28">
        <f>128*198</f>
        <v>25344</v>
      </c>
      <c r="E315" s="126"/>
      <c r="F315" s="126"/>
      <c r="G315" s="126"/>
      <c r="H315" s="126"/>
      <c r="I315" s="126"/>
      <c r="J315" s="126"/>
      <c r="K315" s="126"/>
      <c r="L315" s="126"/>
      <c r="M315" s="126"/>
    </row>
    <row r="316" spans="1:13" ht="16.149999999999999" customHeight="1" x14ac:dyDescent="0.25">
      <c r="A316" s="12" t="s">
        <v>177</v>
      </c>
      <c r="B316" s="127"/>
      <c r="C316" s="127"/>
      <c r="D316" s="28">
        <f>30*68</f>
        <v>2040</v>
      </c>
      <c r="E316" s="126"/>
      <c r="F316" s="126"/>
      <c r="G316" s="126"/>
      <c r="H316" s="126"/>
      <c r="I316" s="126"/>
      <c r="J316" s="126"/>
      <c r="K316" s="126"/>
      <c r="L316" s="126"/>
      <c r="M316" s="126"/>
    </row>
    <row r="317" spans="1:13" ht="16.149999999999999" customHeight="1" x14ac:dyDescent="0.25">
      <c r="A317" s="12" t="s">
        <v>193</v>
      </c>
      <c r="B317" s="127"/>
      <c r="C317" s="127"/>
      <c r="D317" s="28">
        <f>16*68</f>
        <v>1088</v>
      </c>
      <c r="E317" s="126"/>
      <c r="F317" s="126"/>
      <c r="G317" s="126"/>
      <c r="H317" s="126"/>
      <c r="I317" s="126"/>
      <c r="J317" s="126"/>
      <c r="K317" s="126"/>
      <c r="L317" s="126"/>
      <c r="M317" s="126"/>
    </row>
    <row r="318" spans="1:13" ht="16.149999999999999" customHeight="1" x14ac:dyDescent="0.25">
      <c r="A318" s="12" t="s">
        <v>223</v>
      </c>
      <c r="B318" s="127"/>
      <c r="C318" s="127"/>
      <c r="D318" s="28">
        <f>480*12</f>
        <v>5760</v>
      </c>
      <c r="E318" s="126"/>
      <c r="F318" s="126"/>
      <c r="G318" s="126"/>
      <c r="H318" s="126"/>
      <c r="I318" s="126"/>
      <c r="J318" s="126"/>
      <c r="K318" s="126"/>
      <c r="L318" s="126"/>
      <c r="M318" s="126"/>
    </row>
    <row r="319" spans="1:13" ht="16.149999999999999" customHeight="1" x14ac:dyDescent="0.25">
      <c r="A319" s="126"/>
      <c r="B319" s="126"/>
      <c r="C319" s="29" t="s">
        <v>40</v>
      </c>
      <c r="D319" s="30">
        <f>SUM(D315:D318)</f>
        <v>34232</v>
      </c>
      <c r="E319" s="126"/>
      <c r="F319" s="126"/>
      <c r="G319" s="126"/>
      <c r="H319" s="126"/>
      <c r="I319" s="126"/>
      <c r="J319" s="126"/>
      <c r="K319" s="126"/>
      <c r="L319" s="126"/>
      <c r="M319" s="126"/>
    </row>
    <row r="320" spans="1:13" ht="16.149999999999999" customHeight="1" x14ac:dyDescent="0.25">
      <c r="A320" s="70"/>
      <c r="B320" s="126"/>
      <c r="C320" s="126"/>
      <c r="D320" s="126"/>
      <c r="E320" s="126"/>
      <c r="F320" s="126"/>
      <c r="G320" s="126"/>
      <c r="H320" s="126"/>
      <c r="I320" s="126"/>
      <c r="J320" s="126"/>
      <c r="K320" s="126"/>
      <c r="L320" s="126"/>
      <c r="M320" s="126"/>
    </row>
    <row r="321" spans="1:13" ht="27.6" customHeight="1" x14ac:dyDescent="0.25">
      <c r="A321" s="142" t="s">
        <v>160</v>
      </c>
      <c r="B321" s="142"/>
      <c r="C321" s="142"/>
      <c r="D321" s="142"/>
      <c r="E321" s="142"/>
      <c r="F321" s="142"/>
      <c r="G321" s="142"/>
      <c r="H321" s="142"/>
      <c r="I321" s="142"/>
      <c r="J321" s="142"/>
      <c r="K321" s="142"/>
      <c r="L321" s="142"/>
      <c r="M321" s="142"/>
    </row>
    <row r="322" spans="1:13" ht="43.15" customHeight="1" x14ac:dyDescent="0.25">
      <c r="A322" s="163" t="s">
        <v>205</v>
      </c>
      <c r="B322" s="163"/>
      <c r="C322" s="163"/>
      <c r="D322" s="163"/>
      <c r="E322" s="163"/>
      <c r="F322" s="163"/>
      <c r="G322" s="163"/>
      <c r="H322" s="163"/>
      <c r="I322" s="163"/>
      <c r="J322" s="163"/>
      <c r="K322" s="163"/>
      <c r="L322" s="163"/>
      <c r="M322" s="163"/>
    </row>
    <row r="323" spans="1:13" ht="16.149999999999999" customHeight="1" x14ac:dyDescent="0.25">
      <c r="A323" s="126"/>
      <c r="B323" s="126"/>
      <c r="C323" s="126"/>
      <c r="D323" s="126"/>
      <c r="E323" s="126"/>
      <c r="F323" s="126"/>
      <c r="G323" s="126"/>
      <c r="H323" s="126"/>
      <c r="I323" s="126"/>
      <c r="J323" s="126"/>
      <c r="K323" s="126"/>
      <c r="L323" s="126"/>
      <c r="M323" s="126"/>
    </row>
    <row r="324" spans="1:13" x14ac:dyDescent="0.25">
      <c r="A324" s="70" t="s">
        <v>158</v>
      </c>
      <c r="B324" s="121"/>
      <c r="C324" s="121"/>
      <c r="D324" s="121"/>
      <c r="E324" s="121"/>
      <c r="F324" s="121"/>
      <c r="G324" s="121"/>
      <c r="H324" s="121"/>
      <c r="I324" s="121"/>
      <c r="J324" s="121"/>
      <c r="K324" s="126"/>
      <c r="L324" s="126"/>
      <c r="M324" s="126"/>
    </row>
    <row r="325" spans="1:13" x14ac:dyDescent="0.25">
      <c r="A325" s="20" t="s">
        <v>114</v>
      </c>
      <c r="B325" s="121"/>
      <c r="C325" s="121"/>
      <c r="D325" s="121"/>
      <c r="E325" s="121"/>
      <c r="F325" s="121"/>
      <c r="G325" s="121"/>
      <c r="H325" s="121"/>
      <c r="I325" s="121"/>
      <c r="J325" s="121"/>
      <c r="K325" s="126"/>
      <c r="L325" s="126"/>
      <c r="M325" s="126"/>
    </row>
    <row r="326" spans="1:13" ht="28.15" customHeight="1" x14ac:dyDescent="0.25">
      <c r="A326" s="143" t="s">
        <v>198</v>
      </c>
      <c r="B326" s="143"/>
      <c r="C326" s="143"/>
      <c r="D326" s="143"/>
      <c r="E326" s="143"/>
      <c r="F326" s="143"/>
      <c r="G326" s="143"/>
      <c r="H326" s="143"/>
      <c r="I326" s="143"/>
      <c r="J326" s="143"/>
      <c r="K326" s="126"/>
      <c r="L326" s="126"/>
      <c r="M326" s="126"/>
    </row>
    <row r="327" spans="1:13" x14ac:dyDescent="0.25">
      <c r="A327" s="143" t="s">
        <v>178</v>
      </c>
      <c r="B327" s="143"/>
      <c r="C327" s="143"/>
      <c r="D327" s="143"/>
      <c r="E327" s="143"/>
      <c r="F327" s="143"/>
      <c r="G327" s="143"/>
      <c r="H327" s="143"/>
      <c r="I327" s="143"/>
      <c r="J327" s="143"/>
      <c r="K327" s="126"/>
      <c r="L327" s="126"/>
      <c r="M327" s="126"/>
    </row>
    <row r="328" spans="1:13" x14ac:dyDescent="0.25">
      <c r="A328" s="143" t="s">
        <v>224</v>
      </c>
      <c r="B328" s="143"/>
      <c r="C328" s="143"/>
      <c r="D328" s="143"/>
      <c r="E328" s="143"/>
      <c r="F328" s="143"/>
      <c r="G328" s="143"/>
      <c r="H328" s="143"/>
      <c r="I328" s="143"/>
      <c r="J328" s="143"/>
      <c r="K328" s="126"/>
      <c r="L328" s="126"/>
      <c r="M328" s="126"/>
    </row>
    <row r="329" spans="1:13" x14ac:dyDescent="0.25">
      <c r="A329" s="71"/>
      <c r="B329" s="121"/>
      <c r="C329" s="121"/>
      <c r="D329" s="121"/>
      <c r="E329" s="121"/>
      <c r="F329" s="121"/>
      <c r="G329" s="121"/>
      <c r="H329" s="121"/>
      <c r="I329" s="121"/>
      <c r="J329" s="72"/>
      <c r="K329" s="126"/>
      <c r="L329" s="126"/>
      <c r="M329" s="126"/>
    </row>
    <row r="330" spans="1:13" x14ac:dyDescent="0.25">
      <c r="A330" s="71">
        <v>1</v>
      </c>
      <c r="B330" s="125">
        <f>150*73.4</f>
        <v>11010</v>
      </c>
      <c r="C330" s="121"/>
      <c r="D330" s="121"/>
      <c r="E330" s="121"/>
      <c r="F330" s="121"/>
      <c r="G330" s="121"/>
      <c r="H330" s="121"/>
      <c r="I330" s="121"/>
      <c r="J330" s="72"/>
      <c r="K330" s="126"/>
      <c r="L330" s="126"/>
      <c r="M330" s="126"/>
    </row>
    <row r="331" spans="1:13" x14ac:dyDescent="0.25">
      <c r="A331" s="71">
        <v>2</v>
      </c>
      <c r="B331" s="125">
        <f>100*150</f>
        <v>15000</v>
      </c>
      <c r="C331" s="121"/>
      <c r="D331" s="121"/>
      <c r="E331" s="121"/>
      <c r="F331" s="121"/>
      <c r="G331" s="121"/>
      <c r="H331" s="121"/>
      <c r="I331" s="121"/>
      <c r="J331" s="72"/>
      <c r="K331" s="126"/>
      <c r="L331" s="126"/>
      <c r="M331" s="126"/>
    </row>
    <row r="332" spans="1:13" x14ac:dyDescent="0.25">
      <c r="A332" s="71">
        <v>3</v>
      </c>
      <c r="B332" s="125">
        <f>412.3*12</f>
        <v>4947.6000000000004</v>
      </c>
      <c r="C332" s="121"/>
      <c r="D332" s="121"/>
      <c r="E332" s="121"/>
      <c r="F332" s="121"/>
      <c r="G332" s="121"/>
      <c r="H332" s="121"/>
      <c r="I332" s="121"/>
      <c r="J332" s="72"/>
      <c r="K332" s="126"/>
      <c r="L332" s="126"/>
      <c r="M332" s="126"/>
    </row>
    <row r="333" spans="1:13" x14ac:dyDescent="0.25">
      <c r="A333" s="74" t="s">
        <v>40</v>
      </c>
      <c r="B333" s="30">
        <f>SUM(B330:B332)</f>
        <v>30957.599999999999</v>
      </c>
      <c r="C333" s="121"/>
      <c r="D333" s="121"/>
      <c r="E333" s="121"/>
      <c r="F333" s="94"/>
      <c r="G333" s="121"/>
      <c r="H333" s="121"/>
      <c r="I333" s="121"/>
      <c r="J333" s="121"/>
      <c r="K333" s="126"/>
      <c r="L333" s="126"/>
      <c r="M333" s="126"/>
    </row>
    <row r="334" spans="1:13" x14ac:dyDescent="0.25">
      <c r="A334" s="74"/>
      <c r="B334" s="75"/>
      <c r="C334" s="121"/>
      <c r="D334" s="121"/>
      <c r="E334" s="121"/>
      <c r="F334" s="121"/>
      <c r="G334" s="121"/>
      <c r="H334" s="121"/>
      <c r="I334" s="121"/>
      <c r="J334" s="121"/>
      <c r="K334" s="126"/>
      <c r="L334" s="126"/>
      <c r="M334" s="126"/>
    </row>
    <row r="335" spans="1:13" x14ac:dyDescent="0.25">
      <c r="A335" s="74"/>
      <c r="B335" s="75"/>
      <c r="C335" s="121"/>
      <c r="D335" s="121"/>
      <c r="E335" s="121"/>
      <c r="F335" s="121"/>
      <c r="G335" s="121"/>
      <c r="H335" s="121"/>
      <c r="I335" s="121"/>
      <c r="J335" s="121"/>
      <c r="K335" s="126"/>
      <c r="L335" s="126"/>
      <c r="M335" s="126"/>
    </row>
    <row r="336" spans="1:13" ht="23.45" customHeight="1" x14ac:dyDescent="0.25">
      <c r="A336" s="142" t="s">
        <v>115</v>
      </c>
      <c r="B336" s="142"/>
      <c r="C336" s="142"/>
      <c r="D336" s="142"/>
      <c r="E336" s="142"/>
      <c r="F336" s="142"/>
      <c r="G336" s="142"/>
      <c r="H336" s="142"/>
      <c r="I336" s="142"/>
      <c r="J336" s="142"/>
      <c r="K336" s="126"/>
      <c r="L336" s="126"/>
      <c r="M336" s="126"/>
    </row>
    <row r="337" spans="1:13" ht="16.149999999999999" customHeight="1" x14ac:dyDescent="0.25">
      <c r="A337" s="136" t="s">
        <v>206</v>
      </c>
      <c r="B337" s="136"/>
      <c r="C337" s="136"/>
      <c r="D337" s="136"/>
      <c r="E337" s="136"/>
      <c r="F337" s="136"/>
      <c r="G337" s="136"/>
      <c r="H337" s="136"/>
      <c r="I337" s="136"/>
      <c r="J337" s="136"/>
      <c r="K337" s="136"/>
      <c r="L337" s="136"/>
      <c r="M337" s="126"/>
    </row>
    <row r="338" spans="1:13" ht="70.900000000000006" customHeight="1" x14ac:dyDescent="0.25">
      <c r="A338" s="136"/>
      <c r="B338" s="136"/>
      <c r="C338" s="136"/>
      <c r="D338" s="136"/>
      <c r="E338" s="136"/>
      <c r="F338" s="136"/>
      <c r="G338" s="136"/>
      <c r="H338" s="136"/>
      <c r="I338" s="136"/>
      <c r="J338" s="136"/>
      <c r="K338" s="136"/>
      <c r="L338" s="136"/>
      <c r="M338" s="126"/>
    </row>
    <row r="339" spans="1:13" ht="14.45" customHeight="1" x14ac:dyDescent="0.25">
      <c r="A339" s="126"/>
      <c r="B339" s="126"/>
      <c r="C339" s="126"/>
      <c r="D339" s="126"/>
      <c r="E339" s="126"/>
      <c r="F339" s="126"/>
      <c r="G339" s="126"/>
      <c r="H339" s="126"/>
      <c r="I339" s="126"/>
      <c r="J339" s="126"/>
      <c r="K339" s="126"/>
      <c r="L339" s="126"/>
      <c r="M339" s="126"/>
    </row>
    <row r="340" spans="1:13" x14ac:dyDescent="0.25">
      <c r="A340" s="31" t="s">
        <v>49</v>
      </c>
      <c r="D340" s="38"/>
      <c r="E340" s="69"/>
      <c r="F340" s="40"/>
      <c r="G340" s="40"/>
      <c r="H340" s="40"/>
      <c r="I340" s="40"/>
      <c r="J340" s="40"/>
      <c r="K340" s="40"/>
      <c r="L340" s="40"/>
    </row>
    <row r="341" spans="1:13" x14ac:dyDescent="0.25">
      <c r="A341" s="144" t="s">
        <v>50</v>
      </c>
      <c r="B341" s="145"/>
      <c r="C341" s="41">
        <f>M295</f>
        <v>100074</v>
      </c>
      <c r="D341" s="38"/>
      <c r="E341" s="69"/>
      <c r="F341" s="40"/>
      <c r="G341" s="40"/>
      <c r="H341" s="40"/>
      <c r="I341" s="40"/>
      <c r="J341" s="40"/>
      <c r="K341" s="40"/>
      <c r="L341" s="40"/>
    </row>
    <row r="342" spans="1:13" x14ac:dyDescent="0.25">
      <c r="A342" s="144" t="s">
        <v>51</v>
      </c>
      <c r="B342" s="145"/>
      <c r="C342" s="41">
        <f>E309</f>
        <v>68789.600000000006</v>
      </c>
      <c r="D342" s="38"/>
      <c r="E342" s="69"/>
      <c r="F342" s="40"/>
      <c r="G342" s="40"/>
      <c r="H342" s="40"/>
      <c r="I342" s="40"/>
      <c r="J342" s="40"/>
      <c r="K342" s="40"/>
      <c r="L342" s="40"/>
    </row>
    <row r="343" spans="1:13" x14ac:dyDescent="0.25">
      <c r="A343" s="146" t="s">
        <v>40</v>
      </c>
      <c r="B343" s="147"/>
      <c r="C343" s="27">
        <f>C342+C341</f>
        <v>168863.6</v>
      </c>
      <c r="D343" s="38"/>
      <c r="E343" s="69"/>
      <c r="F343" s="40"/>
      <c r="G343" s="40"/>
      <c r="H343" s="40"/>
      <c r="I343" s="40"/>
      <c r="J343" s="40"/>
      <c r="K343" s="40"/>
      <c r="L343" s="40"/>
    </row>
    <row r="344" spans="1:13" x14ac:dyDescent="0.25">
      <c r="A344" s="40"/>
      <c r="B344" s="40"/>
      <c r="C344" s="40"/>
      <c r="D344" s="40"/>
      <c r="E344" s="40"/>
      <c r="F344" s="40"/>
      <c r="G344" s="40"/>
      <c r="H344" s="40"/>
      <c r="I344" s="40"/>
      <c r="J344" s="40"/>
      <c r="K344" s="40"/>
      <c r="L344" s="40"/>
    </row>
    <row r="345" spans="1:13" x14ac:dyDescent="0.25">
      <c r="A345" s="40"/>
      <c r="B345" s="40"/>
      <c r="C345" s="40"/>
      <c r="D345" s="40"/>
      <c r="E345" s="40"/>
      <c r="F345" s="40"/>
      <c r="G345" s="40"/>
      <c r="H345" s="40"/>
      <c r="I345" s="40"/>
      <c r="J345" s="40"/>
      <c r="K345" s="40"/>
      <c r="L345" s="40"/>
    </row>
    <row r="347" spans="1:13" x14ac:dyDescent="0.25">
      <c r="A347" s="47" t="s">
        <v>116</v>
      </c>
    </row>
    <row r="348" spans="1:13" x14ac:dyDescent="0.25">
      <c r="A348" s="141" t="s">
        <v>117</v>
      </c>
      <c r="B348" s="141"/>
      <c r="C348" s="141"/>
      <c r="D348" s="141"/>
      <c r="E348" s="141"/>
      <c r="F348" s="141"/>
      <c r="G348" s="141"/>
    </row>
    <row r="349" spans="1:13" x14ac:dyDescent="0.25">
      <c r="A349" s="129"/>
      <c r="B349" s="129"/>
      <c r="C349" s="129"/>
      <c r="D349" s="129"/>
    </row>
    <row r="350" spans="1:13" ht="18" x14ac:dyDescent="0.25">
      <c r="A350" s="55" t="s">
        <v>62</v>
      </c>
      <c r="B350" s="95" t="s">
        <v>168</v>
      </c>
      <c r="C350" s="96" t="s">
        <v>63</v>
      </c>
      <c r="D350" s="95" t="s">
        <v>64</v>
      </c>
      <c r="E350" s="55" t="s">
        <v>65</v>
      </c>
      <c r="F350" s="49" t="s">
        <v>66</v>
      </c>
      <c r="G350" s="55" t="s">
        <v>67</v>
      </c>
    </row>
    <row r="351" spans="1:13" x14ac:dyDescent="0.25">
      <c r="A351" s="17">
        <v>2026</v>
      </c>
      <c r="B351" s="17">
        <v>150</v>
      </c>
      <c r="C351" s="17">
        <v>6.65</v>
      </c>
      <c r="D351" s="17">
        <v>6</v>
      </c>
      <c r="E351" s="125">
        <f>ROUND(B351*C351*D351,0)</f>
        <v>5985</v>
      </c>
      <c r="F351" s="17">
        <f>ROUND(E351*0.21,0)</f>
        <v>1257</v>
      </c>
      <c r="G351" s="125">
        <f>F351+E351</f>
        <v>7242</v>
      </c>
    </row>
    <row r="352" spans="1:13" x14ac:dyDescent="0.25">
      <c r="A352" s="17">
        <v>2027</v>
      </c>
      <c r="B352" s="17">
        <v>150</v>
      </c>
      <c r="C352" s="17">
        <v>6.65</v>
      </c>
      <c r="D352" s="17">
        <v>12</v>
      </c>
      <c r="E352" s="125">
        <f>ROUND(B352*C352*D352,0)</f>
        <v>11970</v>
      </c>
      <c r="F352" s="17">
        <f>ROUND(E352*0.21,0)</f>
        <v>2514</v>
      </c>
      <c r="G352" s="125">
        <f>F352+E352</f>
        <v>14484</v>
      </c>
    </row>
    <row r="353" spans="1:16" x14ac:dyDescent="0.25">
      <c r="A353" s="82"/>
      <c r="B353" s="82"/>
      <c r="C353" s="82"/>
      <c r="D353" s="82"/>
      <c r="E353" s="87"/>
      <c r="F353" s="82"/>
      <c r="G353" s="87"/>
    </row>
    <row r="354" spans="1:16" ht="43.15" customHeight="1" x14ac:dyDescent="0.25">
      <c r="A354" s="148" t="s">
        <v>201</v>
      </c>
      <c r="B354" s="148"/>
      <c r="C354" s="148"/>
      <c r="D354" s="148"/>
      <c r="E354" s="148"/>
      <c r="F354" s="148"/>
      <c r="G354" s="148"/>
      <c r="H354" s="148"/>
      <c r="I354" s="124"/>
      <c r="J354" s="124"/>
      <c r="K354" s="124"/>
    </row>
    <row r="355" spans="1:16" ht="14.45" customHeight="1" x14ac:dyDescent="0.25">
      <c r="A355" s="129"/>
      <c r="B355" s="129"/>
      <c r="C355" s="129"/>
      <c r="D355" s="129"/>
      <c r="E355" s="129"/>
      <c r="F355" s="129"/>
      <c r="G355" s="129"/>
      <c r="H355" s="129"/>
      <c r="I355" s="129"/>
      <c r="J355" s="129"/>
      <c r="K355" s="129"/>
      <c r="P355" s="22"/>
    </row>
    <row r="356" spans="1:16" ht="14.45" customHeight="1" x14ac:dyDescent="0.25">
      <c r="A356" s="46" t="s">
        <v>118</v>
      </c>
      <c r="B356" s="129"/>
      <c r="C356" s="129"/>
      <c r="D356" s="129"/>
      <c r="E356" s="129"/>
      <c r="F356" s="129"/>
      <c r="G356" s="129"/>
      <c r="H356" s="129"/>
      <c r="I356" s="129"/>
      <c r="J356" s="129"/>
      <c r="K356" s="129"/>
    </row>
    <row r="357" spans="1:16" x14ac:dyDescent="0.25">
      <c r="A357" s="140" t="s">
        <v>119</v>
      </c>
      <c r="B357" s="140"/>
      <c r="C357" s="140"/>
      <c r="D357" s="140"/>
      <c r="E357" s="140"/>
      <c r="F357" s="140"/>
      <c r="G357" s="140"/>
    </row>
    <row r="358" spans="1:16" x14ac:dyDescent="0.25">
      <c r="A358" s="20" t="s">
        <v>120</v>
      </c>
    </row>
    <row r="359" spans="1:16" ht="45" x14ac:dyDescent="0.25">
      <c r="A359" s="55" t="s">
        <v>62</v>
      </c>
      <c r="B359" s="97" t="s">
        <v>169</v>
      </c>
      <c r="C359" s="98" t="s">
        <v>63</v>
      </c>
      <c r="D359" s="49" t="s">
        <v>71</v>
      </c>
      <c r="E359" s="95" t="s">
        <v>64</v>
      </c>
      <c r="F359" s="55" t="s">
        <v>65</v>
      </c>
      <c r="G359" s="98" t="s">
        <v>66</v>
      </c>
      <c r="H359" s="55" t="s">
        <v>67</v>
      </c>
    </row>
    <row r="360" spans="1:16" x14ac:dyDescent="0.25">
      <c r="A360" s="55">
        <v>2026</v>
      </c>
      <c r="B360" s="55">
        <v>150</v>
      </c>
      <c r="C360" s="55">
        <v>4.97</v>
      </c>
      <c r="D360" s="55">
        <f>B360*C360</f>
        <v>745.5</v>
      </c>
      <c r="E360" s="55">
        <v>6</v>
      </c>
      <c r="F360" s="56">
        <f>ROUND(E360*D360,0)</f>
        <v>4473</v>
      </c>
      <c r="G360" s="55">
        <f>ROUND(F360*0.21,0)</f>
        <v>939</v>
      </c>
      <c r="H360" s="56">
        <f>G360+F360</f>
        <v>5412</v>
      </c>
    </row>
    <row r="361" spans="1:16" x14ac:dyDescent="0.25">
      <c r="A361" s="55">
        <v>2027</v>
      </c>
      <c r="B361" s="55">
        <v>150</v>
      </c>
      <c r="C361" s="55">
        <v>4.97</v>
      </c>
      <c r="D361" s="55">
        <f>B361*C361</f>
        <v>745.5</v>
      </c>
      <c r="E361" s="55">
        <v>12</v>
      </c>
      <c r="F361" s="56">
        <f>ROUND(E361*D361,0)</f>
        <v>8946</v>
      </c>
      <c r="G361" s="55">
        <f>ROUND(F361*0.21,0)</f>
        <v>1879</v>
      </c>
      <c r="H361" s="56">
        <f>G361+F361</f>
        <v>10825</v>
      </c>
    </row>
    <row r="363" spans="1:16" x14ac:dyDescent="0.25">
      <c r="A363" s="76" t="s">
        <v>199</v>
      </c>
    </row>
    <row r="365" spans="1:16" x14ac:dyDescent="0.25">
      <c r="A365" s="47" t="s">
        <v>121</v>
      </c>
    </row>
    <row r="366" spans="1:16" x14ac:dyDescent="0.25">
      <c r="A366" s="47"/>
    </row>
    <row r="367" spans="1:16" x14ac:dyDescent="0.25">
      <c r="A367" s="141" t="s">
        <v>122</v>
      </c>
      <c r="B367" s="141"/>
      <c r="C367" s="141"/>
      <c r="D367" s="141"/>
      <c r="E367" s="141"/>
      <c r="F367" s="141"/>
      <c r="G367" s="141"/>
    </row>
    <row r="368" spans="1:16" x14ac:dyDescent="0.25">
      <c r="A368" s="120"/>
      <c r="B368" s="120"/>
      <c r="C368" s="120"/>
      <c r="D368" s="120"/>
      <c r="E368" s="120"/>
      <c r="F368" s="120"/>
      <c r="G368" s="120"/>
    </row>
    <row r="369" spans="1:11" ht="30" x14ac:dyDescent="0.25">
      <c r="A369" s="78" t="s">
        <v>62</v>
      </c>
      <c r="B369" s="118" t="s">
        <v>73</v>
      </c>
      <c r="C369" s="118" t="s">
        <v>74</v>
      </c>
      <c r="D369" s="118" t="s">
        <v>75</v>
      </c>
      <c r="E369" s="118" t="s">
        <v>76</v>
      </c>
      <c r="F369" s="118" t="s">
        <v>40</v>
      </c>
      <c r="G369" s="98" t="s">
        <v>66</v>
      </c>
      <c r="H369" s="55" t="s">
        <v>67</v>
      </c>
    </row>
    <row r="370" spans="1:11" x14ac:dyDescent="0.25">
      <c r="A370" s="12">
        <v>2026</v>
      </c>
      <c r="B370" s="17">
        <v>6</v>
      </c>
      <c r="C370" s="125">
        <v>720</v>
      </c>
      <c r="D370" s="125">
        <v>720</v>
      </c>
      <c r="E370" s="125">
        <v>750</v>
      </c>
      <c r="F370" s="125">
        <f>C370+D370+E370</f>
        <v>2190</v>
      </c>
      <c r="G370" s="55">
        <f>ROUND(F370*0.21,0)</f>
        <v>460</v>
      </c>
      <c r="H370" s="56">
        <f>G370+F370</f>
        <v>2650</v>
      </c>
    </row>
    <row r="371" spans="1:11" x14ac:dyDescent="0.25">
      <c r="A371" s="12">
        <v>2027</v>
      </c>
      <c r="B371" s="17">
        <v>12</v>
      </c>
      <c r="C371" s="125">
        <f>720*2</f>
        <v>1440</v>
      </c>
      <c r="D371" s="125">
        <f>720*2</f>
        <v>1440</v>
      </c>
      <c r="E371" s="125">
        <f>750*2</f>
        <v>1500</v>
      </c>
      <c r="F371" s="125">
        <f>C371+D371+E371</f>
        <v>4380</v>
      </c>
      <c r="G371" s="55">
        <f>ROUND(F371*0.21,0)</f>
        <v>920</v>
      </c>
      <c r="H371" s="56">
        <f>G371+F371</f>
        <v>5300</v>
      </c>
    </row>
    <row r="373" spans="1:11" x14ac:dyDescent="0.25">
      <c r="A373" s="76" t="s">
        <v>123</v>
      </c>
      <c r="B373" s="77"/>
    </row>
    <row r="374" spans="1:11" ht="58.15" customHeight="1" x14ac:dyDescent="0.25">
      <c r="A374" s="142" t="s">
        <v>124</v>
      </c>
      <c r="B374" s="142"/>
      <c r="C374" s="142"/>
      <c r="D374" s="142"/>
      <c r="E374" s="142"/>
      <c r="F374" s="142"/>
      <c r="G374" s="142"/>
      <c r="H374" s="142"/>
      <c r="I374" s="142"/>
      <c r="J374" s="142"/>
      <c r="K374" s="142"/>
    </row>
    <row r="376" spans="1:11" x14ac:dyDescent="0.25">
      <c r="A376" s="47" t="s">
        <v>125</v>
      </c>
    </row>
    <row r="377" spans="1:11" x14ac:dyDescent="0.25">
      <c r="A377" s="47"/>
    </row>
    <row r="379" spans="1:11" x14ac:dyDescent="0.25">
      <c r="A379" s="141" t="s">
        <v>126</v>
      </c>
      <c r="B379" s="141"/>
      <c r="C379" s="141"/>
      <c r="D379" s="141"/>
      <c r="E379" s="141"/>
      <c r="F379" s="141"/>
      <c r="G379" s="141"/>
    </row>
    <row r="380" spans="1:11" x14ac:dyDescent="0.25">
      <c r="A380" s="120"/>
      <c r="B380" s="120"/>
      <c r="C380" s="120"/>
      <c r="D380" s="120"/>
      <c r="E380" s="120"/>
      <c r="F380" s="120"/>
      <c r="G380" s="120"/>
    </row>
    <row r="381" spans="1:11" x14ac:dyDescent="0.25">
      <c r="E381" s="49" t="s">
        <v>66</v>
      </c>
      <c r="F381" s="55" t="s">
        <v>67</v>
      </c>
    </row>
    <row r="382" spans="1:11" ht="43.15" customHeight="1" x14ac:dyDescent="0.25">
      <c r="A382" s="57">
        <v>1</v>
      </c>
      <c r="B382" s="137" t="s">
        <v>127</v>
      </c>
      <c r="C382" s="137"/>
      <c r="D382" s="58">
        <v>12000</v>
      </c>
      <c r="E382" s="41">
        <f>D382*0.21</f>
        <v>2520</v>
      </c>
      <c r="F382" s="41">
        <f>E382+D382</f>
        <v>14520</v>
      </c>
    </row>
    <row r="383" spans="1:11" ht="40.9" customHeight="1" x14ac:dyDescent="0.25">
      <c r="A383" s="57">
        <v>2</v>
      </c>
      <c r="B383" s="137" t="s">
        <v>128</v>
      </c>
      <c r="C383" s="137"/>
      <c r="D383" s="58">
        <v>15000</v>
      </c>
      <c r="E383" s="41">
        <f t="shared" ref="E383:E387" si="36">D383*0.21</f>
        <v>3150</v>
      </c>
      <c r="F383" s="41">
        <f t="shared" ref="F383:F387" si="37">E383+D383</f>
        <v>18150</v>
      </c>
    </row>
    <row r="384" spans="1:11" ht="48" customHeight="1" x14ac:dyDescent="0.25">
      <c r="A384" s="57">
        <v>3</v>
      </c>
      <c r="B384" s="137" t="s">
        <v>129</v>
      </c>
      <c r="C384" s="137"/>
      <c r="D384" s="58">
        <v>3000</v>
      </c>
      <c r="E384" s="41">
        <f t="shared" si="36"/>
        <v>630</v>
      </c>
      <c r="F384" s="41">
        <f t="shared" si="37"/>
        <v>3630</v>
      </c>
    </row>
    <row r="385" spans="1:12" ht="45.6" customHeight="1" x14ac:dyDescent="0.25">
      <c r="A385" s="57">
        <v>4</v>
      </c>
      <c r="B385" s="137" t="s">
        <v>130</v>
      </c>
      <c r="C385" s="137"/>
      <c r="D385" s="58">
        <v>8000</v>
      </c>
      <c r="E385" s="41">
        <f t="shared" si="36"/>
        <v>1680</v>
      </c>
      <c r="F385" s="41">
        <f t="shared" si="37"/>
        <v>9680</v>
      </c>
    </row>
    <row r="386" spans="1:12" ht="40.15" customHeight="1" x14ac:dyDescent="0.25">
      <c r="A386" s="57">
        <v>5</v>
      </c>
      <c r="B386" s="137" t="s">
        <v>131</v>
      </c>
      <c r="C386" s="137"/>
      <c r="D386" s="58">
        <v>3000</v>
      </c>
      <c r="E386" s="41">
        <f t="shared" si="36"/>
        <v>630</v>
      </c>
      <c r="F386" s="41">
        <f t="shared" si="37"/>
        <v>3630</v>
      </c>
    </row>
    <row r="387" spans="1:12" ht="41.45" customHeight="1" x14ac:dyDescent="0.25">
      <c r="A387" s="57">
        <v>6</v>
      </c>
      <c r="B387" s="137" t="s">
        <v>132</v>
      </c>
      <c r="C387" s="137"/>
      <c r="D387" s="58">
        <v>10000</v>
      </c>
      <c r="E387" s="41">
        <f t="shared" si="36"/>
        <v>2100</v>
      </c>
      <c r="F387" s="41">
        <f t="shared" si="37"/>
        <v>12100</v>
      </c>
    </row>
    <row r="388" spans="1:12" x14ac:dyDescent="0.25">
      <c r="A388" s="12"/>
      <c r="B388" s="138" t="s">
        <v>65</v>
      </c>
      <c r="C388" s="138"/>
      <c r="D388" s="41">
        <f>SUM(D382:D387)</f>
        <v>51000</v>
      </c>
      <c r="E388" s="41">
        <f>SUM(E382:E387)</f>
        <v>10710</v>
      </c>
      <c r="F388" s="27">
        <f>SUM(F382:F387)</f>
        <v>61710</v>
      </c>
    </row>
    <row r="390" spans="1:12" ht="55.15" customHeight="1" x14ac:dyDescent="0.25">
      <c r="A390" s="139" t="s">
        <v>133</v>
      </c>
      <c r="B390" s="139"/>
      <c r="C390" s="139"/>
      <c r="D390" s="139"/>
      <c r="E390" s="139"/>
      <c r="F390" s="139"/>
      <c r="G390" s="139"/>
      <c r="H390" s="139"/>
      <c r="I390" s="124"/>
      <c r="K390" s="124"/>
    </row>
    <row r="392" spans="1:12" ht="15.6" customHeight="1" x14ac:dyDescent="0.25">
      <c r="A392" s="115"/>
      <c r="B392" s="38"/>
      <c r="C392" s="38"/>
      <c r="D392" s="38"/>
      <c r="E392" s="69"/>
      <c r="F392" s="40"/>
      <c r="G392" s="40"/>
      <c r="H392" s="40"/>
      <c r="I392" s="40"/>
      <c r="J392" s="40"/>
      <c r="K392" s="40"/>
      <c r="L392" s="40"/>
    </row>
    <row r="394" spans="1:12" ht="33" x14ac:dyDescent="0.45">
      <c r="D394" s="99" t="s">
        <v>134</v>
      </c>
    </row>
    <row r="396" spans="1:12" ht="15.75" thickBot="1" x14ac:dyDescent="0.3"/>
    <row r="397" spans="1:12" ht="30.75" thickBot="1" x14ac:dyDescent="0.3">
      <c r="D397" s="100"/>
      <c r="E397" s="101" t="s">
        <v>135</v>
      </c>
      <c r="F397" s="102" t="s">
        <v>136</v>
      </c>
      <c r="G397" s="103" t="s">
        <v>98</v>
      </c>
      <c r="H397" s="104" t="s">
        <v>137</v>
      </c>
    </row>
    <row r="398" spans="1:12" x14ac:dyDescent="0.25">
      <c r="D398" s="105" t="s">
        <v>138</v>
      </c>
      <c r="E398" s="106">
        <f>M11</f>
        <v>214602</v>
      </c>
      <c r="F398" s="106">
        <f>M75</f>
        <v>306550</v>
      </c>
      <c r="G398" s="59">
        <f>M75</f>
        <v>306550</v>
      </c>
      <c r="H398" s="60">
        <f>M75</f>
        <v>306550</v>
      </c>
    </row>
    <row r="399" spans="1:12" ht="30" x14ac:dyDescent="0.25">
      <c r="D399" s="107" t="s">
        <v>139</v>
      </c>
      <c r="E399" s="41">
        <f>E30</f>
        <v>83800</v>
      </c>
      <c r="F399" s="108">
        <f>C126</f>
        <v>125700</v>
      </c>
      <c r="G399" s="61">
        <f>C126</f>
        <v>125700</v>
      </c>
      <c r="H399" s="60">
        <f>E94</f>
        <v>125700</v>
      </c>
    </row>
    <row r="400" spans="1:12" x14ac:dyDescent="0.25">
      <c r="D400" s="109" t="s">
        <v>140</v>
      </c>
      <c r="E400" s="41">
        <f>G134</f>
        <v>26096</v>
      </c>
      <c r="F400" s="41">
        <f>G135</f>
        <v>39145</v>
      </c>
      <c r="G400" s="61">
        <f>G136</f>
        <v>39145</v>
      </c>
      <c r="H400" s="60">
        <f>G137</f>
        <v>39145</v>
      </c>
    </row>
    <row r="401" spans="4:8" x14ac:dyDescent="0.25">
      <c r="D401" s="109" t="s">
        <v>141</v>
      </c>
      <c r="E401" s="41">
        <f>H144</f>
        <v>19504</v>
      </c>
      <c r="F401" s="41">
        <f>H145</f>
        <v>29255</v>
      </c>
      <c r="G401" s="61">
        <f>H146</f>
        <v>29255</v>
      </c>
      <c r="H401" s="60">
        <f>H147</f>
        <v>29255</v>
      </c>
    </row>
    <row r="402" spans="4:8" x14ac:dyDescent="0.25">
      <c r="D402" s="109" t="s">
        <v>142</v>
      </c>
      <c r="E402" s="41">
        <f>H154</f>
        <v>8712</v>
      </c>
      <c r="F402" s="41">
        <f>H155</f>
        <v>13068</v>
      </c>
      <c r="G402" s="61">
        <f>H156</f>
        <v>13068</v>
      </c>
      <c r="H402" s="60">
        <f>H157</f>
        <v>13068</v>
      </c>
    </row>
    <row r="403" spans="4:8" x14ac:dyDescent="0.25">
      <c r="D403" s="109" t="s">
        <v>143</v>
      </c>
      <c r="E403" s="12">
        <f>E170</f>
        <v>4700</v>
      </c>
      <c r="F403" s="12">
        <f>E170</f>
        <v>4700</v>
      </c>
      <c r="G403" s="62">
        <f>E170</f>
        <v>4700</v>
      </c>
      <c r="H403" s="60">
        <f>E170</f>
        <v>4700</v>
      </c>
    </row>
    <row r="404" spans="4:8" ht="30" x14ac:dyDescent="0.25">
      <c r="D404" s="107" t="s">
        <v>144</v>
      </c>
      <c r="E404" s="41">
        <f>E178</f>
        <v>12500</v>
      </c>
      <c r="F404" s="41">
        <f>E179</f>
        <v>4500</v>
      </c>
      <c r="G404" s="61">
        <f>E180</f>
        <v>11000</v>
      </c>
      <c r="H404" s="60">
        <f>E181</f>
        <v>6000</v>
      </c>
    </row>
    <row r="405" spans="4:8" ht="45" x14ac:dyDescent="0.25">
      <c r="D405" s="107" t="s">
        <v>145</v>
      </c>
      <c r="E405" s="41">
        <f>F188</f>
        <v>18150</v>
      </c>
      <c r="F405" s="41">
        <f>F189</f>
        <v>18150</v>
      </c>
      <c r="G405" s="61">
        <f>F190</f>
        <v>22281</v>
      </c>
      <c r="H405" s="60">
        <f>F191</f>
        <v>25749</v>
      </c>
    </row>
    <row r="406" spans="4:8" x14ac:dyDescent="0.25">
      <c r="D406" s="109" t="s">
        <v>146</v>
      </c>
      <c r="E406" s="41">
        <f>F198</f>
        <v>9680</v>
      </c>
      <c r="F406" s="41">
        <f>F199</f>
        <v>605</v>
      </c>
      <c r="G406" s="61">
        <f>F200</f>
        <v>605</v>
      </c>
      <c r="H406" s="60">
        <f>F201</f>
        <v>605</v>
      </c>
    </row>
    <row r="407" spans="4:8" ht="30" x14ac:dyDescent="0.25">
      <c r="D407" s="107" t="s">
        <v>147</v>
      </c>
      <c r="E407" s="41">
        <f>H212</f>
        <v>48400</v>
      </c>
      <c r="F407" s="41">
        <f>H213</f>
        <v>48400</v>
      </c>
      <c r="G407" s="61">
        <f>H214</f>
        <v>48400</v>
      </c>
      <c r="H407" s="60">
        <f>H215</f>
        <v>48400</v>
      </c>
    </row>
    <row r="408" spans="4:8" x14ac:dyDescent="0.25">
      <c r="D408" s="107" t="s">
        <v>148</v>
      </c>
      <c r="E408" s="12"/>
      <c r="F408" s="12"/>
      <c r="G408" s="61">
        <f>M231</f>
        <v>55192</v>
      </c>
      <c r="H408" s="60">
        <f>M295</f>
        <v>100074</v>
      </c>
    </row>
    <row r="409" spans="4:8" ht="30" x14ac:dyDescent="0.25">
      <c r="D409" s="107" t="s">
        <v>149</v>
      </c>
      <c r="E409" s="12"/>
      <c r="F409" s="12"/>
      <c r="G409" s="61">
        <f>E245</f>
        <v>34394.800000000003</v>
      </c>
      <c r="H409" s="60">
        <f>E309</f>
        <v>68789.600000000006</v>
      </c>
    </row>
    <row r="410" spans="4:8" x14ac:dyDescent="0.25">
      <c r="D410" s="107" t="s">
        <v>150</v>
      </c>
      <c r="E410" s="12"/>
      <c r="F410" s="12"/>
      <c r="G410" s="61">
        <f>G351</f>
        <v>7242</v>
      </c>
      <c r="H410" s="60">
        <f>G352</f>
        <v>14484</v>
      </c>
    </row>
    <row r="411" spans="4:8" ht="30" x14ac:dyDescent="0.25">
      <c r="D411" s="107" t="s">
        <v>151</v>
      </c>
      <c r="E411" s="12"/>
      <c r="F411" s="12"/>
      <c r="G411" s="61">
        <f>H360</f>
        <v>5412</v>
      </c>
      <c r="H411" s="60">
        <f>H361</f>
        <v>10825</v>
      </c>
    </row>
    <row r="412" spans="4:8" ht="30" x14ac:dyDescent="0.25">
      <c r="D412" s="107" t="s">
        <v>152</v>
      </c>
      <c r="E412" s="12"/>
      <c r="F412" s="12"/>
      <c r="G412" s="61">
        <f>H370</f>
        <v>2650</v>
      </c>
      <c r="H412" s="60">
        <f>H371</f>
        <v>5300</v>
      </c>
    </row>
    <row r="413" spans="4:8" ht="31.9" customHeight="1" thickBot="1" x14ac:dyDescent="0.3">
      <c r="D413" s="107" t="s">
        <v>153</v>
      </c>
      <c r="E413" s="12"/>
      <c r="F413" s="12"/>
      <c r="G413" s="61">
        <f>F388</f>
        <v>61710</v>
      </c>
      <c r="H413" s="12">
        <v>0</v>
      </c>
    </row>
    <row r="414" spans="4:8" ht="15.75" thickBot="1" x14ac:dyDescent="0.3">
      <c r="D414" s="110"/>
      <c r="E414" s="111">
        <f>SUM(E398:E407)</f>
        <v>446144</v>
      </c>
      <c r="F414" s="111">
        <f t="shared" ref="F414" si="38">SUM(F398:F407)</f>
        <v>590073</v>
      </c>
      <c r="G414" s="63">
        <f>SUM(G398:G413)</f>
        <v>767304.8</v>
      </c>
      <c r="H414" s="64">
        <f>SUM(H398:H413)</f>
        <v>798644.6</v>
      </c>
    </row>
    <row r="417" spans="1:8" x14ac:dyDescent="0.25">
      <c r="D417" s="12" t="s">
        <v>154</v>
      </c>
      <c r="E417" s="41">
        <f>E398</f>
        <v>214602</v>
      </c>
      <c r="F417" s="41">
        <f>F398</f>
        <v>306550</v>
      </c>
      <c r="G417" s="41">
        <f>G398+G408</f>
        <v>361742</v>
      </c>
      <c r="H417" s="41">
        <f>H398+H408</f>
        <v>406624</v>
      </c>
    </row>
    <row r="418" spans="1:8" x14ac:dyDescent="0.25">
      <c r="D418" s="12" t="s">
        <v>157</v>
      </c>
      <c r="E418" s="41">
        <f>E400+E401+E402+E403+E404+E405+E407</f>
        <v>138062</v>
      </c>
      <c r="F418" s="41">
        <f>F400+F401+F402+F403+F404+F405+F407+F406</f>
        <v>157823</v>
      </c>
      <c r="G418" s="41">
        <f>+G410+G411+G412+G400+G401+G402+G403+G404+G405+G407+G406</f>
        <v>183758</v>
      </c>
      <c r="H418" s="41">
        <f>+H410+H411+H412+H400+H401+H402+H403+H404+H405+H407+H406</f>
        <v>197531</v>
      </c>
    </row>
    <row r="419" spans="1:8" x14ac:dyDescent="0.25">
      <c r="D419" s="12" t="s">
        <v>155</v>
      </c>
      <c r="E419" s="41">
        <f>E399</f>
        <v>83800</v>
      </c>
      <c r="F419" s="41">
        <f>F399</f>
        <v>125700</v>
      </c>
      <c r="G419" s="41">
        <f>G399+G409</f>
        <v>160094.79999999999</v>
      </c>
      <c r="H419" s="41">
        <f>H399+H409</f>
        <v>194489.60000000001</v>
      </c>
    </row>
    <row r="420" spans="1:8" x14ac:dyDescent="0.25">
      <c r="D420" s="12" t="s">
        <v>156</v>
      </c>
      <c r="E420" s="41">
        <f>E406</f>
        <v>9680</v>
      </c>
      <c r="F420" s="41"/>
      <c r="G420" s="41">
        <f>G413</f>
        <v>61710</v>
      </c>
      <c r="H420" s="41">
        <f>H413</f>
        <v>0</v>
      </c>
    </row>
    <row r="421" spans="1:8" x14ac:dyDescent="0.25">
      <c r="D421" s="12"/>
      <c r="E421" s="112">
        <f>SUM(E417:E420)</f>
        <v>446144</v>
      </c>
      <c r="F421" s="112">
        <f>SUM(F417:F420)</f>
        <v>590073</v>
      </c>
      <c r="G421" s="112">
        <f>SUM(G417:G420)</f>
        <v>767304.8</v>
      </c>
      <c r="H421" s="112">
        <f>SUM(H417:H420)</f>
        <v>798644.6</v>
      </c>
    </row>
    <row r="425" spans="1:8" x14ac:dyDescent="0.25">
      <c r="A425" s="20" t="s">
        <v>179</v>
      </c>
    </row>
    <row r="426" spans="1:8" x14ac:dyDescent="0.25">
      <c r="A426" s="20" t="s">
        <v>180</v>
      </c>
    </row>
  </sheetData>
  <mergeCells count="162">
    <mergeCell ref="K1:L1"/>
    <mergeCell ref="A4:M4"/>
    <mergeCell ref="A8:A9"/>
    <mergeCell ref="B8:B9"/>
    <mergeCell ref="C8:D8"/>
    <mergeCell ref="E8:E9"/>
    <mergeCell ref="F8:F9"/>
    <mergeCell ref="G8:G9"/>
    <mergeCell ref="H8:H9"/>
    <mergeCell ref="I8:I9"/>
    <mergeCell ref="A24:B24"/>
    <mergeCell ref="A27:D27"/>
    <mergeCell ref="A28:D28"/>
    <mergeCell ref="A29:D29"/>
    <mergeCell ref="A30:D30"/>
    <mergeCell ref="A32:K32"/>
    <mergeCell ref="J8:J9"/>
    <mergeCell ref="L8:L9"/>
    <mergeCell ref="M8:M9"/>
    <mergeCell ref="A20:M20"/>
    <mergeCell ref="A21:M21"/>
    <mergeCell ref="A22:M22"/>
    <mergeCell ref="A55:J55"/>
    <mergeCell ref="A56:J56"/>
    <mergeCell ref="A57:J57"/>
    <mergeCell ref="A67:B67"/>
    <mergeCell ref="A68:B68"/>
    <mergeCell ref="A69:B69"/>
    <mergeCell ref="A33:K33"/>
    <mergeCell ref="A34:K34"/>
    <mergeCell ref="A35:K35"/>
    <mergeCell ref="A36:K36"/>
    <mergeCell ref="A37:M37"/>
    <mergeCell ref="A49:M49"/>
    <mergeCell ref="A64:L65"/>
    <mergeCell ref="A50:M50"/>
    <mergeCell ref="H72:H73"/>
    <mergeCell ref="I72:I73"/>
    <mergeCell ref="J72:J73"/>
    <mergeCell ref="L72:L73"/>
    <mergeCell ref="M72:M73"/>
    <mergeCell ref="A85:M85"/>
    <mergeCell ref="A72:A73"/>
    <mergeCell ref="B72:B73"/>
    <mergeCell ref="C72:D72"/>
    <mergeCell ref="E72:E73"/>
    <mergeCell ref="F72:F73"/>
    <mergeCell ref="G72:G73"/>
    <mergeCell ref="A96:M96"/>
    <mergeCell ref="A107:M107"/>
    <mergeCell ref="A112:J112"/>
    <mergeCell ref="A113:J113"/>
    <mergeCell ref="A114:J114"/>
    <mergeCell ref="A86:M86"/>
    <mergeCell ref="A88:B88"/>
    <mergeCell ref="A91:D91"/>
    <mergeCell ref="A92:D92"/>
    <mergeCell ref="A93:D93"/>
    <mergeCell ref="A94:D94"/>
    <mergeCell ref="A108:M108"/>
    <mergeCell ref="A159:H159"/>
    <mergeCell ref="A183:H183"/>
    <mergeCell ref="B187:D187"/>
    <mergeCell ref="B188:D188"/>
    <mergeCell ref="B189:D189"/>
    <mergeCell ref="B190:D190"/>
    <mergeCell ref="A125:B125"/>
    <mergeCell ref="A126:B126"/>
    <mergeCell ref="A127:B127"/>
    <mergeCell ref="A131:G131"/>
    <mergeCell ref="A149:H149"/>
    <mergeCell ref="B150:J150"/>
    <mergeCell ref="B213:C213"/>
    <mergeCell ref="D213:E213"/>
    <mergeCell ref="B214:C214"/>
    <mergeCell ref="D214:E214"/>
    <mergeCell ref="B215:C215"/>
    <mergeCell ref="D215:E215"/>
    <mergeCell ref="B191:D191"/>
    <mergeCell ref="A203:J203"/>
    <mergeCell ref="B211:C211"/>
    <mergeCell ref="D211:E211"/>
    <mergeCell ref="B212:C212"/>
    <mergeCell ref="D212:E212"/>
    <mergeCell ref="A193:F193"/>
    <mergeCell ref="A217:H217"/>
    <mergeCell ref="A218:H218"/>
    <mergeCell ref="A228:A229"/>
    <mergeCell ref="B228:B229"/>
    <mergeCell ref="C228:D228"/>
    <mergeCell ref="E228:E229"/>
    <mergeCell ref="F228:F229"/>
    <mergeCell ref="G228:G229"/>
    <mergeCell ref="H228:H229"/>
    <mergeCell ref="A223:J223"/>
    <mergeCell ref="A242:D242"/>
    <mergeCell ref="A243:D243"/>
    <mergeCell ref="A244:D244"/>
    <mergeCell ref="A245:D245"/>
    <mergeCell ref="A247:M247"/>
    <mergeCell ref="A248:M248"/>
    <mergeCell ref="I228:I229"/>
    <mergeCell ref="J228:J229"/>
    <mergeCell ref="L228:L229"/>
    <mergeCell ref="M228:M229"/>
    <mergeCell ref="A237:L237"/>
    <mergeCell ref="A239:B239"/>
    <mergeCell ref="A281:B281"/>
    <mergeCell ref="A282:B282"/>
    <mergeCell ref="A283:B283"/>
    <mergeCell ref="A292:A293"/>
    <mergeCell ref="B292:B293"/>
    <mergeCell ref="C292:D292"/>
    <mergeCell ref="A249:M249"/>
    <mergeCell ref="A250:M250"/>
    <mergeCell ref="A261:M261"/>
    <mergeCell ref="A266:J266"/>
    <mergeCell ref="A267:J267"/>
    <mergeCell ref="A268:J268"/>
    <mergeCell ref="L292:L293"/>
    <mergeCell ref="M292:M293"/>
    <mergeCell ref="A277:L278"/>
    <mergeCell ref="A262:M262"/>
    <mergeCell ref="A251:M251"/>
    <mergeCell ref="A326:J326"/>
    <mergeCell ref="A327:J327"/>
    <mergeCell ref="A336:J336"/>
    <mergeCell ref="A301:M301"/>
    <mergeCell ref="A303:B303"/>
    <mergeCell ref="A306:D306"/>
    <mergeCell ref="A307:D307"/>
    <mergeCell ref="E292:E293"/>
    <mergeCell ref="F292:F293"/>
    <mergeCell ref="G292:G293"/>
    <mergeCell ref="H292:H293"/>
    <mergeCell ref="I292:I293"/>
    <mergeCell ref="J292:J293"/>
    <mergeCell ref="A322:M322"/>
    <mergeCell ref="A121:L122"/>
    <mergeCell ref="A337:L338"/>
    <mergeCell ref="B384:C384"/>
    <mergeCell ref="B385:C385"/>
    <mergeCell ref="B386:C386"/>
    <mergeCell ref="B387:C387"/>
    <mergeCell ref="B388:C388"/>
    <mergeCell ref="A390:H390"/>
    <mergeCell ref="A357:G357"/>
    <mergeCell ref="A367:G367"/>
    <mergeCell ref="A374:K374"/>
    <mergeCell ref="A379:G379"/>
    <mergeCell ref="B382:C382"/>
    <mergeCell ref="B383:C383"/>
    <mergeCell ref="A328:J328"/>
    <mergeCell ref="A341:B341"/>
    <mergeCell ref="A342:B342"/>
    <mergeCell ref="A343:B343"/>
    <mergeCell ref="A348:G348"/>
    <mergeCell ref="A354:H354"/>
    <mergeCell ref="A308:D308"/>
    <mergeCell ref="A309:D309"/>
    <mergeCell ref="A311:M311"/>
    <mergeCell ref="A321:M321"/>
  </mergeCells>
  <pageMargins left="0.2" right="0.2" top="0.74803149606299213" bottom="0.17" header="0.31496062992125984" footer="0.31496062992125984"/>
  <pageSetup paperSize="9"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Gita Ceriņa</dc:creator>
  <cp:lastModifiedBy>Kristīne Venta-Kittele</cp:lastModifiedBy>
  <cp:lastPrinted>2023-10-02T14:42:52Z</cp:lastPrinted>
  <dcterms:created xsi:type="dcterms:W3CDTF">2023-09-22T10:47:17Z</dcterms:created>
  <dcterms:modified xsi:type="dcterms:W3CDTF">2023-10-06T09:18:10Z</dcterms:modified>
</cp:coreProperties>
</file>