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S:\isilantjevs\Dokumenti datorā\2025\Eiduka, Lagutins, Padāns, Štange, Uļģis\"/>
    </mc:Choice>
  </mc:AlternateContent>
  <xr:revisionPtr revIDLastSave="0" documentId="8_{F693E4F3-804A-4647-A50B-829A8808E4D1}" xr6:coauthVersionLast="36" xr6:coauthVersionMax="36" xr10:uidLastSave="{00000000-0000-0000-0000-000000000000}"/>
  <bookViews>
    <workbookView xWindow="-28920" yWindow="-120" windowWidth="29040" windowHeight="15720" tabRatio="752" activeTab="4" xr2:uid="{00000000-000D-0000-FFFF-FFFF00000000}"/>
  </bookViews>
  <sheets>
    <sheet name="K.Eiduka" sheetId="1" r:id="rId1"/>
    <sheet name="D.Kosarevs" sheetId="12" state="hidden" r:id="rId2"/>
    <sheet name="O.Lagutins" sheetId="9" r:id="rId3"/>
    <sheet name="M.Štange" sheetId="10" r:id="rId4"/>
    <sheet name="D.Uļģis" sheetId="11" r:id="rId5"/>
    <sheet name="Kopsavilkums" sheetId="8" r:id="rId6"/>
    <sheet name="J.Padāns" sheetId="13" r:id="rId7"/>
  </sheets>
  <definedNames>
    <definedName name="PPP">#REF!</definedName>
    <definedName name="_xlnm.Print_Area" localSheetId="0">K.Eiduka!$A$1:$C$26</definedName>
    <definedName name="_xlnm.Print_Area" localSheetId="2">O.Lagutins!$A$1:$C$25</definedName>
    <definedName name="q" localSheetId="1">#REF!</definedName>
    <definedName name="q" localSheetId="4">#REF!</definedName>
    <definedName name="q" localSheetId="0">#REF!</definedName>
    <definedName name="q" localSheetId="3">#REF!</definedName>
    <definedName name="q" localSheetId="2">#REF!</definedName>
    <definedName name="q">#REF!</definedName>
    <definedName name="s">#REF!</definedName>
    <definedName name="ssss" localSheetId="1">#REF!</definedName>
    <definedName name="ssss" localSheetId="4">#REF!</definedName>
    <definedName name="ssss" localSheetId="0">#REF!</definedName>
    <definedName name="ssss" localSheetId="3">#REF!</definedName>
    <definedName name="ssss" localSheetId="2">#REF!</definedName>
    <definedName name="ssss">#REF!</definedName>
    <definedName name="Valsts_policijas_amatpersonas_ar_speciālo_dienesta_pakāpi_dalība_Eiropas_Savienības_policijas_misijā_Gruzijā__EUMM_GEORGIA_________M.Štange__līdz_2019.gada_28.februārim" localSheetId="1">#REF!</definedName>
    <definedName name="Valsts_policijas_amatpersonas_ar_speciālo_dienesta_pakāpi_dalība_Eiropas_Savienības_policijas_misijā_Gruzijā__EUMM_GEORGIA_________M.Štange__līdz_2019.gada_28.februārim" localSheetId="4">#REF!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 localSheetId="3">#REF!</definedName>
    <definedName name="Valsts_policijas_amatpersonas_ar_speciālo_dienesta_pakāpi_dalība_Eiropas_Savienības_policijas_misijā_Gruzijā__EUMM_GEORGIA_________M.Štange__līdz_2019.gada_28.februārim" localSheetId="2">#REF!</definedName>
    <definedName name="Valsts_policijas_amatpersonas_ar_speciālo_dienesta_pakāpi_dalība_Eiropas_Savienības_policijas_misijā_Gruzijā__EUMM_GEORGIA_________M.Štange__līdz_2019.gada_28.februārim">#REF!</definedName>
    <definedName name="z" localSheetId="1">#REF!</definedName>
    <definedName name="z" localSheetId="4">#REF!</definedName>
    <definedName name="z" localSheetId="0">#REF!</definedName>
    <definedName name="z" localSheetId="3">#REF!</definedName>
    <definedName name="z" localSheetId="2">#REF!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 i="13" l="1"/>
  <c r="C12" i="13"/>
  <c r="C10" i="13"/>
  <c r="C9" i="13" s="1"/>
  <c r="C7" i="13"/>
  <c r="C5" i="13"/>
  <c r="C4" i="13" s="1"/>
  <c r="C48" i="13"/>
  <c r="C46" i="13" s="1"/>
  <c r="C44" i="13"/>
  <c r="C41" i="13"/>
  <c r="C39" i="13"/>
  <c r="C38" i="13" s="1"/>
  <c r="C31" i="13"/>
  <c r="C29" i="13"/>
  <c r="C27" i="13"/>
  <c r="C24" i="13"/>
  <c r="C22" i="13"/>
  <c r="C43" i="13" l="1"/>
  <c r="C37" i="13" s="1"/>
  <c r="C21" i="13"/>
  <c r="C3" i="13"/>
  <c r="C26" i="13"/>
  <c r="C20" i="13" l="1"/>
  <c r="B40" i="9"/>
  <c r="B41" i="9" s="1"/>
  <c r="C26" i="9" s="1"/>
  <c r="B32" i="9"/>
  <c r="C22" i="9" s="1"/>
  <c r="B30" i="11"/>
  <c r="C8" i="11" s="1"/>
  <c r="B40" i="10"/>
  <c r="C13" i="10" s="1"/>
  <c r="B31" i="10"/>
  <c r="C22" i="10" s="1"/>
  <c r="B31" i="1"/>
  <c r="C22" i="1" s="1"/>
  <c r="C8" i="9" l="1"/>
  <c r="C9" i="9" s="1"/>
  <c r="C13" i="9"/>
  <c r="C26" i="10"/>
  <c r="C31" i="1"/>
  <c r="C11" i="11"/>
  <c r="C23" i="1" l="1"/>
  <c r="C14" i="11" l="1"/>
  <c r="C15" i="10"/>
  <c r="C15" i="9"/>
  <c r="C15" i="1"/>
  <c r="C18" i="8" l="1"/>
  <c r="C9" i="11"/>
  <c r="C8" i="10"/>
  <c r="C9" i="10" s="1"/>
  <c r="C8" i="1"/>
  <c r="C9" i="1" l="1"/>
  <c r="B36" i="12" l="1"/>
  <c r="C24" i="12" l="1"/>
  <c r="C21" i="12"/>
  <c r="C11" i="12"/>
  <c r="C7" i="12" l="1"/>
  <c r="C6" i="12" s="1"/>
  <c r="C20" i="12"/>
  <c r="B34" i="11" l="1"/>
  <c r="C30" i="11"/>
  <c r="C24" i="11"/>
  <c r="C21" i="11"/>
  <c r="C22" i="11" s="1"/>
  <c r="C7" i="11"/>
  <c r="B35" i="11" l="1"/>
  <c r="C12" i="11" s="1"/>
  <c r="C10" i="11" s="1"/>
  <c r="C6" i="11" s="1"/>
  <c r="C20" i="11"/>
  <c r="C25" i="11" l="1"/>
  <c r="C23" i="11" s="1"/>
  <c r="C19" i="11" s="1"/>
  <c r="C12" i="9" l="1"/>
  <c r="C12" i="10"/>
  <c r="C12" i="1"/>
  <c r="C13" i="8" l="1"/>
  <c r="C31" i="10"/>
  <c r="C25" i="10"/>
  <c r="C23" i="10"/>
  <c r="C21" i="10" s="1"/>
  <c r="C7" i="10"/>
  <c r="C11" i="10" l="1"/>
  <c r="C6" i="10" s="1"/>
  <c r="C24" i="10" l="1"/>
  <c r="C20" i="10" s="1"/>
  <c r="B36" i="1"/>
  <c r="C13" i="1" s="1"/>
  <c r="C25" i="9" l="1"/>
  <c r="C26" i="8" l="1"/>
  <c r="C32" i="9"/>
  <c r="C15" i="8" l="1"/>
  <c r="C10" i="8"/>
  <c r="C8" i="8"/>
  <c r="C11" i="9"/>
  <c r="C23" i="9"/>
  <c r="C28" i="8" l="1"/>
  <c r="C21" i="9"/>
  <c r="C7" i="9"/>
  <c r="C6" i="9" s="1"/>
  <c r="C24" i="9"/>
  <c r="C16" i="8"/>
  <c r="C12" i="8"/>
  <c r="C20" i="9" l="1"/>
  <c r="C25" i="8" l="1"/>
  <c r="C7" i="8"/>
  <c r="C27" i="8" l="1"/>
  <c r="C24" i="8" s="1"/>
  <c r="C9" i="8" l="1"/>
  <c r="C6" i="8" s="1"/>
  <c r="C25" i="1" l="1"/>
  <c r="C31" i="8" s="1"/>
  <c r="C30" i="8" l="1"/>
  <c r="C14" i="8" l="1"/>
  <c r="C11" i="8" s="1"/>
  <c r="C5" i="8" s="1"/>
  <c r="C26" i="1"/>
  <c r="C33" i="8" s="1"/>
  <c r="C11" i="1"/>
  <c r="C21" i="1"/>
  <c r="C24" i="1" l="1"/>
  <c r="C20" i="1" s="1"/>
  <c r="C32" i="8"/>
  <c r="C29" i="8" s="1"/>
  <c r="C23" i="8" s="1"/>
  <c r="C7" i="1" l="1"/>
  <c r="C6" i="1" s="1"/>
</calcChain>
</file>

<file path=xl/sharedStrings.xml><?xml version="1.0" encoding="utf-8"?>
<sst xmlns="http://schemas.openxmlformats.org/spreadsheetml/2006/main" count="258" uniqueCount="104">
  <si>
    <t>IZDEVUMU APRĒĶINS</t>
  </si>
  <si>
    <t>euro</t>
  </si>
  <si>
    <t>Izdevumi kopā</t>
  </si>
  <si>
    <t>1000</t>
  </si>
  <si>
    <t>Atlīdzība</t>
  </si>
  <si>
    <t>2000</t>
  </si>
  <si>
    <t>Preces un pakalpojumi</t>
  </si>
  <si>
    <t>Taktiskais amata līmenis</t>
  </si>
  <si>
    <t>gadā</t>
  </si>
  <si>
    <t>mēnesī</t>
  </si>
  <si>
    <t>KOPSAVILKUMS</t>
  </si>
  <si>
    <t>Citas normatīvajos aktos noteiktās piemaksas, kas nav iepriekš klasificētas</t>
  </si>
  <si>
    <t>Darba devēja valsts sociālās apdrošināšanas obligātās iemaksas</t>
  </si>
  <si>
    <t>Pārējie komandējumu un darba braucienu izdevumi</t>
  </si>
  <si>
    <t>Ārvalstīs nodarbināto amatpersonu (darbinieku) kompensācijas</t>
  </si>
  <si>
    <t>Atalgojums</t>
  </si>
  <si>
    <t>Darba devēja valsts sociālās apdrošināšanas obligātās iemaksas, pabalsti un kompensācijas</t>
  </si>
  <si>
    <t>Mācību, darba un dienesta komandējumi, darba braucieni</t>
  </si>
  <si>
    <t>Pakalpojumi</t>
  </si>
  <si>
    <t>Krājumi, materiāli, energoresursi, preces, biroja preces un inventārs, kurus neuzskaita kodā 5000</t>
  </si>
  <si>
    <t>Inventārs</t>
  </si>
  <si>
    <t>Formas tērpi un speciālais apģērbs</t>
  </si>
  <si>
    <t>Pārējie specifiskas lietošanas materiāli un inventārs</t>
  </si>
  <si>
    <r>
      <t xml:space="preserve">Dienesta pienākumu izpildei nepieciešamā apģērba iegādes kompensācija
Kompensācijas apmērs gadā -  120,94 </t>
    </r>
    <r>
      <rPr>
        <i/>
        <sz val="10"/>
        <color theme="1"/>
        <rFont val="Times New Roman"/>
        <family val="1"/>
        <charset val="186"/>
      </rPr>
      <t>euro</t>
    </r>
  </si>
  <si>
    <t>2025.gads</t>
  </si>
  <si>
    <t>2026.gads</t>
  </si>
  <si>
    <t>Operacionālais amata līmenis</t>
  </si>
  <si>
    <r>
      <t xml:space="preserve">Valsts policijas amatpersonas ar speciālo dienesta pakāpi dalība Eiropas Savienības 
novērošanas misijā Gruzijā (EUMM GEORGIA)  </t>
    </r>
    <r>
      <rPr>
        <b/>
        <sz val="10"/>
        <color rgb="FF00B0F0"/>
        <rFont val="Times New Roman"/>
        <family val="1"/>
        <charset val="186"/>
      </rPr>
      <t>Dmitrijs Kosarevs</t>
    </r>
    <r>
      <rPr>
        <sz val="10"/>
        <rFont val="Times New Roman"/>
        <family val="1"/>
        <charset val="186"/>
      </rPr>
      <t xml:space="preserve"> </t>
    </r>
    <r>
      <rPr>
        <sz val="10"/>
        <color rgb="FFFF0000"/>
        <rFont val="Times New Roman"/>
        <family val="1"/>
        <charset val="186"/>
      </rPr>
      <t>(13.05.2025.-12.05.2026.)</t>
    </r>
  </si>
  <si>
    <t>EUMM GEORGIA   (13.05.2025.-31.12.2025.)</t>
  </si>
  <si>
    <t>EUMM GEORGIA   (01.01.2026.-12.05.2026.)</t>
  </si>
  <si>
    <t xml:space="preserve">EUMM GEORGIA </t>
  </si>
  <si>
    <t xml:space="preserve">EUMM GEORGIA  </t>
  </si>
  <si>
    <r>
      <t>Pārējie komandējumu un darba braucienu izdevumi
Ceļa izdevumi: 
Vienam braucienam un bagāžai 560,00</t>
    </r>
    <r>
      <rPr>
        <i/>
        <sz val="10"/>
        <color theme="1"/>
        <rFont val="Times New Roman"/>
        <family val="1"/>
        <charset val="186"/>
      </rPr>
      <t xml:space="preserve"> euro</t>
    </r>
    <r>
      <rPr>
        <sz val="10"/>
        <color theme="1"/>
        <rFont val="Times New Roman"/>
        <family val="1"/>
        <charset val="186"/>
      </rPr>
      <t xml:space="preserve">; reizi kalendāra gadā ceļa izdevumi dodoties  uz Latviju un atgriežoties no Latvijas, ievērojot, ka dalības laiks tiek pagarināts, šim mērķim paredzami izdevumi, kas jau 2025.gadā plānoti, lai amatpersona atgrieztos Latvijā. 
Apdrošināšana par ceļojuma dienām 2,00 </t>
    </r>
    <r>
      <rPr>
        <i/>
        <sz val="10"/>
        <color theme="1"/>
        <rFont val="Times New Roman"/>
        <family val="1"/>
        <charset val="186"/>
      </rPr>
      <t xml:space="preserve">euro </t>
    </r>
    <r>
      <rPr>
        <sz val="10"/>
        <color theme="1"/>
        <rFont val="Times New Roman"/>
        <family val="1"/>
        <charset val="186"/>
      </rPr>
      <t xml:space="preserve">par 1 dienu
560,00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t>
    </r>
    <r>
      <rPr>
        <i/>
        <sz val="10"/>
        <color theme="1"/>
        <rFont val="Times New Roman"/>
        <family val="1"/>
        <charset val="186"/>
      </rPr>
      <t xml:space="preserve"> euro</t>
    </r>
    <r>
      <rPr>
        <sz val="10"/>
        <color theme="1"/>
        <rFont val="Times New Roman"/>
        <family val="1"/>
        <charset val="186"/>
      </rPr>
      <t>.</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</si>
  <si>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967,00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- 121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</si>
  <si>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Pārējie komandējumu un darba braucienu izdevumi
Ceļa izdevumi:
Vienam braucieniem un bagāžai 560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
560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 </t>
    </r>
    <r>
      <rPr>
        <i/>
        <sz val="10"/>
        <color theme="1"/>
        <rFont val="Times New Roman"/>
        <family val="1"/>
        <charset val="186"/>
      </rPr>
      <t>euro.</t>
    </r>
  </si>
  <si>
    <r>
      <t>*Izdevumi atlīdzībai Valsts policijas amatpersonas ar speciālo dienesta pakāpi dalības nodrošināšanai Eiropas Savienības misijā Gruzijā (</t>
    </r>
    <r>
      <rPr>
        <i/>
        <sz val="9"/>
        <color theme="1"/>
        <rFont val="Times New Roman"/>
        <family val="1"/>
        <charset val="186"/>
      </rPr>
      <t>EUMM Georgia</t>
    </r>
    <r>
      <rPr>
        <sz val="9"/>
        <color theme="1"/>
        <rFont val="Times New Roman"/>
        <family val="1"/>
        <charset val="186"/>
      </rPr>
      <t xml:space="preserve">) tiek attiecināti atbilstoši faktiskajam atlīdzības izmaksas periodam, proti, atlīdzības izdevumi par kalendāra gada decembra mēnesi tiek iekļauti nākamā gada izdevumos. </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</si>
  <si>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6 mēn.) + (1 932,75 </t>
    </r>
    <r>
      <rPr>
        <i/>
        <sz val="10"/>
        <color theme="1"/>
        <rFont val="Times New Roman"/>
        <family val="1"/>
        <charset val="186"/>
      </rPr>
      <t>euro</t>
    </r>
    <r>
      <rPr>
        <sz val="10"/>
        <color theme="1"/>
        <rFont val="Times New Roman"/>
        <family val="1"/>
        <charset val="186"/>
      </rPr>
      <t xml:space="preserve"> × 1,4 : 31 d. × 19 d.) = 17 893,52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</si>
  <si>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(17 893,52 </t>
    </r>
    <r>
      <rPr>
        <i/>
        <sz val="10"/>
        <color theme="1"/>
        <rFont val="Times New Roman"/>
        <family val="1"/>
        <charset val="186"/>
      </rPr>
      <t xml:space="preserve">euro </t>
    </r>
    <r>
      <rPr>
        <sz val="10"/>
        <color theme="1"/>
        <rFont val="Times New Roman"/>
        <family val="1"/>
        <charset val="186"/>
      </rPr>
      <t xml:space="preserve">× 23,59 %) = 4 221,08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</si>
  <si>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15 793,88 </t>
    </r>
    <r>
      <rPr>
        <i/>
        <sz val="10"/>
        <color theme="1"/>
        <rFont val="Times New Roman"/>
        <family val="1"/>
        <charset val="186"/>
      </rPr>
      <t>euro</t>
    </r>
    <r>
      <rPr>
        <sz val="10"/>
        <color theme="1"/>
        <rFont val="Times New Roman"/>
        <family val="1"/>
        <charset val="186"/>
      </rPr>
      <t xml:space="preserve"> (mēnesī 1 316,16 </t>
    </r>
    <r>
      <rPr>
        <i/>
        <sz val="10"/>
        <color theme="1"/>
        <rFont val="Times New Roman"/>
        <family val="1"/>
        <charset val="186"/>
      </rPr>
      <t>euro</t>
    </r>
    <r>
      <rPr>
        <sz val="10"/>
        <color theme="1"/>
        <rFont val="Times New Roman"/>
        <family val="1"/>
        <charset val="186"/>
      </rPr>
      <t xml:space="preserve">)
(15 793,88 </t>
    </r>
    <r>
      <rPr>
        <i/>
        <sz val="10"/>
        <color theme="1"/>
        <rFont val="Times New Roman"/>
        <family val="1"/>
        <charset val="186"/>
      </rPr>
      <t>euro</t>
    </r>
    <r>
      <rPr>
        <sz val="10"/>
        <color theme="1"/>
        <rFont val="Times New Roman"/>
        <family val="1"/>
        <charset val="186"/>
      </rPr>
      <t xml:space="preserve">: 12 mēn. × 7 mēn.) + (1 316,16 </t>
    </r>
    <r>
      <rPr>
        <i/>
        <sz val="10"/>
        <color theme="1"/>
        <rFont val="Times New Roman"/>
        <family val="1"/>
        <charset val="186"/>
      </rPr>
      <t>euro</t>
    </r>
    <r>
      <rPr>
        <sz val="10"/>
        <color theme="1"/>
        <rFont val="Times New Roman"/>
        <family val="1"/>
        <charset val="186"/>
      </rPr>
      <t xml:space="preserve">: 31 d. × 19 d.) =10 019,78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</si>
  <si>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967,00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- 121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</si>
  <si>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5 mēn.) + (1 932,75 </t>
    </r>
    <r>
      <rPr>
        <i/>
        <sz val="10"/>
        <color theme="1"/>
        <rFont val="Times New Roman"/>
        <family val="1"/>
        <charset val="186"/>
      </rPr>
      <t>euro</t>
    </r>
    <r>
      <rPr>
        <sz val="10"/>
        <color theme="1"/>
        <rFont val="Times New Roman"/>
        <family val="1"/>
        <charset val="186"/>
      </rPr>
      <t xml:space="preserve"> × 1,4 : 31 d. × 12 d.) = 14 576,68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</si>
  <si>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(14 576,68 </t>
    </r>
    <r>
      <rPr>
        <i/>
        <sz val="10"/>
        <color theme="1"/>
        <rFont val="Times New Roman"/>
        <family val="1"/>
        <charset val="186"/>
      </rPr>
      <t xml:space="preserve">euro </t>
    </r>
    <r>
      <rPr>
        <sz val="10"/>
        <color theme="1"/>
        <rFont val="Times New Roman"/>
        <family val="1"/>
        <charset val="186"/>
      </rPr>
      <t xml:space="preserve">× 23,59 %) = 3 438,71 </t>
    </r>
    <r>
      <rPr>
        <i/>
        <sz val="10"/>
        <color theme="1"/>
        <rFont val="Times New Roman"/>
        <family val="1"/>
        <charset val="186"/>
      </rPr>
      <t>euro</t>
    </r>
  </si>
  <si>
    <r>
      <t xml:space="preserve">Ārvalstīs nodarbināto amatpersonu (darbinieku) kompensācijas
Dzīvokļa (dzīvojamās telpas) īres un komunālo pakalpojumu izdevumi: 
(15 793,88 </t>
    </r>
    <r>
      <rPr>
        <i/>
        <sz val="10"/>
        <color theme="1"/>
        <rFont val="Times New Roman"/>
        <family val="1"/>
        <charset val="186"/>
      </rPr>
      <t>euro</t>
    </r>
    <r>
      <rPr>
        <sz val="10"/>
        <color theme="1"/>
        <rFont val="Times New Roman"/>
        <family val="1"/>
        <charset val="186"/>
      </rPr>
      <t xml:space="preserve"> (gadā) : 12 mēn. × 4 mēn.) + (1 316,16 </t>
    </r>
    <r>
      <rPr>
        <i/>
        <sz val="10"/>
        <color theme="1"/>
        <rFont val="Times New Roman"/>
        <family val="1"/>
        <charset val="186"/>
      </rPr>
      <t>euro</t>
    </r>
    <r>
      <rPr>
        <sz val="10"/>
        <color theme="1"/>
        <rFont val="Times New Roman"/>
        <family val="1"/>
        <charset val="186"/>
      </rPr>
      <t xml:space="preserve"> : 31 d. × 12 d.) = 5 774,11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</si>
  <si>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973,00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- 127,05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</si>
  <si>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Inventārs
Personīgās pirmās palīdzības komplekts, kurā ietilpst pamatmedikamenti, pārsēji, ķirurģiskās līmlentes ruļļi utt. - 60,00 </t>
    </r>
    <r>
      <rPr>
        <i/>
        <sz val="10"/>
        <color theme="1"/>
        <rFont val="Times New Roman"/>
        <family val="1"/>
        <charset val="186"/>
      </rPr>
      <t xml:space="preserve">euro;
</t>
    </r>
    <r>
      <rPr>
        <sz val="10"/>
        <color theme="1"/>
        <rFont val="Times New Roman"/>
        <family val="1"/>
        <charset val="186"/>
      </rPr>
      <t xml:space="preserve">patruļas soma - 50,00 </t>
    </r>
    <r>
      <rPr>
        <i/>
        <sz val="10"/>
        <color theme="1"/>
        <rFont val="Times New Roman"/>
        <family val="1"/>
        <charset val="186"/>
      </rPr>
      <t>euro.</t>
    </r>
  </si>
  <si>
    <r>
      <t xml:space="preserve">Pārējie specifiskas lietošanas materiāli un inventārs
kombinētais kabatas nazis - 76,00 </t>
    </r>
    <r>
      <rPr>
        <i/>
        <sz val="10"/>
        <color theme="1"/>
        <rFont val="Times New Roman"/>
        <family val="1"/>
        <charset val="186"/>
      </rPr>
      <t>euro.</t>
    </r>
  </si>
  <si>
    <t>EUMM GEORGIA   (19.02.2026.-31.12.2026.)</t>
  </si>
  <si>
    <t>2027.gads</t>
  </si>
  <si>
    <t>EUMM GEORGIA   (01.01.2027.-18.02.2027.)</t>
  </si>
  <si>
    <r>
      <t xml:space="preserve">Valsts policijas amatpersonas ar speciālo dienesta pakāpi dalība Eiropas Savienības 
novērošanas misijā Gruzijā (EUMM GEORGIA)  </t>
    </r>
    <r>
      <rPr>
        <b/>
        <sz val="10"/>
        <color rgb="FF0070C0"/>
        <rFont val="Times New Roman"/>
        <family val="1"/>
        <charset val="186"/>
      </rPr>
      <t>Kristīne Eiduka</t>
    </r>
    <r>
      <rPr>
        <sz val="10"/>
        <rFont val="Times New Roman"/>
        <family val="1"/>
        <charset val="186"/>
      </rPr>
      <t xml:space="preserve"> </t>
    </r>
    <r>
      <rPr>
        <sz val="10"/>
        <color rgb="FFFF0000"/>
        <rFont val="Times New Roman"/>
        <family val="1"/>
        <charset val="186"/>
      </rPr>
      <t>(19.02.2026.-18.02.2027.)</t>
    </r>
  </si>
  <si>
    <t>EUMM GEORGIA   (07.02.2026. - 31.12.2026.)</t>
  </si>
  <si>
    <r>
      <t>Operacionālais amata līmenis</t>
    </r>
    <r>
      <rPr>
        <sz val="9"/>
        <color theme="1"/>
        <rFont val="Times New Roman"/>
        <family val="1"/>
        <charset val="186"/>
      </rPr>
      <t xml:space="preserve"> (Ministru kabineta 2021. gada 07. decembra noteikumos Nr. 793 amatpersonai atbilstoši amata līmenim noteiktais piemaksas apmērs gadā 23 193 euro (mēnesī 1 932,75 euro)</t>
    </r>
  </si>
  <si>
    <r>
      <t xml:space="preserve">Operacionālais amata līmenis </t>
    </r>
    <r>
      <rPr>
        <sz val="9"/>
        <color theme="1"/>
        <rFont val="Times New Roman"/>
        <family val="1"/>
        <charset val="186"/>
      </rPr>
      <t>(Atbilstoši amata līmenim (operacionālais amata līmenis) izdevumu kompensācijas apmērs amatpersonām par dzīvokļa (dzīvojamās telpas) īri un citiem pakalpojumiem, kas saistīti ar dzīvojamās telpas lietošanu</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</si>
  <si>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9 mēn.) + (1 932,75 </t>
    </r>
    <r>
      <rPr>
        <i/>
        <sz val="10"/>
        <color theme="1"/>
        <rFont val="Times New Roman"/>
        <family val="1"/>
        <charset val="186"/>
      </rPr>
      <t>euro</t>
    </r>
    <r>
      <rPr>
        <sz val="10"/>
        <color theme="1"/>
        <rFont val="Times New Roman"/>
        <family val="1"/>
        <charset val="186"/>
      </rPr>
      <t xml:space="preserve"> × 1,4 : 28 d. × 10 d.) = 25 320 </t>
    </r>
    <r>
      <rPr>
        <i/>
        <sz val="10"/>
        <color theme="1"/>
        <rFont val="Times New Roman"/>
        <family val="1"/>
        <charset val="186"/>
      </rPr>
      <t>euro</t>
    </r>
    <r>
      <rPr>
        <sz val="10"/>
        <color theme="1"/>
        <rFont val="Times New Roman"/>
        <family val="1"/>
        <charset val="186"/>
      </rPr>
      <t>*</t>
    </r>
  </si>
  <si>
    <t xml:space="preserve">Citas normatīvajos aktos noteiktās piemaksas, kas nav iepriekš klasificētas 
Ministru kabineta 2021. gada 07. decembra noteikumos Nr. 793 amatpersonai atbilstoši amata līmenim noteiktais piemaksas apmērs gadā 23 193 euro gadā (mēnesī 1 932,75 euro)
(Operacionālais amata līmenis). Koeficients - 1,4;
(1 932,75 euro × 1,4 × 9 mēn.) + (1 932,75 euro × 1,4 : 28 d. × 22 d.) = 26 479 euro*  </t>
  </si>
  <si>
    <t>EUMM GEORGIA   (01.01.2027. - 02.03.2027.)</t>
  </si>
  <si>
    <r>
      <t xml:space="preserve">Citas normatīvajos aktos noteiktās piemaksas, kas nav iepriekš klasificētas 
Ministru kabineta 2021. gada 07. decembra noteikumos Nr. 793 amatpersonai atbilstoši amata līmenim noteiktais piemaksas apmērs gadā 23 193 euro gadā (mēnesī 1 932,75 euro)
(Operacionālais amata līmenis). Koeficients - 1,4;                                                                               (1 932,75 </t>
    </r>
    <r>
      <rPr>
        <i/>
        <sz val="10"/>
        <color theme="1"/>
        <rFont val="Times New Roman"/>
        <family val="1"/>
        <charset val="186"/>
      </rPr>
      <t>euro</t>
    </r>
    <r>
      <rPr>
        <sz val="10"/>
        <color theme="1"/>
        <rFont val="Times New Roman"/>
        <family val="1"/>
        <charset val="186"/>
      </rPr>
      <t xml:space="preserve"> × 1,4 × 3 mēn.) + (1 932,75 </t>
    </r>
    <r>
      <rPr>
        <i/>
        <sz val="10"/>
        <color theme="1"/>
        <rFont val="Times New Roman"/>
        <family val="1"/>
        <charset val="186"/>
      </rPr>
      <t>euro</t>
    </r>
    <r>
      <rPr>
        <sz val="10"/>
        <color theme="1"/>
        <rFont val="Times New Roman"/>
        <family val="1"/>
        <charset val="186"/>
      </rPr>
      <t xml:space="preserve"> × 1,4 : 31 d. × 2 d.) = 8 293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</si>
  <si>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(7 152 </t>
    </r>
    <r>
      <rPr>
        <i/>
        <sz val="10"/>
        <color theme="1"/>
        <rFont val="Times New Roman"/>
        <family val="1"/>
        <charset val="186"/>
      </rPr>
      <t xml:space="preserve">euro </t>
    </r>
    <r>
      <rPr>
        <sz val="10"/>
        <color theme="1"/>
        <rFont val="Times New Roman"/>
        <family val="1"/>
        <charset val="186"/>
      </rPr>
      <t xml:space="preserve">× 23,59 %) = 1 687 </t>
    </r>
    <r>
      <rPr>
        <i/>
        <sz val="10"/>
        <color theme="1"/>
        <rFont val="Times New Roman"/>
        <family val="1"/>
        <charset val="186"/>
      </rPr>
      <t>euro</t>
    </r>
  </si>
  <si>
    <r>
      <t xml:space="preserve">Darba devēja valsts sociālās apdrošināšanas obligātās iemaksas
23,59% no EKK 1149 summas (26 479 </t>
    </r>
    <r>
      <rPr>
        <i/>
        <sz val="10"/>
        <color theme="1"/>
        <rFont val="Times New Roman"/>
        <family val="1"/>
        <charset val="186"/>
      </rPr>
      <t xml:space="preserve">euro </t>
    </r>
    <r>
      <rPr>
        <sz val="10"/>
        <color theme="1"/>
        <rFont val="Times New Roman"/>
        <family val="1"/>
        <charset val="186"/>
      </rPr>
      <t xml:space="preserve">× 23,59 %) = 6 246 </t>
    </r>
    <r>
      <rPr>
        <i/>
        <sz val="10"/>
        <color theme="1"/>
        <rFont val="Times New Roman"/>
        <family val="1"/>
        <charset val="186"/>
      </rPr>
      <t>euro</t>
    </r>
  </si>
  <si>
    <r>
      <t xml:space="preserve">Darba devēja valsts sociālās apdrošināšanas obligātās iemaksas
23,59% no EKK 1149 summas (8 293 </t>
    </r>
    <r>
      <rPr>
        <i/>
        <sz val="10"/>
        <color theme="1"/>
        <rFont val="Times New Roman"/>
        <family val="1"/>
        <charset val="186"/>
      </rPr>
      <t xml:space="preserve">euro </t>
    </r>
    <r>
      <rPr>
        <sz val="10"/>
        <color theme="1"/>
        <rFont val="Times New Roman"/>
        <family val="1"/>
        <charset val="186"/>
      </rPr>
      <t xml:space="preserve">× 23,59 %) = 1 956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</si>
  <si>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(operacionālais amata līmenis) izdevumu kompensācijas apmērs amatpersonām par dzīvokļa (dzīvojamās telpas) īri un citiem pakalpojumiem, kas saistīti ar dzīvojamās telpas lietošanu 
15 793,88 euro gadā (mēnesī 1 316,16 euro).                                                                                                   (15 793,88 </t>
    </r>
    <r>
      <rPr>
        <i/>
        <sz val="10"/>
        <color theme="1"/>
        <rFont val="Times New Roman"/>
        <family val="1"/>
        <charset val="186"/>
      </rPr>
      <t>euro</t>
    </r>
    <r>
      <rPr>
        <sz val="10"/>
        <color theme="1"/>
        <rFont val="Times New Roman"/>
        <family val="1"/>
        <charset val="186"/>
      </rPr>
      <t xml:space="preserve"> (gadā) : 12 mēn. × 1 mēn.) + (1 316,16 </t>
    </r>
    <r>
      <rPr>
        <i/>
        <sz val="10"/>
        <color theme="1"/>
        <rFont val="Times New Roman"/>
        <family val="1"/>
        <charset val="186"/>
      </rPr>
      <t>euro</t>
    </r>
    <r>
      <rPr>
        <sz val="10"/>
        <color theme="1"/>
        <rFont val="Times New Roman"/>
        <family val="1"/>
        <charset val="186"/>
      </rPr>
      <t xml:space="preserve"> : 28 d. × 18 d.) = 2 163 </t>
    </r>
    <r>
      <rPr>
        <i/>
        <sz val="10"/>
        <color theme="1"/>
        <rFont val="Times New Roman"/>
        <family val="1"/>
        <charset val="186"/>
      </rPr>
      <t>euro.</t>
    </r>
  </si>
  <si>
    <r>
      <t>Valsts policijas amatpersona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Dāvis Uļģis</t>
    </r>
    <r>
      <rPr>
        <sz val="10"/>
        <rFont val="Times New Roman"/>
        <family val="1"/>
        <charset val="186"/>
      </rPr>
      <t xml:space="preserve"> </t>
    </r>
    <r>
      <rPr>
        <sz val="10"/>
        <color rgb="FFFF0000"/>
        <rFont val="Times New Roman"/>
        <family val="1"/>
        <charset val="186"/>
      </rPr>
      <t>(28.02.2026.-27.02.2027.)</t>
    </r>
  </si>
  <si>
    <t>EUMM GEORGIA   (28.02.2026. - 31.12.2026.)</t>
  </si>
  <si>
    <r>
      <t xml:space="preserve">Citas normatīvajos aktos noteiktās piemaksas, kas nav iepriekš klasificētas 
Ministru kabineta 2021.gada 7.decembra noteikumos Nr.793 amatpersonai atbilstoši amata līmenim noteiktais piemaksas apmērs gadā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9 mēn.) + (1 648,17 </t>
    </r>
    <r>
      <rPr>
        <i/>
        <sz val="10"/>
        <rFont val="Times New Roman"/>
        <family val="1"/>
        <charset val="186"/>
      </rPr>
      <t>euro</t>
    </r>
    <r>
      <rPr>
        <sz val="10"/>
        <rFont val="Times New Roman"/>
        <family val="1"/>
        <charset val="186"/>
      </rPr>
      <t xml:space="preserve"> × 1,4 : 28 d. × 1 d.) = 20 850 </t>
    </r>
    <r>
      <rPr>
        <i/>
        <sz val="10"/>
        <rFont val="Times New Roman"/>
        <family val="1"/>
        <charset val="186"/>
      </rPr>
      <t>euro</t>
    </r>
    <r>
      <rPr>
        <sz val="10"/>
        <rFont val="Times New Roman"/>
        <family val="1"/>
        <charset val="186"/>
      </rPr>
      <t xml:space="preserve"> *</t>
    </r>
  </si>
  <si>
    <r>
      <t xml:space="preserve">Darba devēja valsts sociālās apdrošināšanas obligātās iemaksas
23,59% no EKK 1149 summas
(20 850 </t>
    </r>
    <r>
      <rPr>
        <i/>
        <sz val="10"/>
        <color theme="1"/>
        <rFont val="Times New Roman"/>
        <family val="1"/>
        <charset val="186"/>
      </rPr>
      <t xml:space="preserve">euro </t>
    </r>
    <r>
      <rPr>
        <sz val="10"/>
        <color theme="1"/>
        <rFont val="Times New Roman"/>
        <family val="1"/>
        <charset val="186"/>
      </rPr>
      <t xml:space="preserve">× 23,59 %) = 4 919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</si>
  <si>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(operacionālais amata līmenis) izdevumu kompensācijas apmērs amatpersonām par dzīvokļa (dzīvojamās telpas) īri un citiem pakalpojumiem, kas saistīti ar dzīvojamās telpas lietošanu 15 793,88 </t>
    </r>
    <r>
      <rPr>
        <i/>
        <sz val="10"/>
        <color theme="1"/>
        <rFont val="Times New Roman"/>
        <family val="1"/>
        <charset val="186"/>
      </rPr>
      <t>euro</t>
    </r>
    <r>
      <rPr>
        <sz val="10"/>
        <color theme="1"/>
        <rFont val="Times New Roman"/>
        <family val="1"/>
        <charset val="186"/>
      </rPr>
      <t xml:space="preserve"> gadā (mēnesī 1 316,16 </t>
    </r>
    <r>
      <rPr>
        <i/>
        <sz val="10"/>
        <color theme="1"/>
        <rFont val="Times New Roman"/>
        <family val="1"/>
        <charset val="186"/>
      </rPr>
      <t>euro</t>
    </r>
    <r>
      <rPr>
        <sz val="10"/>
        <color theme="1"/>
        <rFont val="Times New Roman"/>
        <family val="1"/>
        <charset val="186"/>
      </rPr>
      <t>).
(15 793,88 euro (gadā) : 12 mēn. × 10 mēn.) + (1 316,16 euro : 28 d. × 22 d.) = 14 196 euro.</t>
    </r>
  </si>
  <si>
    <t>EUMM GEORGIA   (01.01.2027. - 27.02.2027.)</t>
  </si>
  <si>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27 d.) = 6 840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</si>
  <si>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(6 840 </t>
    </r>
    <r>
      <rPr>
        <i/>
        <sz val="10"/>
        <color theme="1"/>
        <rFont val="Times New Roman"/>
        <family val="1"/>
        <charset val="186"/>
      </rPr>
      <t xml:space="preserve">euro </t>
    </r>
    <r>
      <rPr>
        <sz val="10"/>
        <color theme="1"/>
        <rFont val="Times New Roman"/>
        <family val="1"/>
        <charset val="186"/>
      </rPr>
      <t xml:space="preserve">× 23,59 %) = 1 614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</si>
  <si>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euro gadā (mēnesī 991,27 euro)
(11 895,21 </t>
    </r>
    <r>
      <rPr>
        <i/>
        <sz val="10"/>
        <color theme="1"/>
        <rFont val="Times New Roman"/>
        <family val="1"/>
        <charset val="186"/>
      </rPr>
      <t>euro</t>
    </r>
    <r>
      <rPr>
        <sz val="10"/>
        <color theme="1"/>
        <rFont val="Times New Roman"/>
        <family val="1"/>
        <charset val="186"/>
      </rPr>
      <t xml:space="preserve"> : 12 mēn. × 1 mēn.) + (991,27 </t>
    </r>
    <r>
      <rPr>
        <i/>
        <sz val="10"/>
        <color theme="1"/>
        <rFont val="Times New Roman"/>
        <family val="1"/>
        <charset val="186"/>
      </rPr>
      <t xml:space="preserve">euro </t>
    </r>
    <r>
      <rPr>
        <sz val="10"/>
        <color theme="1"/>
        <rFont val="Times New Roman"/>
        <family val="1"/>
        <charset val="186"/>
      </rPr>
      <t xml:space="preserve">: 28 d. × 27 d.)  = 1 948 </t>
    </r>
    <r>
      <rPr>
        <i/>
        <sz val="10"/>
        <color theme="1"/>
        <rFont val="Times New Roman"/>
        <family val="1"/>
        <charset val="186"/>
      </rPr>
      <t>euro.</t>
    </r>
  </si>
  <si>
    <t>EUMM GEORGIA   (01.01.2027.-06.01.2027.)</t>
  </si>
  <si>
    <r>
      <t>Valsts policijas amatpersonas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theme="4" tint="-0.249977111117893"/>
        <rFont val="Times New Roman"/>
        <family val="1"/>
        <charset val="186"/>
      </rPr>
      <t>Oļegs Lagutins</t>
    </r>
    <r>
      <rPr>
        <sz val="10"/>
        <color rgb="FFFF0000"/>
        <rFont val="Times New Roman"/>
        <family val="1"/>
        <charset val="186"/>
      </rPr>
      <t xml:space="preserve"> (07.01.2026.-06.01.2027.)</t>
    </r>
  </si>
  <si>
    <t>EUMM GEORGIA  (07.01.2026.-31.12.2026.)</t>
  </si>
  <si>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10 mēn.) + (1 648,17 </t>
    </r>
    <r>
      <rPr>
        <i/>
        <sz val="10"/>
        <color theme="1"/>
        <rFont val="Times New Roman"/>
        <family val="1"/>
        <charset val="186"/>
      </rPr>
      <t>euro</t>
    </r>
    <r>
      <rPr>
        <sz val="10"/>
        <color theme="1"/>
        <rFont val="Times New Roman"/>
        <family val="1"/>
        <charset val="186"/>
      </rPr>
      <t xml:space="preserve"> × 1,4 : 31 d. × 25 d.) =24 936 </t>
    </r>
    <r>
      <rPr>
        <i/>
        <sz val="10"/>
        <color theme="1"/>
        <rFont val="Times New Roman"/>
        <family val="1"/>
        <charset val="186"/>
      </rPr>
      <t>euro</t>
    </r>
    <r>
      <rPr>
        <sz val="10"/>
        <color theme="1"/>
        <rFont val="Times New Roman"/>
        <family val="1"/>
        <charset val="186"/>
      </rPr>
      <t xml:space="preserve"> *</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</si>
  <si>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euro gadā (mēnesī 991,27 euro)
(11 895,21 </t>
    </r>
    <r>
      <rPr>
        <i/>
        <sz val="10"/>
        <color theme="1"/>
        <rFont val="Times New Roman"/>
        <family val="1"/>
        <charset val="186"/>
      </rPr>
      <t>euro</t>
    </r>
    <r>
      <rPr>
        <sz val="10"/>
        <color theme="1"/>
        <rFont val="Times New Roman"/>
        <family val="1"/>
        <charset val="186"/>
      </rPr>
      <t xml:space="preserve">: 12 mēn. × 11 mēn.) + (991,27 </t>
    </r>
    <r>
      <rPr>
        <i/>
        <sz val="10"/>
        <color theme="1"/>
        <rFont val="Times New Roman"/>
        <family val="1"/>
        <charset val="186"/>
      </rPr>
      <t>euro</t>
    </r>
    <r>
      <rPr>
        <sz val="10"/>
        <color theme="1"/>
        <rFont val="Times New Roman"/>
        <family val="1"/>
        <charset val="186"/>
      </rPr>
      <t xml:space="preserve">: 31 d. × 25 d.) =11 704 </t>
    </r>
    <r>
      <rPr>
        <i/>
        <sz val="10"/>
        <color theme="1"/>
        <rFont val="Times New Roman"/>
        <family val="1"/>
        <charset val="186"/>
      </rPr>
      <t>euro</t>
    </r>
  </si>
  <si>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1 mēn.) + (1 648,17 </t>
    </r>
    <r>
      <rPr>
        <i/>
        <sz val="10"/>
        <color theme="1"/>
        <rFont val="Times New Roman"/>
        <family val="1"/>
        <charset val="186"/>
      </rPr>
      <t>euro</t>
    </r>
    <r>
      <rPr>
        <sz val="10"/>
        <color theme="1"/>
        <rFont val="Times New Roman"/>
        <family val="1"/>
        <charset val="186"/>
      </rPr>
      <t xml:space="preserve"> × 1,4 : 31 d. × 6 d.) =2 755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</si>
  <si>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(2 755 </t>
    </r>
    <r>
      <rPr>
        <i/>
        <sz val="10"/>
        <color theme="1"/>
        <rFont val="Times New Roman"/>
        <family val="1"/>
        <charset val="186"/>
      </rPr>
      <t xml:space="preserve">euro </t>
    </r>
    <r>
      <rPr>
        <sz val="10"/>
        <color theme="1"/>
        <rFont val="Times New Roman"/>
        <family val="1"/>
        <charset val="186"/>
      </rPr>
      <t xml:space="preserve">× 23,59 %) = 650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</si>
  <si>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(operacionālais amata līmenis) izdevumu kompensācijas apmērs amatpersonām par dzīvokļa (dzīvojamās telpas) īri un citiem pakalpojumiem, kas saistīti ar dzīvojamās telpas lietošanu 
15 793,88 euro gadā (mēnesī 1 316,16 euro).
(15 793,88 </t>
    </r>
    <r>
      <rPr>
        <i/>
        <sz val="10"/>
        <color theme="1"/>
        <rFont val="Times New Roman"/>
        <family val="1"/>
        <charset val="186"/>
      </rPr>
      <t>euro</t>
    </r>
    <r>
      <rPr>
        <sz val="10"/>
        <color theme="1"/>
        <rFont val="Times New Roman"/>
        <family val="1"/>
        <charset val="186"/>
      </rPr>
      <t xml:space="preserve"> (gadā) : 12 mēn. × 10 mēn.) + (1 316,16 </t>
    </r>
    <r>
      <rPr>
        <i/>
        <sz val="10"/>
        <color theme="1"/>
        <rFont val="Times New Roman"/>
        <family val="1"/>
        <charset val="186"/>
      </rPr>
      <t>euro</t>
    </r>
    <r>
      <rPr>
        <sz val="10"/>
        <color theme="1"/>
        <rFont val="Times New Roman"/>
        <family val="1"/>
        <charset val="186"/>
      </rPr>
      <t xml:space="preserve"> : 28 d. × 10 d.) = 13 632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</si>
  <si>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(operacionālais amata līmenis) izdevumu kompensācijas apmērs amatpersonām par dzīvokļa (dzīvojamās telpas) īri un citiem pakalpojumiem, kas saistīti ar dzīvojamās telpas lietošanu 15 793,88 euro gadā (mēnesī 1 316,16 euro).                 
(15 793,88 </t>
    </r>
    <r>
      <rPr>
        <i/>
        <sz val="10"/>
        <color theme="1"/>
        <rFont val="Times New Roman"/>
        <family val="1"/>
        <charset val="186"/>
      </rPr>
      <t>euro</t>
    </r>
    <r>
      <rPr>
        <sz val="10"/>
        <color theme="1"/>
        <rFont val="Times New Roman"/>
        <family val="1"/>
        <charset val="186"/>
      </rPr>
      <t xml:space="preserve"> : 12 mēn. × 2 mēn.) + (1 316,16 </t>
    </r>
    <r>
      <rPr>
        <i/>
        <sz val="10"/>
        <color theme="1"/>
        <rFont val="Times New Roman"/>
        <family val="1"/>
        <charset val="186"/>
      </rPr>
      <t xml:space="preserve">euro </t>
    </r>
    <r>
      <rPr>
        <sz val="10"/>
        <color theme="1"/>
        <rFont val="Times New Roman"/>
        <family val="1"/>
        <charset val="186"/>
      </rPr>
      <t xml:space="preserve">: 31 d. × 2 d.)  = 2 718 </t>
    </r>
    <r>
      <rPr>
        <i/>
        <sz val="10"/>
        <color theme="1"/>
        <rFont val="Times New Roman"/>
        <family val="1"/>
        <charset val="186"/>
      </rPr>
      <t>euro.</t>
    </r>
  </si>
  <si>
    <r>
      <t>Valsts policijas amatpersona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Mārtiņš Štange</t>
    </r>
    <r>
      <rPr>
        <sz val="10"/>
        <color rgb="FFFF0000"/>
        <rFont val="Times New Roman"/>
        <family val="1"/>
        <charset val="186"/>
      </rPr>
      <t xml:space="preserve"> (07.02.2025.- 02.03.2027.)</t>
    </r>
  </si>
  <si>
    <r>
      <t>Pārējie komandējumu un darba braucienu izdevumi
Ceļa izdevumi: 
Vienam braucienam un bagāžai 560,00</t>
    </r>
    <r>
      <rPr>
        <i/>
        <sz val="10"/>
        <color theme="1"/>
        <rFont val="Times New Roman"/>
        <family val="1"/>
        <charset val="186"/>
      </rPr>
      <t xml:space="preserve"> euro</t>
    </r>
    <r>
      <rPr>
        <sz val="10"/>
        <color theme="1"/>
        <rFont val="Times New Roman"/>
        <family val="1"/>
        <charset val="186"/>
      </rPr>
      <t xml:space="preserve">; reizi kalendāra gadā ceļa izdevumi dodoties  uz Latviju un atgriežoties no Latvijas, ievērojot, ka dalības laiks tiek pagarināts, šim mērķim paredzami izdevumi, kas jau 2026.gadā plānoti, lai amatpersona atgrieztos Latvijā. 
Apdrošināšana par ceļojuma dienām 2,00 </t>
    </r>
    <r>
      <rPr>
        <i/>
        <sz val="10"/>
        <color theme="1"/>
        <rFont val="Times New Roman"/>
        <family val="1"/>
        <charset val="186"/>
      </rPr>
      <t xml:space="preserve">euro </t>
    </r>
    <r>
      <rPr>
        <sz val="10"/>
        <color theme="1"/>
        <rFont val="Times New Roman"/>
        <family val="1"/>
        <charset val="186"/>
      </rPr>
      <t xml:space="preserve">par 1 dienu
560,00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t>
    </r>
    <r>
      <rPr>
        <i/>
        <sz val="10"/>
        <color theme="1"/>
        <rFont val="Times New Roman"/>
        <family val="1"/>
        <charset val="186"/>
      </rPr>
      <t xml:space="preserve"> euro</t>
    </r>
    <r>
      <rPr>
        <sz val="10"/>
        <color theme="1"/>
        <rFont val="Times New Roman"/>
        <family val="1"/>
        <charset val="186"/>
      </rPr>
      <t>.</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</si>
  <si>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t>
    </r>
    <r>
      <rPr>
        <i/>
        <sz val="10"/>
        <color theme="1"/>
        <rFont val="Times New Roman"/>
        <family val="1"/>
        <charset val="186"/>
      </rPr>
      <t>euro</t>
    </r>
    <r>
      <rPr>
        <sz val="10"/>
        <color theme="1"/>
        <rFont val="Times New Roman"/>
        <family val="1"/>
        <charset val="186"/>
      </rPr>
      <t xml:space="preserve"> gadā (mēnesī 991,27 </t>
    </r>
    <r>
      <rPr>
        <i/>
        <sz val="10"/>
        <color theme="1"/>
        <rFont val="Times New Roman"/>
        <family val="1"/>
        <charset val="186"/>
      </rPr>
      <t>euro</t>
    </r>
    <r>
      <rPr>
        <sz val="10"/>
        <color theme="1"/>
        <rFont val="Times New Roman"/>
        <family val="1"/>
        <charset val="186"/>
      </rPr>
      <t xml:space="preserve">)
(11 895,21 </t>
    </r>
    <r>
      <rPr>
        <i/>
        <sz val="10"/>
        <color theme="1"/>
        <rFont val="Times New Roman"/>
        <family val="1"/>
        <charset val="186"/>
      </rPr>
      <t>euro</t>
    </r>
    <r>
      <rPr>
        <sz val="10"/>
        <color theme="1"/>
        <rFont val="Times New Roman"/>
        <family val="1"/>
        <charset val="186"/>
      </rPr>
      <t xml:space="preserve">: 12 mēn. × 10 mēn.) + (991,27 </t>
    </r>
    <r>
      <rPr>
        <i/>
        <sz val="10"/>
        <color theme="1"/>
        <rFont val="Times New Roman"/>
        <family val="1"/>
        <charset val="186"/>
      </rPr>
      <t>euro</t>
    </r>
    <r>
      <rPr>
        <sz val="10"/>
        <color theme="1"/>
        <rFont val="Times New Roman"/>
        <family val="1"/>
        <charset val="186"/>
      </rPr>
      <t xml:space="preserve">: 28 d. × 1 d.) = 9 949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</si>
  <si>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euro gadā (mēnesī 991,27 euro)
(991,27 </t>
    </r>
    <r>
      <rPr>
        <i/>
        <sz val="10"/>
        <color theme="1"/>
        <rFont val="Times New Roman"/>
        <family val="1"/>
        <charset val="186"/>
      </rPr>
      <t>euro</t>
    </r>
    <r>
      <rPr>
        <sz val="10"/>
        <color theme="1"/>
        <rFont val="Times New Roman"/>
        <family val="1"/>
        <charset val="186"/>
      </rPr>
      <t xml:space="preserve">: 31 d. × 6 d.) =192 </t>
    </r>
    <r>
      <rPr>
        <i/>
        <sz val="10"/>
        <color theme="1"/>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</si>
  <si>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2 mēn.) + (1 932,75 </t>
    </r>
    <r>
      <rPr>
        <i/>
        <sz val="10"/>
        <color theme="1"/>
        <rFont val="Times New Roman"/>
        <family val="1"/>
        <charset val="186"/>
      </rPr>
      <t>euro</t>
    </r>
    <r>
      <rPr>
        <sz val="10"/>
        <color theme="1"/>
        <rFont val="Times New Roman"/>
        <family val="1"/>
        <charset val="186"/>
      </rPr>
      <t xml:space="preserve"> × 1,4 : 28 d. × 18 d) = 7 152 </t>
    </r>
    <r>
      <rPr>
        <i/>
        <sz val="10"/>
        <color theme="1"/>
        <rFont val="Times New Roman"/>
        <family val="1"/>
        <charset val="186"/>
      </rPr>
      <t>euro *</t>
    </r>
  </si>
  <si>
    <r>
      <t xml:space="preserve">Darba devēja valsts sociālās apdrošināšanas obligātās iemaksas
23,59% no EKK 1149 summas
(24 936 </t>
    </r>
    <r>
      <rPr>
        <i/>
        <sz val="10"/>
        <color theme="1"/>
        <rFont val="Times New Roman"/>
        <family val="1"/>
        <charset val="186"/>
      </rPr>
      <t xml:space="preserve">euro </t>
    </r>
    <r>
      <rPr>
        <sz val="10"/>
        <color theme="1"/>
        <rFont val="Times New Roman"/>
        <family val="1"/>
        <charset val="186"/>
      </rPr>
      <t xml:space="preserve">× 23,59 %) = 5 882 </t>
    </r>
    <r>
      <rPr>
        <i/>
        <sz val="10"/>
        <color theme="1"/>
        <rFont val="Times New Roman"/>
        <family val="1"/>
        <charset val="186"/>
      </rPr>
      <t>euro</t>
    </r>
  </si>
  <si>
    <r>
      <t>Darba devēja valsts sociālās apdrošināšanas obligātās iemaksas
23,59% no EKK 1149 summas
(</t>
    </r>
    <r>
      <rPr>
        <sz val="10"/>
        <color rgb="FFFF0000"/>
        <rFont val="Times New Roman"/>
        <family val="1"/>
        <charset val="186"/>
      </rPr>
      <t xml:space="preserve">25 320 </t>
    </r>
    <r>
      <rPr>
        <i/>
        <sz val="10"/>
        <color rgb="FFFF0000"/>
        <rFont val="Times New Roman"/>
        <family val="1"/>
        <charset val="186"/>
      </rPr>
      <t>euro</t>
    </r>
    <r>
      <rPr>
        <i/>
        <sz val="10"/>
        <color theme="1"/>
        <rFont val="Times New Roman"/>
        <family val="1"/>
        <charset val="186"/>
      </rPr>
      <t xml:space="preserve"> </t>
    </r>
    <r>
      <rPr>
        <sz val="10"/>
        <color theme="1"/>
        <rFont val="Times New Roman"/>
        <family val="1"/>
        <charset val="186"/>
      </rPr>
      <t xml:space="preserve">× 23,59 %) = 5 973 </t>
    </r>
    <r>
      <rPr>
        <i/>
        <sz val="10"/>
        <color theme="1"/>
        <rFont val="Times New Roman"/>
        <family val="1"/>
        <charset val="186"/>
      </rPr>
      <t>euro</t>
    </r>
  </si>
  <si>
    <t>10.00.00. programma ( Ministru kabineta rīkojums Nr. 555, Rīgā 2024. gada 9. jūlijā (prot. Nr. 28 16. §))</t>
  </si>
  <si>
    <r>
      <t>EUMM Georgia</t>
    </r>
    <r>
      <rPr>
        <b/>
        <sz val="11"/>
        <rFont val="Times New Roman"/>
        <family val="1"/>
        <charset val="186"/>
      </rPr>
      <t xml:space="preserve">   (01.01.2026.-26.01.2026.)</t>
    </r>
    <r>
      <rPr>
        <b/>
        <i/>
        <sz val="11"/>
        <rFont val="Times New Roman"/>
        <family val="1"/>
        <charset val="186"/>
      </rPr>
      <t xml:space="preserve"> (piešķirts)</t>
    </r>
  </si>
  <si>
    <t>2026. gads</t>
  </si>
  <si>
    <r>
      <t>Citas normatīvajos aktos noteiktās piemaksas, kas nav iepriekš klasificētas Ministru kabineta 2021. gada 7. decembra noteikumos Nr. 793 amatpersonai atbilstoši amata līmenim noteiktais piemaksas apmērs gadā - 
Operacionālais amata līmenis  - 23 193 euro (mēnesī 1 932,75 euro)  koeficients - 1,4  (1932,75 euro × 1,4 : 31 dienas  × 26 dienas)  = 2269,42</t>
    </r>
    <r>
      <rPr>
        <i/>
        <sz val="11"/>
        <rFont val="Times New Roman"/>
        <family val="1"/>
        <charset val="186"/>
      </rPr>
      <t xml:space="preserve"> euro</t>
    </r>
  </si>
  <si>
    <t>Citas normatīvajos aktos noteiktās piemaksas, kas nav iepriekš klasificētas Ministru kabineta 2021. gada 7. decembra noteikumos Nr. 793 amatpersonai atbilstoši amata līmenim noteiktais piemaksas apmērs gadā: 
no 2025.gada 27.janvāra Operacionālais amata līmenis  - 23 193 euro (mēnesī 1 932,75 euro)  koeficients - 1,4  (1932,75 euro × 1,4 : 31 d. × 5 d.) + (1932,75 euro x 1,4 x 11 mēn.)  = 30 200,78 euro.</t>
  </si>
  <si>
    <r>
      <t xml:space="preserve">Darba devēja valsts sociālās apdrošināšanas obligātās iemaksas 23,59% no EKK 1149 summas (2269,42 </t>
    </r>
    <r>
      <rPr>
        <i/>
        <sz val="11"/>
        <rFont val="Times New Roman"/>
        <family val="1"/>
        <charset val="186"/>
      </rPr>
      <t xml:space="preserve">euro </t>
    </r>
    <r>
      <rPr>
        <sz val="11"/>
        <rFont val="Times New Roman"/>
        <family val="1"/>
        <charset val="186"/>
      </rPr>
      <t xml:space="preserve">× 23,59 %) = 535,37 </t>
    </r>
    <r>
      <rPr>
        <i/>
        <sz val="11"/>
        <rFont val="Times New Roman"/>
        <family val="1"/>
        <charset val="186"/>
      </rPr>
      <t>euro</t>
    </r>
  </si>
  <si>
    <r>
      <t xml:space="preserve">Darba devēja valsts sociālās apdrošināšanas obligātās iemaksas 23,59% no EKK 1149 summas (30200,78 </t>
    </r>
    <r>
      <rPr>
        <i/>
        <sz val="11"/>
        <rFont val="Times New Roman"/>
        <family val="1"/>
        <charset val="186"/>
      </rPr>
      <t xml:space="preserve">euro </t>
    </r>
    <r>
      <rPr>
        <sz val="11"/>
        <rFont val="Times New Roman"/>
        <family val="1"/>
        <charset val="186"/>
      </rPr>
      <t xml:space="preserve">× 23,59 %) = 7 124,36 </t>
    </r>
    <r>
      <rPr>
        <i/>
        <sz val="11"/>
        <rFont val="Times New Roman"/>
        <family val="1"/>
        <charset val="186"/>
      </rPr>
      <t>euro</t>
    </r>
  </si>
  <si>
    <r>
      <t xml:space="preserve">Pārējie komandējumu un darba braucienu izdevumi
Ceļa izdevumi:
</t>
    </r>
    <r>
      <rPr>
        <i/>
        <sz val="11"/>
        <rFont val="Times New Roman"/>
        <family val="1"/>
        <charset val="186"/>
      </rPr>
      <t>-</t>
    </r>
    <r>
      <rPr>
        <sz val="11"/>
        <rFont val="Times New Roman"/>
        <family val="1"/>
        <charset val="186"/>
      </rPr>
      <t xml:space="preserve">braucienam un bagāžai 570,00 </t>
    </r>
    <r>
      <rPr>
        <i/>
        <sz val="11"/>
        <rFont val="Times New Roman"/>
        <family val="1"/>
        <charset val="186"/>
      </rPr>
      <t>euro (</t>
    </r>
    <r>
      <rPr>
        <sz val="11"/>
        <rFont val="Times New Roman"/>
        <family val="1"/>
        <charset val="186"/>
      </rPr>
      <t xml:space="preserve">ceļa izdevumi atgriežoties no misijas atpakaļ Latvijā),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+ 0,60 </t>
    </r>
    <r>
      <rPr>
        <i/>
        <sz val="11"/>
        <rFont val="Times New Roman"/>
        <family val="1"/>
        <charset val="186"/>
      </rPr>
      <t>euro = 570,60 euro)</t>
    </r>
    <r>
      <rPr>
        <sz val="11"/>
        <rFont val="Times New Roman"/>
        <family val="1"/>
        <charset val="186"/>
      </rPr>
      <t>.</t>
    </r>
  </si>
  <si>
    <r>
      <t xml:space="preserve">Pārējie komandējumu un darba braucienu izdevumi
Ceļa izdevumi: </t>
    </r>
    <r>
      <rPr>
        <i/>
        <sz val="11"/>
        <rFont val="Times New Roman"/>
        <family val="1"/>
        <charset val="186"/>
      </rPr>
      <t>nav plānots,  jo 2026.gadā pieķits finansējums 571 euro apmērā  ar Ministru kabineta rīkojumu Nr. 555,  2024. gada 9. jūlijā (prot. Nr. 28 16. §))</t>
    </r>
  </si>
  <si>
    <r>
      <t>Izdevumi par sakaru pakalpojumiem
85,00</t>
    </r>
    <r>
      <rPr>
        <i/>
        <sz val="11"/>
        <rFont val="Times New Roman"/>
        <family val="1"/>
        <charset val="186"/>
      </rPr>
      <t xml:space="preserve"> euro</t>
    </r>
    <r>
      <rPr>
        <sz val="11"/>
        <rFont val="Times New Roman"/>
        <family val="1"/>
        <charset val="186"/>
      </rPr>
      <t xml:space="preserve"> (vienam dalībniekam mēnesī)  (85,00 </t>
    </r>
    <r>
      <rPr>
        <i/>
        <sz val="11"/>
        <rFont val="Times New Roman"/>
        <family val="1"/>
        <charset val="186"/>
      </rPr>
      <t>euro</t>
    </r>
    <r>
      <rPr>
        <sz val="11"/>
        <rFont val="Times New Roman"/>
        <family val="1"/>
        <charset val="186"/>
      </rPr>
      <t xml:space="preserve">: 31 diena x  26 dienas) = 71,29 </t>
    </r>
    <r>
      <rPr>
        <i/>
        <sz val="11"/>
        <rFont val="Times New Roman"/>
        <family val="1"/>
        <charset val="186"/>
      </rPr>
      <t>euro</t>
    </r>
  </si>
  <si>
    <t>Dažādi pakalpojumi</t>
  </si>
  <si>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15 793,88 </t>
    </r>
    <r>
      <rPr>
        <i/>
        <sz val="11"/>
        <rFont val="Times New Roman"/>
        <family val="1"/>
        <charset val="186"/>
      </rPr>
      <t xml:space="preserve">euro </t>
    </r>
    <r>
      <rPr>
        <sz val="11"/>
        <rFont val="Times New Roman"/>
        <family val="1"/>
        <charset val="186"/>
      </rPr>
      <t xml:space="preserve">gadā (Operacionālais amata līmenis). 
Dzīvokļa (dzīvojamās telpas) īres un komunālo pakalpojumu izdevumi:  (15 793,88 euro: 12 mēn. : 31 dienas x 26 dienas) = 1 103,87 </t>
    </r>
    <r>
      <rPr>
        <i/>
        <sz val="11"/>
        <rFont val="Times New Roman"/>
        <family val="1"/>
        <charset val="186"/>
      </rPr>
      <t>euro.</t>
    </r>
  </si>
  <si>
    <r>
      <t>EUMM Georgia</t>
    </r>
    <r>
      <rPr>
        <b/>
        <sz val="11"/>
        <rFont val="Times New Roman"/>
        <family val="1"/>
        <charset val="186"/>
      </rPr>
      <t xml:space="preserve">   (01.01.2027.-26.01.2027.)</t>
    </r>
    <r>
      <rPr>
        <b/>
        <i/>
        <sz val="11"/>
        <rFont val="Times New Roman"/>
        <family val="1"/>
        <charset val="186"/>
      </rPr>
      <t xml:space="preserve"> (papildus)</t>
    </r>
  </si>
  <si>
    <t>2027. gads</t>
  </si>
  <si>
    <r>
      <t>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15 793,88 euro gadā (Operacionālais amata līmenis). 
Dzīvokļa (dzīvojamās telpas) īres un komunālo pakalpojumu izdevumi:  (15 793,88</t>
    </r>
    <r>
      <rPr>
        <i/>
        <sz val="11"/>
        <rFont val="Times New Roman"/>
        <family val="1"/>
        <charset val="186"/>
      </rPr>
      <t xml:space="preserve"> euro </t>
    </r>
    <r>
      <rPr>
        <sz val="11"/>
        <rFont val="Times New Roman"/>
        <family val="1"/>
        <charset val="186"/>
      </rPr>
      <t>: 12 mēn. : 31 dienas x 5 diena</t>
    </r>
    <r>
      <rPr>
        <sz val="11"/>
        <color rgb="FFFF0000"/>
        <rFont val="Times New Roman"/>
        <family val="1"/>
        <charset val="186"/>
      </rPr>
      <t>s</t>
    </r>
    <r>
      <rPr>
        <sz val="11"/>
        <rFont val="Times New Roman"/>
        <family val="1"/>
        <charset val="186"/>
      </rPr>
      <t xml:space="preserve">) + (15 793,88 </t>
    </r>
    <r>
      <rPr>
        <i/>
        <sz val="11"/>
        <rFont val="Times New Roman"/>
        <family val="1"/>
        <charset val="186"/>
      </rPr>
      <t>euro</t>
    </r>
    <r>
      <rPr>
        <sz val="11"/>
        <rFont val="Times New Roman"/>
        <family val="1"/>
        <charset val="186"/>
      </rPr>
      <t>: 12 mēn.x 11 mēn</t>
    </r>
    <r>
      <rPr>
        <sz val="11"/>
        <color rgb="FFFF0000"/>
        <rFont val="Times New Roman"/>
        <family val="1"/>
        <charset val="186"/>
      </rPr>
      <t>.</t>
    </r>
    <r>
      <rPr>
        <sz val="11"/>
        <rFont val="Times New Roman"/>
        <family val="1"/>
        <charset val="186"/>
      </rPr>
      <t xml:space="preserve">) = 14 690 </t>
    </r>
    <r>
      <rPr>
        <i/>
        <sz val="11"/>
        <rFont val="Times New Roman"/>
        <family val="1"/>
        <charset val="186"/>
      </rPr>
      <t>euro.</t>
    </r>
  </si>
  <si>
    <r>
      <t>Izdevumi par sakaru pakalpojumiem
85,00</t>
    </r>
    <r>
      <rPr>
        <i/>
        <sz val="11"/>
        <rFont val="Times New Roman"/>
        <family val="1"/>
        <charset val="186"/>
      </rPr>
      <t xml:space="preserve"> euro</t>
    </r>
    <r>
      <rPr>
        <sz val="11"/>
        <rFont val="Times New Roman"/>
        <family val="1"/>
        <charset val="186"/>
      </rPr>
      <t xml:space="preserve"> (vienam dalībniekam mēnesī)  (85,00 </t>
    </r>
    <r>
      <rPr>
        <i/>
        <sz val="11"/>
        <rFont val="Times New Roman"/>
        <family val="1"/>
        <charset val="186"/>
      </rPr>
      <t>euro</t>
    </r>
    <r>
      <rPr>
        <sz val="11"/>
        <rFont val="Times New Roman"/>
        <family val="1"/>
        <charset val="186"/>
      </rPr>
      <t xml:space="preserve">: 31 diena x  5 dienas) + (85,00 </t>
    </r>
    <r>
      <rPr>
        <i/>
        <sz val="11"/>
        <rFont val="Times New Roman"/>
        <family val="1"/>
        <charset val="186"/>
      </rPr>
      <t xml:space="preserve">euro </t>
    </r>
    <r>
      <rPr>
        <sz val="11"/>
        <rFont val="Times New Roman"/>
        <family val="1"/>
        <charset val="186"/>
      </rPr>
      <t>x  11 mēn) = 948,71</t>
    </r>
    <r>
      <rPr>
        <i/>
        <sz val="11"/>
        <rFont val="Times New Roman"/>
        <family val="1"/>
        <charset val="186"/>
      </rPr>
      <t xml:space="preserve"> euro </t>
    </r>
  </si>
  <si>
    <r>
      <t>EUMM Georgia</t>
    </r>
    <r>
      <rPr>
        <b/>
        <sz val="11"/>
        <rFont val="Times New Roman"/>
        <family val="1"/>
        <charset val="186"/>
      </rPr>
      <t xml:space="preserve">   (27.01.2026</t>
    </r>
    <r>
      <rPr>
        <b/>
        <sz val="11"/>
        <color rgb="FFFF0000"/>
        <rFont val="Times New Roman"/>
        <family val="1"/>
        <charset val="186"/>
      </rPr>
      <t>.</t>
    </r>
    <r>
      <rPr>
        <b/>
        <sz val="11"/>
        <rFont val="Times New Roman"/>
        <family val="1"/>
        <charset val="186"/>
      </rPr>
      <t xml:space="preserve"> -31.12.2026.) </t>
    </r>
    <r>
      <rPr>
        <b/>
        <i/>
        <sz val="11"/>
        <rFont val="Times New Roman"/>
        <family val="1"/>
        <charset val="186"/>
      </rPr>
      <t>(papildus)</t>
    </r>
  </si>
  <si>
    <r>
      <t xml:space="preserve">Pārējie komandējumu un darba braucienu izdevumi
Ceļa izdevumi:
Vienam braucieniem un bagāžai (atgriežoties Latvijā) 560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
560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 </t>
    </r>
    <r>
      <rPr>
        <i/>
        <sz val="10"/>
        <color theme="1"/>
        <rFont val="Times New Roman"/>
        <family val="1"/>
        <charset val="186"/>
      </rPr>
      <t>euro.
Finansējums ceļa izdevumiem 2026.gadam, kas piešķirts iepriekšējā gadā (kad šīm amatpersonām jau tika pagarināts dalības laiks misijā), bija plānots amatpersonām, lai amatpersona atgrieztos Latvijā pēc misijas pabeigšanas. Ņemot vērā, ka dalības laiks misijā ir pagarināts, amatpersonai būs tiesības 2026.gadā izmantot ikgadējo atvaļinājumu (dodoties  uz Latviju). Līdz ar to faktiski nepieciešamais finansējums ceļa izdevumiem 2026.gadam ir 1 124 euro ((560,00 euro + 2,00 euro) x 2 = 1 124 euro), to tiem finansējums 562 euro piešķirts iepriekšējā gadā un 562 euro pieprasīts papildus.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</si>
</sst>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6"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sz val="11"/>
      <color theme="1"/>
      <name val="Times New Roman"/>
      <family val="1"/>
      <charset val="186"/>
    </font>
    <font>
      <i/>
      <sz val="10"/>
      <color theme="1"/>
      <name val="Times New Roman"/>
      <family val="1"/>
      <charset val="186"/>
    </font>
    <font>
      <b/>
      <sz val="18"/>
      <color theme="1"/>
      <name val="Times New Roman"/>
      <family val="1"/>
      <charset val="186"/>
    </font>
    <font>
      <b/>
      <sz val="10"/>
      <color theme="1"/>
      <name val="Times New Roman"/>
      <family val="1"/>
      <charset val="186"/>
    </font>
    <font>
      <b/>
      <sz val="10"/>
      <color rgb="FF0070C0"/>
      <name val="Times New Roman"/>
      <family val="1"/>
      <charset val="186"/>
    </font>
    <font>
      <sz val="11"/>
      <name val="Times New Roman"/>
      <family val="1"/>
      <charset val="186"/>
    </font>
    <font>
      <sz val="9"/>
      <color theme="1"/>
      <name val="Times New Roman"/>
      <family val="1"/>
      <charset val="186"/>
    </font>
    <font>
      <sz val="9"/>
      <name val="Times New Roman"/>
      <family val="1"/>
      <charset val="186"/>
    </font>
    <font>
      <sz val="9"/>
      <color rgb="FF414142"/>
      <name val="Times New Roman"/>
      <family val="1"/>
      <charset val="186"/>
    </font>
    <font>
      <b/>
      <sz val="9"/>
      <color theme="1"/>
      <name val="Times New Roman"/>
      <family val="1"/>
      <charset val="186"/>
    </font>
    <font>
      <b/>
      <sz val="9"/>
      <color rgb="FF414142"/>
      <name val="Times New Roman"/>
      <family val="1"/>
      <charset val="186"/>
    </font>
    <font>
      <b/>
      <sz val="10"/>
      <color theme="4" tint="-0.249977111117893"/>
      <name val="Times New Roman"/>
      <family val="1"/>
      <charset val="186"/>
    </font>
    <font>
      <sz val="8"/>
      <color theme="1"/>
      <name val="Times New Roman"/>
      <family val="1"/>
      <charset val="186"/>
    </font>
    <font>
      <sz val="8"/>
      <color rgb="FF414142"/>
      <name val="Arial"/>
      <family val="2"/>
      <charset val="186"/>
    </font>
    <font>
      <sz val="10"/>
      <color rgb="FFFF0000"/>
      <name val="Times New Roman"/>
      <family val="1"/>
      <charset val="186"/>
    </font>
    <font>
      <b/>
      <sz val="10"/>
      <color rgb="FF00B0F0"/>
      <name val="Times New Roman"/>
      <family val="1"/>
      <charset val="186"/>
    </font>
    <font>
      <sz val="8"/>
      <color theme="1"/>
      <name val="Arial"/>
      <family val="2"/>
      <charset val="186"/>
    </font>
    <font>
      <u/>
      <sz val="10"/>
      <color theme="1"/>
      <name val="Times New Roman"/>
      <family val="1"/>
      <charset val="186"/>
    </font>
    <font>
      <b/>
      <i/>
      <sz val="10"/>
      <color theme="1"/>
      <name val="Times New Roman"/>
      <family val="1"/>
      <charset val="186"/>
    </font>
    <font>
      <i/>
      <sz val="9"/>
      <color theme="1"/>
      <name val="Times New Roman"/>
      <family val="1"/>
      <charset val="186"/>
    </font>
    <font>
      <sz val="10"/>
      <color theme="1"/>
      <name val="Arial"/>
      <family val="2"/>
      <charset val="186"/>
    </font>
    <font>
      <i/>
      <sz val="10"/>
      <color rgb="FFFF0000"/>
      <name val="Times New Roman"/>
      <family val="1"/>
      <charset val="186"/>
    </font>
    <font>
      <b/>
      <i/>
      <sz val="12"/>
      <name val="Times New Roman"/>
      <family val="1"/>
      <charset val="186"/>
    </font>
    <font>
      <sz val="11"/>
      <name val="Calibri"/>
      <family val="2"/>
      <charset val="186"/>
      <scheme val="minor"/>
    </font>
    <font>
      <b/>
      <sz val="11"/>
      <color rgb="FF0070C0"/>
      <name val="Times New Roman"/>
      <family val="1"/>
      <charset val="186"/>
    </font>
    <font>
      <b/>
      <i/>
      <sz val="11"/>
      <name val="Times New Roman"/>
      <family val="1"/>
      <charset val="186"/>
    </font>
    <font>
      <b/>
      <sz val="11"/>
      <name val="Times New Roman"/>
      <family val="1"/>
      <charset val="186"/>
    </font>
    <font>
      <b/>
      <sz val="11"/>
      <color rgb="FFFF0000"/>
      <name val="Times New Roman"/>
      <family val="1"/>
      <charset val="186"/>
    </font>
    <font>
      <i/>
      <sz val="11"/>
      <name val="Times New Roman"/>
      <family val="1"/>
      <charset val="186"/>
    </font>
    <font>
      <sz val="11"/>
      <color rgb="FFFF0000"/>
      <name val="Times New Roman"/>
      <family val="1"/>
      <charset val="186"/>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style="thin">
        <color rgb="FF414142"/>
      </left>
      <right style="thin">
        <color rgb="FF414142"/>
      </right>
      <top style="thin">
        <color rgb="FF414142"/>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style="hair">
        <color indexed="64"/>
      </bottom>
      <diagonal/>
    </border>
    <border>
      <left/>
      <right/>
      <top style="thin">
        <color indexed="64"/>
      </top>
      <bottom/>
      <diagonal/>
    </border>
    <border>
      <left/>
      <right style="thin">
        <color rgb="FF414142"/>
      </right>
      <top style="thin">
        <color rgb="FF414142"/>
      </top>
      <bottom/>
      <diagonal/>
    </border>
  </borders>
  <cellStyleXfs count="1">
    <xf numFmtId="0" fontId="0" fillId="0" borderId="0"/>
  </cellStyleXfs>
  <cellXfs count="176">
    <xf numFmtId="0" fontId="0" fillId="0" borderId="0" xfId="0"/>
    <xf numFmtId="0" fontId="2" fillId="0" borderId="0" xfId="0" applyFont="1" applyFill="1"/>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6" fillId="0" borderId="0" xfId="0" applyFont="1" applyFill="1"/>
    <xf numFmtId="0" fontId="3" fillId="0" borderId="0" xfId="0" applyFont="1" applyFill="1" applyAlignment="1">
      <alignment horizontal="right" vertical="center"/>
    </xf>
    <xf numFmtId="4" fontId="2" fillId="0" borderId="0" xfId="0" applyNumberFormat="1" applyFont="1" applyFill="1" applyAlignment="1">
      <alignment vertical="center"/>
    </xf>
    <xf numFmtId="4" fontId="2" fillId="0" borderId="0" xfId="0" applyNumberFormat="1" applyFont="1" applyFill="1"/>
    <xf numFmtId="0" fontId="3" fillId="0" borderId="9" xfId="0" applyFont="1" applyFill="1" applyBorder="1" applyAlignment="1">
      <alignment vertical="center" wrapText="1"/>
    </xf>
    <xf numFmtId="0" fontId="2" fillId="0" borderId="12" xfId="0" applyFont="1" applyFill="1" applyBorder="1" applyAlignment="1">
      <alignment vertical="center" wrapText="1"/>
    </xf>
    <xf numFmtId="0" fontId="2" fillId="0" borderId="0" xfId="0" applyFont="1" applyFill="1"/>
    <xf numFmtId="0" fontId="2"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4" fillId="0" borderId="0" xfId="0" applyFont="1" applyFill="1" applyAlignment="1">
      <alignment horizontal="right"/>
    </xf>
    <xf numFmtId="0" fontId="6" fillId="0" borderId="0" xfId="0" applyFont="1" applyFill="1"/>
    <xf numFmtId="0" fontId="3" fillId="0" borderId="7" xfId="0" applyFont="1" applyFill="1" applyBorder="1" applyAlignment="1">
      <alignment vertical="center" wrapText="1"/>
    </xf>
    <xf numFmtId="0" fontId="3" fillId="0" borderId="7" xfId="0" applyFont="1" applyFill="1" applyBorder="1" applyAlignment="1">
      <alignment horizontal="right" vertical="center" wrapText="1"/>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9" xfId="0" applyFont="1" applyFill="1" applyBorder="1" applyAlignment="1">
      <alignment horizontal="right" vertical="center" wrapText="1"/>
    </xf>
    <xf numFmtId="0" fontId="3" fillId="0" borderId="9" xfId="0" applyFont="1" applyFill="1" applyBorder="1" applyAlignment="1">
      <alignment horizontal="left" vertical="center" wrapText="1"/>
    </xf>
    <xf numFmtId="0" fontId="3" fillId="0" borderId="8" xfId="0" applyFont="1" applyFill="1" applyBorder="1" applyAlignment="1">
      <alignment vertical="center" wrapText="1"/>
    </xf>
    <xf numFmtId="0" fontId="3" fillId="0" borderId="15" xfId="0" applyFont="1" applyFill="1" applyBorder="1" applyAlignment="1">
      <alignment vertical="center" wrapText="1"/>
    </xf>
    <xf numFmtId="0" fontId="3" fillId="0" borderId="14" xfId="0" applyFont="1" applyFill="1" applyBorder="1" applyAlignment="1">
      <alignment horizontal="left" vertical="center" wrapText="1"/>
    </xf>
    <xf numFmtId="0" fontId="2" fillId="0" borderId="0" xfId="0" applyFont="1"/>
    <xf numFmtId="0" fontId="3" fillId="0" borderId="10"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14"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center" vertical="center" wrapText="1"/>
    </xf>
    <xf numFmtId="3" fontId="2" fillId="0" borderId="7"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3" fontId="5" fillId="0" borderId="5" xfId="0" applyNumberFormat="1" applyFont="1" applyFill="1" applyBorder="1" applyAlignment="1">
      <alignment horizontal="right" vertical="center" wrapText="1"/>
    </xf>
    <xf numFmtId="0" fontId="2" fillId="0" borderId="7"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3" fontId="2" fillId="0" borderId="9" xfId="0" applyNumberFormat="1" applyFont="1" applyFill="1" applyBorder="1" applyAlignment="1">
      <alignment horizontal="right" vertical="center"/>
    </xf>
    <xf numFmtId="0" fontId="9" fillId="0" borderId="3" xfId="0" applyFont="1" applyFill="1" applyBorder="1" applyAlignment="1">
      <alignment horizontal="right" vertical="center"/>
    </xf>
    <xf numFmtId="3" fontId="9" fillId="0" borderId="4" xfId="0" applyNumberFormat="1" applyFont="1" applyFill="1" applyBorder="1" applyAlignment="1">
      <alignment horizontal="right" vertical="center"/>
    </xf>
    <xf numFmtId="3" fontId="2" fillId="0" borderId="10" xfId="0" applyNumberFormat="1" applyFont="1" applyFill="1" applyBorder="1" applyAlignment="1">
      <alignment horizontal="right" vertical="center" wrapText="1"/>
    </xf>
    <xf numFmtId="3" fontId="2" fillId="0" borderId="14" xfId="0" applyNumberFormat="1" applyFont="1" applyFill="1" applyBorder="1" applyAlignment="1">
      <alignment horizontal="right" vertical="center"/>
    </xf>
    <xf numFmtId="3" fontId="2" fillId="0" borderId="10" xfId="0" applyNumberFormat="1" applyFont="1" applyFill="1" applyBorder="1" applyAlignment="1">
      <alignment horizontal="right" vertical="center"/>
    </xf>
    <xf numFmtId="0" fontId="7" fillId="0" borderId="0" xfId="0" applyFont="1" applyFill="1" applyAlignment="1">
      <alignment horizontal="right"/>
    </xf>
    <xf numFmtId="0" fontId="2" fillId="0" borderId="17" xfId="0" applyFont="1" applyFill="1" applyBorder="1" applyAlignment="1">
      <alignment vertical="center" wrapText="1"/>
    </xf>
    <xf numFmtId="3" fontId="2" fillId="0" borderId="16" xfId="0" applyNumberFormat="1" applyFont="1" applyFill="1" applyBorder="1" applyAlignment="1">
      <alignment horizontal="right" vertical="center"/>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3" fontId="9" fillId="0" borderId="3" xfId="0" applyNumberFormat="1" applyFont="1" applyFill="1" applyBorder="1" applyAlignment="1">
      <alignment horizontal="right" vertical="center" wrapText="1"/>
    </xf>
    <xf numFmtId="0" fontId="2" fillId="2" borderId="17" xfId="0" applyFont="1" applyFill="1" applyBorder="1" applyAlignment="1">
      <alignment vertical="center" wrapText="1"/>
    </xf>
    <xf numFmtId="0" fontId="9" fillId="0" borderId="3" xfId="0" applyFont="1" applyFill="1" applyBorder="1" applyAlignment="1">
      <alignment horizontal="left" vertical="center" wrapText="1"/>
    </xf>
    <xf numFmtId="0" fontId="3" fillId="0" borderId="19" xfId="0" applyFont="1" applyFill="1" applyBorder="1" applyAlignment="1">
      <alignment horizontal="right" vertical="center"/>
    </xf>
    <xf numFmtId="0" fontId="3" fillId="0" borderId="19" xfId="0" applyFont="1" applyFill="1" applyBorder="1" applyAlignment="1">
      <alignment horizontal="left" vertical="center" wrapText="1"/>
    </xf>
    <xf numFmtId="3" fontId="2" fillId="0" borderId="19" xfId="0" applyNumberFormat="1" applyFont="1" applyFill="1" applyBorder="1" applyAlignment="1">
      <alignment horizontal="right" vertical="center" wrapText="1"/>
    </xf>
    <xf numFmtId="2" fontId="2" fillId="0" borderId="0" xfId="0" applyNumberFormat="1" applyFont="1" applyFill="1"/>
    <xf numFmtId="3" fontId="2" fillId="0" borderId="0" xfId="0" applyNumberFormat="1" applyFont="1" applyFill="1" applyBorder="1" applyAlignment="1">
      <alignment horizontal="right" vertical="center" wrapText="1"/>
    </xf>
    <xf numFmtId="3" fontId="0" fillId="0" borderId="0" xfId="0" applyNumberFormat="1"/>
    <xf numFmtId="0" fontId="8" fillId="0" borderId="0" xfId="0" applyFont="1" applyAlignment="1">
      <alignment horizontal="center" vertical="center"/>
    </xf>
    <xf numFmtId="0" fontId="2" fillId="0" borderId="0" xfId="0" applyFont="1" applyFill="1" applyAlignment="1">
      <alignment horizontal="center" vertical="center"/>
    </xf>
    <xf numFmtId="0" fontId="6" fillId="0" borderId="0" xfId="0" applyFont="1" applyFill="1" applyAlignment="1">
      <alignment horizontal="right" vertical="center"/>
    </xf>
    <xf numFmtId="0" fontId="11" fillId="0" borderId="0" xfId="0" applyFont="1" applyFill="1" applyAlignment="1">
      <alignment horizontal="right" vertical="center"/>
    </xf>
    <xf numFmtId="0" fontId="6" fillId="0" borderId="0" xfId="0" applyFont="1" applyFill="1" applyAlignment="1">
      <alignment wrapText="1"/>
    </xf>
    <xf numFmtId="0" fontId="6" fillId="0" borderId="0" xfId="0" applyFont="1" applyFill="1" applyAlignment="1">
      <alignment horizontal="left" wrapText="1"/>
    </xf>
    <xf numFmtId="0" fontId="12" fillId="0" borderId="0" xfId="0" applyFont="1" applyFill="1" applyAlignment="1">
      <alignment horizontal="right" vertical="center"/>
    </xf>
    <xf numFmtId="0" fontId="12" fillId="0" borderId="0" xfId="0" applyFont="1" applyFill="1" applyAlignment="1">
      <alignment wrapText="1"/>
    </xf>
    <xf numFmtId="0" fontId="13" fillId="0" borderId="0" xfId="0" applyFont="1" applyFill="1" applyAlignment="1">
      <alignment horizontal="right" vertical="center"/>
    </xf>
    <xf numFmtId="0" fontId="12" fillId="0" borderId="0" xfId="0" applyFont="1" applyFill="1"/>
    <xf numFmtId="4" fontId="14" fillId="0" borderId="13" xfId="0" applyNumberFormat="1" applyFont="1" applyFill="1" applyBorder="1" applyAlignment="1">
      <alignment horizontal="center" vertical="center" wrapText="1"/>
    </xf>
    <xf numFmtId="0" fontId="12" fillId="0" borderId="0" xfId="0" applyFont="1" applyFill="1" applyBorder="1" applyAlignment="1">
      <alignment horizontal="right" vertical="center"/>
    </xf>
    <xf numFmtId="0" fontId="12" fillId="0" borderId="0" xfId="0" applyFont="1" applyFill="1" applyBorder="1" applyAlignment="1">
      <alignment wrapText="1"/>
    </xf>
    <xf numFmtId="0" fontId="12" fillId="0" borderId="0" xfId="0" applyFont="1" applyFill="1" applyBorder="1"/>
    <xf numFmtId="3" fontId="12" fillId="0" borderId="0" xfId="0" applyNumberFormat="1" applyFont="1" applyFill="1" applyBorder="1" applyAlignment="1">
      <alignment horizontal="left"/>
    </xf>
    <xf numFmtId="4" fontId="12" fillId="0" borderId="0" xfId="0" applyNumberFormat="1" applyFont="1" applyFill="1" applyBorder="1" applyAlignment="1">
      <alignment horizontal="left"/>
    </xf>
    <xf numFmtId="0" fontId="12" fillId="0" borderId="0" xfId="0" applyFont="1" applyFill="1" applyBorder="1" applyAlignment="1">
      <alignment horizontal="left" wrapText="1"/>
    </xf>
    <xf numFmtId="4" fontId="12" fillId="0" borderId="0" xfId="0" applyNumberFormat="1" applyFont="1" applyFill="1" applyBorder="1" applyAlignment="1">
      <alignment horizontal="left" wrapText="1"/>
    </xf>
    <xf numFmtId="0" fontId="15" fillId="0" borderId="0" xfId="0" applyFont="1" applyFill="1" applyBorder="1" applyAlignment="1">
      <alignment horizontal="right" vertical="center"/>
    </xf>
    <xf numFmtId="0" fontId="16" fillId="0" borderId="0" xfId="0" applyFont="1" applyFill="1" applyBorder="1" applyAlignment="1">
      <alignment vertical="center" wrapText="1"/>
    </xf>
    <xf numFmtId="0" fontId="15" fillId="0" borderId="0" xfId="0" applyFont="1" applyFill="1" applyBorder="1"/>
    <xf numFmtId="0" fontId="6" fillId="0" borderId="0" xfId="0" applyFont="1" applyFill="1" applyAlignment="1">
      <alignment horizontal="center" vertical="center"/>
    </xf>
    <xf numFmtId="2" fontId="2" fillId="0" borderId="0" xfId="0" applyNumberFormat="1" applyFont="1" applyFill="1" applyAlignment="1">
      <alignment horizontal="center" vertical="center"/>
    </xf>
    <xf numFmtId="1" fontId="2" fillId="0" borderId="0" xfId="0" applyNumberFormat="1" applyFont="1" applyFill="1" applyAlignment="1">
      <alignment horizontal="center" vertical="center"/>
    </xf>
    <xf numFmtId="3" fontId="2" fillId="0" borderId="0" xfId="0" applyNumberFormat="1" applyFont="1" applyFill="1" applyAlignment="1">
      <alignment horizontal="center" vertical="center"/>
    </xf>
    <xf numFmtId="0" fontId="2" fillId="0" borderId="8" xfId="0" applyFont="1" applyFill="1" applyBorder="1" applyAlignment="1">
      <alignment horizontal="justify" vertical="center" wrapText="1"/>
    </xf>
    <xf numFmtId="0" fontId="2" fillId="0" borderId="0" xfId="0" applyFont="1" applyFill="1" applyAlignment="1">
      <alignment horizontal="left" wrapText="1"/>
    </xf>
    <xf numFmtId="4" fontId="2" fillId="0" borderId="0" xfId="0" applyNumberFormat="1" applyFont="1" applyFill="1" applyAlignment="1">
      <alignment horizontal="left" wrapText="1"/>
    </xf>
    <xf numFmtId="0" fontId="18" fillId="0" borderId="0" xfId="0" applyFont="1" applyFill="1" applyAlignment="1">
      <alignment horizontal="right" vertical="center"/>
    </xf>
    <xf numFmtId="4" fontId="19" fillId="0" borderId="0" xfId="0" applyNumberFormat="1" applyFont="1"/>
    <xf numFmtId="4" fontId="12" fillId="2" borderId="0" xfId="0" applyNumberFormat="1" applyFont="1" applyFill="1" applyBorder="1" applyAlignment="1">
      <alignment horizontal="left" wrapText="1"/>
    </xf>
    <xf numFmtId="0" fontId="3" fillId="0" borderId="0" xfId="0" applyFont="1" applyFill="1" applyAlignment="1">
      <alignment horizontal="center" vertical="center" wrapText="1"/>
    </xf>
    <xf numFmtId="0" fontId="2" fillId="0" borderId="0" xfId="0" applyFont="1" applyFill="1" applyBorder="1" applyAlignment="1">
      <alignment horizontal="right" vertical="center"/>
    </xf>
    <xf numFmtId="0" fontId="2" fillId="0" borderId="0" xfId="0" applyFont="1" applyFill="1" applyBorder="1" applyAlignment="1">
      <alignment wrapText="1"/>
    </xf>
    <xf numFmtId="0" fontId="2" fillId="0" borderId="0" xfId="0" applyFont="1" applyFill="1" applyBorder="1"/>
    <xf numFmtId="0" fontId="2" fillId="0" borderId="0" xfId="0" applyFont="1" applyFill="1" applyBorder="1" applyAlignment="1">
      <alignment horizontal="center" vertical="center"/>
    </xf>
    <xf numFmtId="0" fontId="2" fillId="0" borderId="0" xfId="0" applyFont="1" applyFill="1" applyBorder="1" applyAlignment="1">
      <alignment horizontal="left" wrapText="1"/>
    </xf>
    <xf numFmtId="0" fontId="3" fillId="0" borderId="0" xfId="0" applyFont="1" applyFill="1" applyAlignment="1">
      <alignment horizontal="center" vertical="center" wrapText="1"/>
    </xf>
    <xf numFmtId="164" fontId="6" fillId="0" borderId="0" xfId="0" applyNumberFormat="1" applyFont="1" applyFill="1"/>
    <xf numFmtId="4" fontId="2" fillId="0" borderId="0" xfId="0" applyNumberFormat="1" applyFont="1" applyFill="1" applyAlignment="1">
      <alignment horizontal="center" vertical="center"/>
    </xf>
    <xf numFmtId="4" fontId="6" fillId="0" borderId="0" xfId="0" applyNumberFormat="1" applyFont="1" applyFill="1"/>
    <xf numFmtId="3" fontId="5" fillId="0" borderId="3" xfId="0" applyNumberFormat="1" applyFont="1" applyFill="1" applyBorder="1" applyAlignment="1">
      <alignment horizontal="right" vertical="center" wrapText="1"/>
    </xf>
    <xf numFmtId="0" fontId="0" fillId="0" borderId="0" xfId="0" applyFill="1"/>
    <xf numFmtId="0" fontId="9" fillId="0" borderId="1" xfId="0" applyFont="1" applyFill="1" applyBorder="1" applyAlignment="1">
      <alignment horizontal="left" vertical="center" wrapText="1"/>
    </xf>
    <xf numFmtId="0" fontId="5" fillId="3" borderId="3" xfId="0" applyFont="1" applyFill="1" applyBorder="1" applyAlignment="1">
      <alignment horizontal="right" vertical="center"/>
    </xf>
    <xf numFmtId="0" fontId="2" fillId="0" borderId="16" xfId="0" applyFont="1" applyFill="1" applyBorder="1" applyAlignment="1">
      <alignment vertical="center" wrapText="1"/>
    </xf>
    <xf numFmtId="0" fontId="2" fillId="0" borderId="10" xfId="0" applyFont="1" applyFill="1" applyBorder="1" applyAlignment="1">
      <alignment horizontal="right" vertical="center" wrapText="1"/>
    </xf>
    <xf numFmtId="0" fontId="2" fillId="0" borderId="10" xfId="0" applyFont="1" applyFill="1" applyBorder="1" applyAlignment="1">
      <alignment horizontal="left" vertical="center" wrapText="1"/>
    </xf>
    <xf numFmtId="0" fontId="2" fillId="0" borderId="7" xfId="0" applyFont="1" applyFill="1" applyBorder="1" applyAlignment="1">
      <alignment horizontal="right" vertical="center" wrapText="1"/>
    </xf>
    <xf numFmtId="0" fontId="2" fillId="0" borderId="7" xfId="0" applyFont="1" applyFill="1" applyBorder="1" applyAlignment="1">
      <alignment horizontal="left" vertical="center" wrapText="1"/>
    </xf>
    <xf numFmtId="4" fontId="22" fillId="0" borderId="0" xfId="0" applyNumberFormat="1" applyFont="1"/>
    <xf numFmtId="0" fontId="2" fillId="2" borderId="18" xfId="0" applyFont="1" applyFill="1" applyBorder="1" applyAlignment="1">
      <alignment horizontal="left" vertical="center" wrapText="1"/>
    </xf>
    <xf numFmtId="0" fontId="2" fillId="0" borderId="9" xfId="0" applyFont="1" applyFill="1" applyBorder="1" applyAlignment="1">
      <alignment horizontal="right" vertical="center" wrapText="1"/>
    </xf>
    <xf numFmtId="0" fontId="2" fillId="0" borderId="3" xfId="0" applyFont="1" applyFill="1" applyBorder="1" applyAlignment="1">
      <alignment horizontal="justify" vertical="center" wrapText="1"/>
    </xf>
    <xf numFmtId="0" fontId="2" fillId="0" borderId="19" xfId="0" applyFont="1" applyFill="1" applyBorder="1" applyAlignment="1">
      <alignment horizontal="right" vertical="center" wrapText="1"/>
    </xf>
    <xf numFmtId="0" fontId="2" fillId="2" borderId="20" xfId="0" applyFont="1" applyFill="1" applyBorder="1" applyAlignment="1">
      <alignment horizontal="left" vertical="center" wrapText="1"/>
    </xf>
    <xf numFmtId="3" fontId="2" fillId="0" borderId="19" xfId="0" applyNumberFormat="1" applyFont="1" applyFill="1" applyBorder="1" applyAlignment="1">
      <alignment horizontal="right" vertical="center"/>
    </xf>
    <xf numFmtId="0" fontId="2" fillId="0" borderId="0" xfId="0" applyFont="1" applyFill="1" applyBorder="1" applyAlignment="1">
      <alignment horizontal="left" vertical="center" wrapText="1"/>
    </xf>
    <xf numFmtId="0" fontId="5" fillId="0" borderId="3" xfId="0" applyFont="1" applyFill="1" applyBorder="1" applyAlignment="1">
      <alignment horizontal="right" vertical="center"/>
    </xf>
    <xf numFmtId="0" fontId="2" fillId="0" borderId="9" xfId="0" applyFont="1" applyFill="1" applyBorder="1" applyAlignment="1">
      <alignment horizontal="left" vertical="center" wrapText="1"/>
    </xf>
    <xf numFmtId="0" fontId="2" fillId="0" borderId="7" xfId="0" applyFont="1" applyFill="1" applyBorder="1" applyAlignment="1">
      <alignment horizontal="justify" vertical="center" wrapText="1"/>
    </xf>
    <xf numFmtId="0" fontId="2" fillId="0" borderId="7" xfId="0" applyFont="1" applyFill="1" applyBorder="1" applyAlignment="1">
      <alignment horizontal="right" vertical="center"/>
    </xf>
    <xf numFmtId="0" fontId="2" fillId="0" borderId="20" xfId="0" applyFont="1" applyFill="1" applyBorder="1" applyAlignment="1">
      <alignment horizontal="left" vertical="center" wrapText="1"/>
    </xf>
    <xf numFmtId="3" fontId="2" fillId="2" borderId="10" xfId="0" applyNumberFormat="1" applyFont="1" applyFill="1" applyBorder="1" applyAlignment="1">
      <alignment horizontal="right" vertical="center"/>
    </xf>
    <xf numFmtId="3" fontId="2" fillId="2" borderId="19" xfId="0" applyNumberFormat="1" applyFont="1" applyFill="1" applyBorder="1" applyAlignment="1">
      <alignment horizontal="right" vertical="center"/>
    </xf>
    <xf numFmtId="4" fontId="15" fillId="0" borderId="0" xfId="0" applyNumberFormat="1" applyFont="1" applyFill="1" applyBorder="1" applyAlignment="1">
      <alignment horizontal="center" vertical="center" wrapText="1"/>
    </xf>
    <xf numFmtId="0" fontId="2" fillId="0" borderId="21" xfId="0" applyFont="1" applyFill="1" applyBorder="1" applyAlignment="1">
      <alignment horizontal="justify" vertical="center" wrapText="1"/>
    </xf>
    <xf numFmtId="0" fontId="2" fillId="0" borderId="9" xfId="0" applyFont="1" applyFill="1" applyBorder="1" applyAlignment="1">
      <alignment horizontal="justify" vertical="center" wrapText="1"/>
    </xf>
    <xf numFmtId="4" fontId="2" fillId="0" borderId="0" xfId="0" applyNumberFormat="1" applyFont="1" applyFill="1" applyBorder="1" applyAlignment="1">
      <alignment horizontal="center" vertical="center" wrapText="1"/>
    </xf>
    <xf numFmtId="0" fontId="2" fillId="0" borderId="8" xfId="0" applyFont="1" applyFill="1" applyBorder="1" applyAlignment="1">
      <alignment horizontal="left" vertical="center" wrapText="1"/>
    </xf>
    <xf numFmtId="0" fontId="15" fillId="0" borderId="3" xfId="0" applyFont="1" applyFill="1" applyBorder="1" applyAlignment="1">
      <alignment horizontal="right" vertical="center"/>
    </xf>
    <xf numFmtId="0" fontId="15" fillId="0" borderId="3" xfId="0" applyFont="1" applyFill="1" applyBorder="1" applyAlignment="1">
      <alignment vertical="center" wrapText="1"/>
    </xf>
    <xf numFmtId="0" fontId="12" fillId="0" borderId="3" xfId="0" applyFont="1" applyFill="1" applyBorder="1" applyAlignment="1">
      <alignment horizontal="right" vertical="center"/>
    </xf>
    <xf numFmtId="3" fontId="12" fillId="2" borderId="3" xfId="0" applyNumberFormat="1" applyFont="1" applyFill="1" applyBorder="1" applyAlignment="1">
      <alignment horizontal="left"/>
    </xf>
    <xf numFmtId="0" fontId="12" fillId="0" borderId="3" xfId="0" applyFont="1" applyFill="1" applyBorder="1" applyAlignment="1">
      <alignment horizontal="left" wrapText="1"/>
    </xf>
    <xf numFmtId="0" fontId="2" fillId="0" borderId="3" xfId="0" applyFont="1" applyFill="1" applyBorder="1" applyAlignment="1">
      <alignment horizontal="right" vertical="center"/>
    </xf>
    <xf numFmtId="4" fontId="12" fillId="0" borderId="23" xfId="0" applyNumberFormat="1" applyFont="1" applyFill="1" applyBorder="1" applyAlignment="1">
      <alignment horizontal="center" vertical="center" wrapText="1"/>
    </xf>
    <xf numFmtId="4" fontId="12" fillId="2" borderId="3" xfId="0" applyNumberFormat="1" applyFont="1" applyFill="1" applyBorder="1" applyAlignment="1">
      <alignment horizontal="left" wrapText="1"/>
    </xf>
    <xf numFmtId="4" fontId="26" fillId="0" borderId="23" xfId="0" applyNumberFormat="1" applyFont="1" applyFill="1" applyBorder="1" applyAlignment="1">
      <alignment horizontal="center" vertical="center" wrapText="1"/>
    </xf>
    <xf numFmtId="0" fontId="2" fillId="0" borderId="3" xfId="0" applyFont="1" applyFill="1" applyBorder="1" applyAlignment="1">
      <alignment vertical="center" wrapText="1"/>
    </xf>
    <xf numFmtId="3" fontId="6" fillId="0" borderId="3" xfId="0" applyNumberFormat="1" applyFont="1" applyFill="1" applyBorder="1" applyAlignment="1">
      <alignment horizontal="left"/>
    </xf>
    <xf numFmtId="0" fontId="2" fillId="0" borderId="3" xfId="0" applyFont="1" applyFill="1" applyBorder="1" applyAlignment="1">
      <alignment horizontal="left" wrapText="1"/>
    </xf>
    <xf numFmtId="4" fontId="2" fillId="0" borderId="3" xfId="0" applyNumberFormat="1" applyFont="1" applyFill="1" applyBorder="1" applyAlignment="1">
      <alignment horizontal="left" wrapText="1"/>
    </xf>
    <xf numFmtId="0" fontId="3" fillId="0" borderId="8" xfId="0" applyFont="1" applyFill="1" applyBorder="1" applyAlignment="1">
      <alignment horizontal="justify" vertical="center" wrapText="1"/>
    </xf>
    <xf numFmtId="0" fontId="28" fillId="0" borderId="0" xfId="0" applyFont="1" applyAlignment="1">
      <alignment horizontal="left" vertical="center"/>
    </xf>
    <xf numFmtId="0" fontId="29" fillId="0" borderId="0" xfId="0" applyFont="1"/>
    <xf numFmtId="0" fontId="30" fillId="0" borderId="3" xfId="0" applyFont="1" applyBorder="1" applyAlignment="1">
      <alignment horizontal="center" vertical="center"/>
    </xf>
    <xf numFmtId="3" fontId="32" fillId="0" borderId="3" xfId="0" applyNumberFormat="1" applyFont="1" applyBorder="1" applyAlignment="1">
      <alignment horizontal="center" vertical="center"/>
    </xf>
    <xf numFmtId="0" fontId="32" fillId="0" borderId="3" xfId="0" applyFont="1" applyBorder="1" applyAlignment="1">
      <alignment vertical="center" wrapText="1"/>
    </xf>
    <xf numFmtId="3" fontId="32" fillId="0" borderId="3" xfId="0" applyNumberFormat="1" applyFont="1" applyBorder="1" applyAlignment="1">
      <alignment horizontal="center" vertical="center" wrapText="1"/>
    </xf>
    <xf numFmtId="0" fontId="11" fillId="0" borderId="3" xfId="0" applyFont="1" applyBorder="1" applyAlignment="1">
      <alignment vertical="center" wrapText="1"/>
    </xf>
    <xf numFmtId="3" fontId="11" fillId="0" borderId="3" xfId="0" applyNumberFormat="1" applyFont="1" applyBorder="1" applyAlignment="1">
      <alignment horizontal="center" vertical="center" wrapText="1"/>
    </xf>
    <xf numFmtId="0" fontId="11" fillId="0" borderId="3" xfId="0" applyFont="1" applyBorder="1" applyAlignment="1">
      <alignment horizontal="right" vertical="center" wrapText="1"/>
    </xf>
    <xf numFmtId="0" fontId="11" fillId="0" borderId="3" xfId="0" applyFont="1" applyBorder="1" applyAlignment="1">
      <alignment horizontal="justify" vertical="center" wrapText="1"/>
    </xf>
    <xf numFmtId="3" fontId="11" fillId="0" borderId="3" xfId="0" applyNumberFormat="1" applyFont="1" applyBorder="1" applyAlignment="1">
      <alignment horizontal="center" vertical="center"/>
    </xf>
    <xf numFmtId="0" fontId="11" fillId="0" borderId="3" xfId="0" applyFont="1" applyBorder="1" applyAlignment="1">
      <alignment horizontal="center" vertical="center" wrapText="1"/>
    </xf>
    <xf numFmtId="0" fontId="32" fillId="0" borderId="3" xfId="0" applyFont="1" applyBorder="1" applyAlignment="1">
      <alignment horizontal="center" vertical="center" wrapText="1"/>
    </xf>
    <xf numFmtId="0" fontId="11" fillId="0" borderId="3" xfId="0" applyFont="1" applyBorder="1" applyAlignment="1">
      <alignment wrapText="1"/>
    </xf>
    <xf numFmtId="0" fontId="11" fillId="0" borderId="3" xfId="0" applyFont="1" applyFill="1" applyBorder="1" applyAlignment="1">
      <alignment horizontal="justify" vertical="center" wrapText="1"/>
    </xf>
    <xf numFmtId="0" fontId="11" fillId="0" borderId="3" xfId="0" applyFont="1" applyBorder="1" applyAlignment="1">
      <alignment horizontal="center" vertical="center"/>
    </xf>
    <xf numFmtId="0" fontId="32" fillId="0" borderId="3" xfId="0" applyFont="1" applyBorder="1" applyAlignment="1">
      <alignment horizontal="justify" vertical="center" wrapText="1"/>
    </xf>
    <xf numFmtId="0" fontId="12" fillId="0" borderId="2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0" xfId="0" applyFont="1" applyFill="1" applyAlignment="1">
      <alignment horizontal="center" vertical="center"/>
    </xf>
    <xf numFmtId="0" fontId="3" fillId="0" borderId="0" xfId="0" applyFont="1" applyFill="1" applyAlignment="1">
      <alignment horizontal="center" vertical="center" wrapText="1"/>
    </xf>
    <xf numFmtId="0" fontId="5" fillId="3"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8" fillId="0" borderId="0" xfId="0" applyFont="1" applyAlignment="1">
      <alignment horizontal="center" vertical="center"/>
    </xf>
    <xf numFmtId="0" fontId="9" fillId="0" borderId="1" xfId="0" applyFont="1" applyFill="1" applyBorder="1" applyAlignment="1">
      <alignment horizontal="left" vertical="center" wrapText="1"/>
    </xf>
    <xf numFmtId="0" fontId="9" fillId="0" borderId="2" xfId="0" applyFont="1" applyFill="1" applyBorder="1" applyAlignment="1">
      <alignment horizontal="left" vertical="center" wrapText="1"/>
    </xf>
    <xf numFmtId="0" fontId="32" fillId="0" borderId="3" xfId="0" applyFont="1" applyBorder="1" applyAlignment="1">
      <alignment vertical="center" wrapText="1"/>
    </xf>
    <xf numFmtId="0" fontId="31" fillId="0" borderId="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0"/>
  <sheetViews>
    <sheetView zoomScaleNormal="100" workbookViewId="0">
      <pane ySplit="2" topLeftCell="A23" activePane="bottomLeft" state="frozen"/>
      <selection pane="bottomLeft" activeCell="B25" sqref="B25"/>
    </sheetView>
  </sheetViews>
  <sheetFormatPr defaultColWidth="9.33203125" defaultRowHeight="13.2" x14ac:dyDescent="0.25"/>
  <cols>
    <col min="1" max="1" width="9" style="4" customWidth="1"/>
    <col min="2" max="2" width="77.44140625" style="5" customWidth="1"/>
    <col min="3" max="3" width="14.6640625" style="7" customWidth="1"/>
    <col min="4" max="4" width="4.33203125" style="1" customWidth="1"/>
    <col min="5" max="5" width="11.5546875" style="1" customWidth="1"/>
    <col min="6" max="6" width="9.33203125" style="1" customWidth="1"/>
    <col min="7" max="16384" width="9.33203125" style="1"/>
  </cols>
  <sheetData>
    <row r="1" spans="1:6" ht="17.25" customHeight="1" x14ac:dyDescent="0.25">
      <c r="A1" s="166" t="s">
        <v>0</v>
      </c>
      <c r="B1" s="166"/>
      <c r="C1" s="166"/>
    </row>
    <row r="2" spans="1:6" ht="31.5" customHeight="1" x14ac:dyDescent="0.25">
      <c r="A2" s="167" t="s">
        <v>49</v>
      </c>
      <c r="B2" s="167"/>
      <c r="C2" s="167"/>
    </row>
    <row r="3" spans="1:6" x14ac:dyDescent="0.25">
      <c r="A3" s="2"/>
      <c r="B3" s="2"/>
      <c r="C3" s="3"/>
    </row>
    <row r="4" spans="1:6" x14ac:dyDescent="0.25">
      <c r="A4" s="14"/>
      <c r="B4" s="15"/>
      <c r="C4" s="48"/>
      <c r="D4" s="12"/>
      <c r="E4" s="12"/>
      <c r="F4" s="12"/>
    </row>
    <row r="5" spans="1:6" s="6" customFormat="1" ht="15" customHeight="1" x14ac:dyDescent="0.25">
      <c r="A5" s="168" t="s">
        <v>46</v>
      </c>
      <c r="B5" s="169"/>
      <c r="C5" s="106" t="s">
        <v>25</v>
      </c>
      <c r="D5" s="17"/>
      <c r="E5" s="17"/>
      <c r="F5" s="17"/>
    </row>
    <row r="6" spans="1:6" s="6" customFormat="1" ht="15" customHeight="1" x14ac:dyDescent="0.25">
      <c r="A6" s="164" t="s">
        <v>2</v>
      </c>
      <c r="B6" s="165"/>
      <c r="C6" s="35">
        <f>C7+C11</f>
        <v>46454</v>
      </c>
      <c r="D6" s="17"/>
      <c r="E6" s="17"/>
      <c r="F6" s="17"/>
    </row>
    <row r="7" spans="1:6" s="6" customFormat="1" ht="13.5" customHeight="1" x14ac:dyDescent="0.25">
      <c r="A7" s="36" t="s">
        <v>3</v>
      </c>
      <c r="B7" s="37" t="s">
        <v>4</v>
      </c>
      <c r="C7" s="38">
        <f>SUM(C8:C10)</f>
        <v>31293</v>
      </c>
      <c r="D7" s="17"/>
      <c r="E7" s="102"/>
      <c r="F7" s="17"/>
    </row>
    <row r="8" spans="1:6" ht="89.25" customHeight="1" x14ac:dyDescent="0.25">
      <c r="A8" s="39">
        <v>1149</v>
      </c>
      <c r="B8" s="40" t="s">
        <v>53</v>
      </c>
      <c r="C8" s="34">
        <f>ROUNDUP((((B31*1.4))/28*10)+(B31*1.4*9),0)</f>
        <v>25320</v>
      </c>
      <c r="D8" s="12"/>
      <c r="E8" s="12"/>
      <c r="F8" s="8"/>
    </row>
    <row r="9" spans="1:6" ht="48.75" customHeight="1" x14ac:dyDescent="0.25">
      <c r="A9" s="41">
        <v>1210</v>
      </c>
      <c r="B9" s="11" t="s">
        <v>85</v>
      </c>
      <c r="C9" s="42">
        <f>ROUND(C8*0.2359,0)</f>
        <v>5973</v>
      </c>
      <c r="D9" s="12"/>
      <c r="E9" s="12"/>
      <c r="F9" s="12"/>
    </row>
    <row r="10" spans="1:6" s="12" customFormat="1" ht="45.75" hidden="1" customHeight="1" x14ac:dyDescent="0.25">
      <c r="A10" s="107">
        <v>1226</v>
      </c>
      <c r="B10" s="54" t="s">
        <v>23</v>
      </c>
      <c r="C10" s="50"/>
    </row>
    <row r="11" spans="1:6" x14ac:dyDescent="0.25">
      <c r="A11" s="55" t="s">
        <v>5</v>
      </c>
      <c r="B11" s="105" t="s">
        <v>6</v>
      </c>
      <c r="C11" s="53">
        <f>SUM(C12:C16)</f>
        <v>15161</v>
      </c>
      <c r="D11" s="12"/>
      <c r="E11" s="12"/>
      <c r="F11" s="12"/>
    </row>
    <row r="12" spans="1:6" ht="101.7" customHeight="1" x14ac:dyDescent="0.25">
      <c r="A12" s="108">
        <v>2122</v>
      </c>
      <c r="B12" s="109" t="s">
        <v>80</v>
      </c>
      <c r="C12" s="47">
        <f>ROUNDUP(560+2,0)</f>
        <v>562</v>
      </c>
      <c r="D12" s="12"/>
      <c r="E12" s="12"/>
      <c r="F12" s="17"/>
    </row>
    <row r="13" spans="1:6" ht="81" customHeight="1" x14ac:dyDescent="0.25">
      <c r="A13" s="110">
        <v>2238</v>
      </c>
      <c r="B13" s="111" t="s">
        <v>77</v>
      </c>
      <c r="C13" s="34">
        <f>ROUNDUP((B35/12*10)+((B36/28)*10),0)</f>
        <v>13632</v>
      </c>
      <c r="D13" s="12"/>
      <c r="E13" s="59"/>
      <c r="F13" s="112"/>
    </row>
    <row r="14" spans="1:6" s="12" customFormat="1" ht="83.7" hidden="1" customHeight="1" x14ac:dyDescent="0.25">
      <c r="A14" s="108">
        <v>2312</v>
      </c>
      <c r="B14" s="113"/>
      <c r="C14" s="47"/>
      <c r="F14" s="8"/>
    </row>
    <row r="15" spans="1:6" s="12" customFormat="1" ht="255.75" customHeight="1" x14ac:dyDescent="0.25">
      <c r="A15" s="114">
        <v>2364</v>
      </c>
      <c r="B15" s="115" t="s">
        <v>33</v>
      </c>
      <c r="C15" s="42">
        <f>ROUNDUP(121+72.6+129.47+18.15+47.19+139.15+96.8+36.3+157.3+78.65+70.18,0)</f>
        <v>967</v>
      </c>
      <c r="F15" s="8"/>
    </row>
    <row r="16" spans="1:6" s="12" customFormat="1" ht="41.1" hidden="1" customHeight="1" x14ac:dyDescent="0.25">
      <c r="A16" s="116">
        <v>2389</v>
      </c>
      <c r="B16" s="117"/>
      <c r="C16" s="118"/>
      <c r="F16" s="8"/>
    </row>
    <row r="17" spans="1:7" ht="11.25" customHeight="1" x14ac:dyDescent="0.25">
      <c r="A17" s="94"/>
      <c r="B17" s="119"/>
      <c r="C17" s="60"/>
      <c r="D17" s="12"/>
      <c r="E17" s="12"/>
      <c r="F17" s="9"/>
    </row>
    <row r="18" spans="1:7" s="12" customFormat="1" x14ac:dyDescent="0.25">
      <c r="A18" s="14"/>
      <c r="B18" s="15"/>
      <c r="C18" s="48" t="s">
        <v>1</v>
      </c>
    </row>
    <row r="19" spans="1:7" s="17" customFormat="1" ht="15" customHeight="1" x14ac:dyDescent="0.25">
      <c r="A19" s="168" t="s">
        <v>48</v>
      </c>
      <c r="B19" s="169"/>
      <c r="C19" s="120" t="s">
        <v>47</v>
      </c>
    </row>
    <row r="20" spans="1:7" s="17" customFormat="1" ht="15" customHeight="1" x14ac:dyDescent="0.25">
      <c r="A20" s="164" t="s">
        <v>2</v>
      </c>
      <c r="B20" s="165"/>
      <c r="C20" s="35">
        <f>C21+C24</f>
        <v>11564.16</v>
      </c>
      <c r="G20" s="102"/>
    </row>
    <row r="21" spans="1:7" s="17" customFormat="1" ht="13.8" x14ac:dyDescent="0.25">
      <c r="A21" s="36" t="s">
        <v>3</v>
      </c>
      <c r="B21" s="37" t="s">
        <v>4</v>
      </c>
      <c r="C21" s="38">
        <f>SUM(C22:C23)</f>
        <v>8839.16</v>
      </c>
      <c r="E21" s="102"/>
    </row>
    <row r="22" spans="1:7" s="12" customFormat="1" ht="72" customHeight="1" x14ac:dyDescent="0.25">
      <c r="A22" s="39">
        <v>1149</v>
      </c>
      <c r="B22" s="40" t="s">
        <v>83</v>
      </c>
      <c r="C22" s="34">
        <f>ROUNDUP((((B31*1.4))/28*18)+(B31*1.4*2),0)</f>
        <v>7152</v>
      </c>
      <c r="F22" s="8"/>
      <c r="G22" s="9"/>
    </row>
    <row r="23" spans="1:7" s="12" customFormat="1" ht="59.25" customHeight="1" x14ac:dyDescent="0.25">
      <c r="A23" s="41">
        <v>1210</v>
      </c>
      <c r="B23" s="11" t="s">
        <v>57</v>
      </c>
      <c r="C23" s="42">
        <f>ROUNDUP(C22*0.2359,2)</f>
        <v>1687.16</v>
      </c>
    </row>
    <row r="24" spans="1:7" s="12" customFormat="1" x14ac:dyDescent="0.25">
      <c r="A24" s="55" t="s">
        <v>5</v>
      </c>
      <c r="B24" s="105" t="s">
        <v>6</v>
      </c>
      <c r="C24" s="53">
        <f>SUM(C25:C26)</f>
        <v>2725</v>
      </c>
      <c r="G24" s="9"/>
    </row>
    <row r="25" spans="1:7" s="12" customFormat="1" ht="158.4" x14ac:dyDescent="0.25">
      <c r="A25" s="108">
        <v>2122</v>
      </c>
      <c r="B25" s="109" t="s">
        <v>103</v>
      </c>
      <c r="C25" s="47">
        <f>ROUNDUP(560*1+2*1,0)</f>
        <v>562</v>
      </c>
      <c r="F25" s="17"/>
    </row>
    <row r="26" spans="1:7" s="12" customFormat="1" ht="84" customHeight="1" x14ac:dyDescent="0.25">
      <c r="A26" s="114">
        <v>2238</v>
      </c>
      <c r="B26" s="121" t="s">
        <v>60</v>
      </c>
      <c r="C26" s="42">
        <f>ROUNDUP((B35/12*1)+((B36/28)*18),0)</f>
        <v>2163</v>
      </c>
      <c r="F26" s="8"/>
    </row>
    <row r="27" spans="1:7" ht="44.4" customHeight="1" x14ac:dyDescent="0.25">
      <c r="A27" s="163" t="s">
        <v>35</v>
      </c>
      <c r="B27" s="163"/>
      <c r="C27" s="163"/>
      <c r="D27" s="12"/>
      <c r="E27" s="12"/>
      <c r="F27" s="12"/>
    </row>
    <row r="28" spans="1:7" s="71" customFormat="1" ht="12" x14ac:dyDescent="0.25">
      <c r="A28" s="68"/>
      <c r="B28" s="69"/>
      <c r="C28" s="68"/>
    </row>
    <row r="29" spans="1:7" s="71" customFormat="1" ht="24" hidden="1" x14ac:dyDescent="0.25">
      <c r="A29" s="132"/>
      <c r="B29" s="133" t="s">
        <v>51</v>
      </c>
      <c r="C29" s="134"/>
    </row>
    <row r="30" spans="1:7" s="71" customFormat="1" ht="12" hidden="1" x14ac:dyDescent="0.25">
      <c r="A30" s="134" t="s">
        <v>8</v>
      </c>
      <c r="B30" s="135">
        <v>23193</v>
      </c>
      <c r="C30" s="134"/>
    </row>
    <row r="31" spans="1:7" s="71" customFormat="1" hidden="1" x14ac:dyDescent="0.25">
      <c r="A31" s="134" t="s">
        <v>9</v>
      </c>
      <c r="B31" s="136">
        <f>ROUND(B30/12,2)</f>
        <v>1932.75</v>
      </c>
      <c r="C31" s="137">
        <f>ROUND(B31*1.4,2)</f>
        <v>2705.85</v>
      </c>
    </row>
    <row r="32" spans="1:7" s="71" customFormat="1" ht="10.95" hidden="1" customHeight="1" x14ac:dyDescent="0.25">
      <c r="A32" s="68"/>
      <c r="B32" s="69"/>
      <c r="C32" s="68"/>
    </row>
    <row r="33" spans="1:3" s="71" customFormat="1" ht="42.6" hidden="1" customHeight="1" x14ac:dyDescent="0.25">
      <c r="A33" s="68"/>
      <c r="B33" s="69"/>
      <c r="C33" s="68"/>
    </row>
    <row r="34" spans="1:3" s="71" customFormat="1" ht="36" hidden="1" x14ac:dyDescent="0.25">
      <c r="A34" s="132"/>
      <c r="B34" s="133" t="s">
        <v>52</v>
      </c>
      <c r="C34" s="138"/>
    </row>
    <row r="35" spans="1:3" s="71" customFormat="1" ht="27.75" hidden="1" customHeight="1" x14ac:dyDescent="0.25">
      <c r="A35" s="134" t="s">
        <v>8</v>
      </c>
      <c r="B35" s="139">
        <v>15793.88</v>
      </c>
      <c r="C35" s="68"/>
    </row>
    <row r="36" spans="1:3" s="71" customFormat="1" ht="42" hidden="1" customHeight="1" x14ac:dyDescent="0.25">
      <c r="A36" s="134" t="s">
        <v>9</v>
      </c>
      <c r="B36" s="136">
        <f>ROUND(B35/12,2)</f>
        <v>1316.16</v>
      </c>
      <c r="C36" s="68"/>
    </row>
    <row r="37" spans="1:3" s="17" customFormat="1" ht="21.6" customHeight="1" x14ac:dyDescent="0.25">
      <c r="A37" s="64"/>
      <c r="B37" s="67"/>
      <c r="C37" s="64"/>
    </row>
    <row r="38" spans="1:3" s="17" customFormat="1" ht="21.75" customHeight="1" x14ac:dyDescent="0.25">
      <c r="A38" s="64"/>
      <c r="B38" s="66"/>
      <c r="C38" s="64"/>
    </row>
    <row r="39" spans="1:3" ht="21.75" customHeight="1" x14ac:dyDescent="0.25"/>
    <row r="40" spans="1:3" ht="21.75" customHeight="1" x14ac:dyDescent="0.25"/>
  </sheetData>
  <mergeCells count="7">
    <mergeCell ref="A27:C27"/>
    <mergeCell ref="A20:B20"/>
    <mergeCell ref="A1:C1"/>
    <mergeCell ref="A2:C2"/>
    <mergeCell ref="A5:B5"/>
    <mergeCell ref="A6:B6"/>
    <mergeCell ref="A19:B19"/>
  </mergeCells>
  <pageMargins left="0.25" right="0.25" top="0.75" bottom="0.75" header="0.3" footer="0.3"/>
  <pageSetup paperSize="9" scale="71"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0"/>
  <sheetViews>
    <sheetView zoomScaleNormal="100" workbookViewId="0">
      <pane ySplit="4" topLeftCell="A27" activePane="bottomLeft" state="frozen"/>
      <selection pane="bottomLeft" activeCell="A2" sqref="A2:C2"/>
    </sheetView>
  </sheetViews>
  <sheetFormatPr defaultColWidth="9.33203125" defaultRowHeight="13.2" x14ac:dyDescent="0.25"/>
  <cols>
    <col min="1" max="1" width="10.44140625" style="14" customWidth="1"/>
    <col min="2" max="2" width="76.6640625" style="15" customWidth="1"/>
    <col min="3" max="3" width="19.5546875" style="7" customWidth="1"/>
    <col min="4" max="4" width="4.33203125" style="12" customWidth="1"/>
    <col min="5" max="5" width="11.5546875" style="12" customWidth="1"/>
    <col min="6" max="7" width="9.33203125" style="12" customWidth="1"/>
    <col min="8" max="16384" width="9.33203125" style="12"/>
  </cols>
  <sheetData>
    <row r="1" spans="1:10" ht="17.25" customHeight="1" x14ac:dyDescent="0.25">
      <c r="A1" s="166" t="s">
        <v>0</v>
      </c>
      <c r="B1" s="166"/>
      <c r="C1" s="166"/>
    </row>
    <row r="2" spans="1:10" ht="31.5" customHeight="1" x14ac:dyDescent="0.25">
      <c r="A2" s="167" t="s">
        <v>27</v>
      </c>
      <c r="B2" s="167"/>
      <c r="C2" s="167"/>
    </row>
    <row r="3" spans="1:10" x14ac:dyDescent="0.25">
      <c r="A3" s="13"/>
      <c r="B3" s="13"/>
      <c r="C3" s="99"/>
    </row>
    <row r="4" spans="1:10" x14ac:dyDescent="0.25">
      <c r="C4" s="16" t="s">
        <v>1</v>
      </c>
    </row>
    <row r="5" spans="1:10" s="17" customFormat="1" ht="15" customHeight="1" x14ac:dyDescent="0.25">
      <c r="A5" s="168" t="s">
        <v>28</v>
      </c>
      <c r="B5" s="169"/>
      <c r="C5" s="106" t="s">
        <v>24</v>
      </c>
    </row>
    <row r="6" spans="1:10" s="17" customFormat="1" ht="15" customHeight="1" x14ac:dyDescent="0.25">
      <c r="A6" s="164" t="s">
        <v>2</v>
      </c>
      <c r="B6" s="165"/>
      <c r="C6" s="35">
        <f>C7+C11</f>
        <v>0</v>
      </c>
    </row>
    <row r="7" spans="1:10" s="17" customFormat="1" ht="13.5" customHeight="1" x14ac:dyDescent="0.25">
      <c r="A7" s="36" t="s">
        <v>3</v>
      </c>
      <c r="B7" s="37" t="s">
        <v>4</v>
      </c>
      <c r="C7" s="38">
        <f>SUM(C8:C10)</f>
        <v>0</v>
      </c>
      <c r="G7" s="102"/>
    </row>
    <row r="8" spans="1:10" ht="69" customHeight="1" x14ac:dyDescent="0.25">
      <c r="A8" s="39">
        <v>1149</v>
      </c>
      <c r="B8" s="40" t="s">
        <v>36</v>
      </c>
      <c r="C8" s="34"/>
      <c r="F8" s="8"/>
      <c r="G8" s="101"/>
    </row>
    <row r="9" spans="1:10" ht="48.75" customHeight="1" x14ac:dyDescent="0.25">
      <c r="A9" s="41">
        <v>1210</v>
      </c>
      <c r="B9" s="11" t="s">
        <v>37</v>
      </c>
      <c r="C9" s="42"/>
      <c r="J9" s="59"/>
    </row>
    <row r="10" spans="1:10" ht="225" hidden="1" customHeight="1" x14ac:dyDescent="0.25">
      <c r="A10" s="107">
        <v>1226</v>
      </c>
      <c r="B10" s="54" t="s">
        <v>23</v>
      </c>
      <c r="C10" s="50"/>
    </row>
    <row r="11" spans="1:10" ht="13.8" x14ac:dyDescent="0.25">
      <c r="A11" s="55" t="s">
        <v>5</v>
      </c>
      <c r="B11" s="105" t="s">
        <v>6</v>
      </c>
      <c r="C11" s="103">
        <f>SUM(C12:C16)</f>
        <v>0</v>
      </c>
    </row>
    <row r="12" spans="1:10" ht="101.7" customHeight="1" x14ac:dyDescent="0.25">
      <c r="A12" s="108">
        <v>2122</v>
      </c>
      <c r="B12" s="109" t="s">
        <v>32</v>
      </c>
      <c r="C12" s="47"/>
      <c r="F12" s="17"/>
    </row>
    <row r="13" spans="1:10" ht="69" customHeight="1" x14ac:dyDescent="0.25">
      <c r="A13" s="110">
        <v>2238</v>
      </c>
      <c r="B13" s="122" t="s">
        <v>38</v>
      </c>
      <c r="C13" s="34"/>
      <c r="E13" s="59"/>
      <c r="F13" s="91"/>
      <c r="G13" s="9"/>
    </row>
    <row r="14" spans="1:10" ht="27" hidden="1" customHeight="1" x14ac:dyDescent="0.25">
      <c r="A14" s="108">
        <v>2312</v>
      </c>
      <c r="B14" s="87"/>
      <c r="C14" s="34"/>
      <c r="F14" s="8"/>
      <c r="G14" s="9"/>
    </row>
    <row r="15" spans="1:10" ht="250.5" customHeight="1" x14ac:dyDescent="0.25">
      <c r="A15" s="110">
        <v>2364</v>
      </c>
      <c r="B15" s="115" t="s">
        <v>39</v>
      </c>
      <c r="C15" s="123"/>
      <c r="F15" s="8"/>
      <c r="G15" s="9"/>
    </row>
    <row r="16" spans="1:10" ht="102" hidden="1" customHeight="1" x14ac:dyDescent="0.25">
      <c r="A16" s="116">
        <v>2389</v>
      </c>
      <c r="B16" s="124"/>
      <c r="C16" s="118"/>
      <c r="F16" s="8"/>
      <c r="G16" s="9"/>
    </row>
    <row r="17" spans="1:7" ht="11.25" customHeight="1" x14ac:dyDescent="0.25">
      <c r="A17" s="94"/>
      <c r="B17" s="119"/>
      <c r="C17" s="60"/>
      <c r="F17" s="9"/>
      <c r="G17" s="9"/>
    </row>
    <row r="18" spans="1:7" x14ac:dyDescent="0.25">
      <c r="C18" s="48" t="s">
        <v>1</v>
      </c>
    </row>
    <row r="19" spans="1:7" s="17" customFormat="1" ht="15" customHeight="1" x14ac:dyDescent="0.25">
      <c r="A19" s="168" t="s">
        <v>29</v>
      </c>
      <c r="B19" s="169"/>
      <c r="C19" s="106" t="s">
        <v>25</v>
      </c>
    </row>
    <row r="20" spans="1:7" s="17" customFormat="1" ht="15" customHeight="1" x14ac:dyDescent="0.25">
      <c r="A20" s="164" t="s">
        <v>2</v>
      </c>
      <c r="B20" s="165"/>
      <c r="C20" s="35">
        <f>C21+C24</f>
        <v>0</v>
      </c>
    </row>
    <row r="21" spans="1:7" s="17" customFormat="1" ht="13.8" x14ac:dyDescent="0.25">
      <c r="A21" s="36" t="s">
        <v>3</v>
      </c>
      <c r="B21" s="37" t="s">
        <v>4</v>
      </c>
      <c r="C21" s="38">
        <f>SUM(C22:C23)</f>
        <v>0</v>
      </c>
    </row>
    <row r="22" spans="1:7" ht="72" customHeight="1" x14ac:dyDescent="0.25">
      <c r="A22" s="39">
        <v>1149</v>
      </c>
      <c r="B22" s="40" t="s">
        <v>40</v>
      </c>
      <c r="C22" s="34"/>
      <c r="F22" s="8"/>
      <c r="G22" s="9"/>
    </row>
    <row r="23" spans="1:7" ht="41.25" customHeight="1" x14ac:dyDescent="0.25">
      <c r="A23" s="41">
        <v>1210</v>
      </c>
      <c r="B23" s="11" t="s">
        <v>41</v>
      </c>
      <c r="C23" s="42"/>
    </row>
    <row r="24" spans="1:7" ht="13.8" x14ac:dyDescent="0.25">
      <c r="A24" s="55" t="s">
        <v>5</v>
      </c>
      <c r="B24" s="105" t="s">
        <v>6</v>
      </c>
      <c r="C24" s="103">
        <f>SUM(C25:C26)</f>
        <v>0</v>
      </c>
    </row>
    <row r="25" spans="1:7" ht="66" x14ac:dyDescent="0.25">
      <c r="A25" s="108">
        <v>2122</v>
      </c>
      <c r="B25" s="109" t="s">
        <v>34</v>
      </c>
      <c r="C25" s="47"/>
      <c r="F25" s="17"/>
    </row>
    <row r="26" spans="1:7" ht="55.5" customHeight="1" x14ac:dyDescent="0.25">
      <c r="A26" s="114">
        <v>2238</v>
      </c>
      <c r="B26" s="121" t="s">
        <v>42</v>
      </c>
      <c r="C26" s="42"/>
      <c r="F26" s="8"/>
      <c r="G26" s="9"/>
    </row>
    <row r="27" spans="1:7" ht="31.95" customHeight="1" x14ac:dyDescent="0.25">
      <c r="A27" s="163" t="s">
        <v>35</v>
      </c>
      <c r="B27" s="163"/>
      <c r="C27" s="163"/>
    </row>
    <row r="28" spans="1:7" s="71" customFormat="1" ht="12" hidden="1" x14ac:dyDescent="0.25">
      <c r="A28" s="68"/>
      <c r="B28" s="69"/>
      <c r="C28" s="70"/>
    </row>
    <row r="29" spans="1:7" s="71" customFormat="1" ht="12" hidden="1" x14ac:dyDescent="0.25">
      <c r="A29" s="80"/>
      <c r="B29" s="81" t="s">
        <v>26</v>
      </c>
      <c r="C29" s="70"/>
    </row>
    <row r="30" spans="1:7" s="71" customFormat="1" ht="12" hidden="1" x14ac:dyDescent="0.25">
      <c r="A30" s="73" t="s">
        <v>8</v>
      </c>
      <c r="B30" s="76">
        <v>23193</v>
      </c>
      <c r="C30" s="70"/>
    </row>
    <row r="31" spans="1:7" s="71" customFormat="1" ht="225" hidden="1" customHeight="1" x14ac:dyDescent="0.25">
      <c r="A31" s="73" t="s">
        <v>9</v>
      </c>
      <c r="B31" s="77">
        <v>1932.75</v>
      </c>
      <c r="C31" s="70"/>
    </row>
    <row r="32" spans="1:7" s="71" customFormat="1" ht="3.6" customHeight="1" x14ac:dyDescent="0.25">
      <c r="A32" s="68"/>
      <c r="B32" s="69"/>
      <c r="C32" s="70"/>
    </row>
    <row r="33" spans="1:3" s="71" customFormat="1" ht="3" customHeight="1" x14ac:dyDescent="0.25">
      <c r="A33" s="68"/>
      <c r="B33" s="69"/>
      <c r="C33" s="70"/>
    </row>
    <row r="34" spans="1:3" s="71" customFormat="1" ht="225" hidden="1" customHeight="1" x14ac:dyDescent="0.25">
      <c r="A34" s="80"/>
      <c r="B34" s="81" t="s">
        <v>26</v>
      </c>
      <c r="C34" s="72"/>
    </row>
    <row r="35" spans="1:3" s="71" customFormat="1" ht="225" hidden="1" customHeight="1" x14ac:dyDescent="0.25">
      <c r="A35" s="73" t="s">
        <v>8</v>
      </c>
      <c r="B35" s="92">
        <v>15793.88</v>
      </c>
      <c r="C35" s="70"/>
    </row>
    <row r="36" spans="1:3" s="71" customFormat="1" ht="225" hidden="1" customHeight="1" x14ac:dyDescent="0.25">
      <c r="A36" s="73" t="s">
        <v>9</v>
      </c>
      <c r="B36" s="78">
        <f>ROUND(B35/12,2)</f>
        <v>1316.16</v>
      </c>
      <c r="C36" s="70"/>
    </row>
    <row r="37" spans="1:3" s="17" customFormat="1" ht="17.399999999999999" customHeight="1" x14ac:dyDescent="0.25">
      <c r="A37" s="64"/>
      <c r="B37" s="67"/>
      <c r="C37" s="65"/>
    </row>
    <row r="38" spans="1:3" s="17" customFormat="1" ht="21.75" customHeight="1" x14ac:dyDescent="0.25">
      <c r="A38" s="64"/>
      <c r="B38" s="66"/>
      <c r="C38" s="65"/>
    </row>
    <row r="39" spans="1:3" ht="21.75" customHeight="1" x14ac:dyDescent="0.25"/>
    <row r="40" spans="1:3" ht="21.75" customHeight="1" x14ac:dyDescent="0.25"/>
  </sheetData>
  <mergeCells count="7">
    <mergeCell ref="A27:C27"/>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scale="95" fitToHeight="0" orientation="portrait" r:id="rId1"/>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48"/>
  <sheetViews>
    <sheetView zoomScaleNormal="100" workbookViewId="0">
      <pane ySplit="2" topLeftCell="A18" activePane="bottomLeft" state="frozen"/>
      <selection pane="bottomLeft" activeCell="B25" sqref="B25"/>
    </sheetView>
  </sheetViews>
  <sheetFormatPr defaultColWidth="9.33203125" defaultRowHeight="13.2" x14ac:dyDescent="0.25"/>
  <cols>
    <col min="1" max="1" width="7.6640625" style="14" customWidth="1"/>
    <col min="2" max="2" width="74.5546875" style="15" customWidth="1"/>
    <col min="3" max="3" width="14.6640625" style="14" customWidth="1"/>
    <col min="4" max="4" width="2.5546875" style="12" customWidth="1"/>
    <col min="5" max="5" width="9.33203125" style="12"/>
    <col min="6" max="7" width="9.33203125" style="12" customWidth="1"/>
    <col min="8" max="16384" width="9.33203125" style="12"/>
  </cols>
  <sheetData>
    <row r="1" spans="1:11" ht="16.5" customHeight="1" x14ac:dyDescent="0.25">
      <c r="A1" s="166" t="s">
        <v>0</v>
      </c>
      <c r="B1" s="166"/>
      <c r="C1" s="166"/>
    </row>
    <row r="2" spans="1:11" ht="31.5" customHeight="1" x14ac:dyDescent="0.25">
      <c r="A2" s="167" t="s">
        <v>71</v>
      </c>
      <c r="B2" s="167"/>
      <c r="C2" s="167"/>
    </row>
    <row r="3" spans="1:11" x14ac:dyDescent="0.25">
      <c r="A3" s="13"/>
      <c r="B3" s="13"/>
      <c r="C3" s="13"/>
    </row>
    <row r="4" spans="1:11" x14ac:dyDescent="0.25">
      <c r="C4" s="48" t="s">
        <v>1</v>
      </c>
    </row>
    <row r="5" spans="1:11" s="17" customFormat="1" ht="15" customHeight="1" x14ac:dyDescent="0.25">
      <c r="A5" s="168" t="s">
        <v>72</v>
      </c>
      <c r="B5" s="169"/>
      <c r="C5" s="106" t="s">
        <v>25</v>
      </c>
    </row>
    <row r="6" spans="1:11" s="17" customFormat="1" ht="15" customHeight="1" x14ac:dyDescent="0.25">
      <c r="A6" s="164" t="s">
        <v>2</v>
      </c>
      <c r="B6" s="165"/>
      <c r="C6" s="35">
        <f>C7+C11</f>
        <v>44057</v>
      </c>
    </row>
    <row r="7" spans="1:11" s="17" customFormat="1" ht="13.8" x14ac:dyDescent="0.25">
      <c r="A7" s="36" t="s">
        <v>3</v>
      </c>
      <c r="B7" s="37" t="s">
        <v>4</v>
      </c>
      <c r="C7" s="38">
        <f>SUM(C8:C10)</f>
        <v>30818</v>
      </c>
      <c r="G7" s="100"/>
      <c r="H7" s="100"/>
      <c r="J7" s="102"/>
    </row>
    <row r="8" spans="1:11" ht="111" customHeight="1" x14ac:dyDescent="0.25">
      <c r="A8" s="39">
        <v>1149</v>
      </c>
      <c r="B8" s="87" t="s">
        <v>73</v>
      </c>
      <c r="C8" s="34">
        <f>ROUNDUP((((B32*1.4))/31*25)+(B32*1.4*10),0)</f>
        <v>24936</v>
      </c>
      <c r="F8" s="8"/>
      <c r="G8" s="9"/>
      <c r="H8" s="9"/>
      <c r="J8" s="9"/>
      <c r="K8" s="9"/>
    </row>
    <row r="9" spans="1:11" ht="39.6" x14ac:dyDescent="0.25">
      <c r="A9" s="41">
        <v>1210</v>
      </c>
      <c r="B9" s="11" t="s">
        <v>84</v>
      </c>
      <c r="C9" s="42">
        <f>ROUND(C8*0.2359,0)</f>
        <v>5882</v>
      </c>
    </row>
    <row r="10" spans="1:11" ht="45.75" hidden="1" customHeight="1" x14ac:dyDescent="0.25">
      <c r="A10" s="107">
        <v>1226</v>
      </c>
      <c r="B10" s="49" t="s">
        <v>23</v>
      </c>
      <c r="C10" s="50"/>
    </row>
    <row r="11" spans="1:11" x14ac:dyDescent="0.25">
      <c r="A11" s="55" t="s">
        <v>5</v>
      </c>
      <c r="B11" s="105" t="s">
        <v>6</v>
      </c>
      <c r="C11" s="53">
        <f>SUM(C12:C16)</f>
        <v>13239</v>
      </c>
    </row>
    <row r="12" spans="1:11" ht="93.45" customHeight="1" x14ac:dyDescent="0.25">
      <c r="A12" s="108">
        <v>2122</v>
      </c>
      <c r="B12" s="109" t="s">
        <v>80</v>
      </c>
      <c r="C12" s="47">
        <f>ROUNDUP(560+2,0)</f>
        <v>562</v>
      </c>
      <c r="F12" s="17"/>
    </row>
    <row r="13" spans="1:11" ht="90" customHeight="1" x14ac:dyDescent="0.25">
      <c r="A13" s="110">
        <v>2238</v>
      </c>
      <c r="B13" s="122" t="s">
        <v>74</v>
      </c>
      <c r="C13" s="34">
        <f>ROUNDUP((B40/12*11)+((B41/31)*25),0)</f>
        <v>11704</v>
      </c>
      <c r="F13" s="8"/>
      <c r="G13" s="9"/>
    </row>
    <row r="14" spans="1:11" hidden="1" x14ac:dyDescent="0.25">
      <c r="A14" s="108">
        <v>2312</v>
      </c>
      <c r="B14" s="113"/>
      <c r="C14" s="125"/>
      <c r="F14" s="8"/>
      <c r="G14" s="9"/>
    </row>
    <row r="15" spans="1:11" ht="258.75" customHeight="1" x14ac:dyDescent="0.25">
      <c r="A15" s="114">
        <v>2364</v>
      </c>
      <c r="B15" s="115" t="s">
        <v>43</v>
      </c>
      <c r="C15" s="42">
        <f>ROUNDUP(127.05+72.6+129.47+18.15+47.19+139.15+96.8+36.3+157.3+78.65+70.18,0)</f>
        <v>973</v>
      </c>
      <c r="F15" s="8"/>
      <c r="G15" s="9"/>
    </row>
    <row r="16" spans="1:11" hidden="1" x14ac:dyDescent="0.25">
      <c r="A16" s="116">
        <v>2389</v>
      </c>
      <c r="B16" s="117"/>
      <c r="C16" s="126"/>
      <c r="F16" s="8"/>
      <c r="G16" s="9"/>
    </row>
    <row r="17" spans="1:13" ht="11.25" customHeight="1" x14ac:dyDescent="0.25">
      <c r="A17" s="94"/>
      <c r="B17" s="119"/>
      <c r="C17" s="60"/>
      <c r="F17" s="9"/>
      <c r="G17" s="9"/>
    </row>
    <row r="18" spans="1:13" x14ac:dyDescent="0.25">
      <c r="C18" s="48" t="s">
        <v>1</v>
      </c>
    </row>
    <row r="19" spans="1:13" s="17" customFormat="1" ht="15" customHeight="1" x14ac:dyDescent="0.25">
      <c r="A19" s="168" t="s">
        <v>70</v>
      </c>
      <c r="B19" s="169"/>
      <c r="C19" s="106" t="s">
        <v>47</v>
      </c>
    </row>
    <row r="20" spans="1:13" s="17" customFormat="1" ht="15" customHeight="1" x14ac:dyDescent="0.25">
      <c r="A20" s="164" t="s">
        <v>2</v>
      </c>
      <c r="B20" s="165"/>
      <c r="C20" s="35">
        <f>C21+C24</f>
        <v>4159</v>
      </c>
    </row>
    <row r="21" spans="1:13" s="17" customFormat="1" ht="13.8" x14ac:dyDescent="0.25">
      <c r="A21" s="36" t="s">
        <v>3</v>
      </c>
      <c r="B21" s="37" t="s">
        <v>4</v>
      </c>
      <c r="C21" s="38">
        <f>SUM(C22:C23)</f>
        <v>3405</v>
      </c>
    </row>
    <row r="22" spans="1:13" ht="109.2" customHeight="1" x14ac:dyDescent="0.25">
      <c r="A22" s="39">
        <v>1149</v>
      </c>
      <c r="B22" s="87" t="s">
        <v>75</v>
      </c>
      <c r="C22" s="34">
        <f>ROUNDUP((((B32*1.4))/31*6)+(B32*1.4*1),0)</f>
        <v>2755</v>
      </c>
      <c r="F22" s="8"/>
      <c r="G22" s="9"/>
      <c r="H22" s="9"/>
      <c r="K22" s="9"/>
      <c r="M22" s="9"/>
    </row>
    <row r="23" spans="1:13" ht="43.5" customHeight="1" x14ac:dyDescent="0.25">
      <c r="A23" s="41">
        <v>1210</v>
      </c>
      <c r="B23" s="11" t="s">
        <v>76</v>
      </c>
      <c r="C23" s="42">
        <f>ROUNDUP(C22*0.2359,0)</f>
        <v>650</v>
      </c>
    </row>
    <row r="24" spans="1:13" x14ac:dyDescent="0.25">
      <c r="A24" s="55" t="s">
        <v>5</v>
      </c>
      <c r="B24" s="105" t="s">
        <v>6</v>
      </c>
      <c r="C24" s="53">
        <f>SUM(C25:C26)</f>
        <v>754</v>
      </c>
    </row>
    <row r="25" spans="1:13" ht="156.44999999999999" customHeight="1" x14ac:dyDescent="0.25">
      <c r="A25" s="108">
        <v>2122</v>
      </c>
      <c r="B25" s="109" t="s">
        <v>103</v>
      </c>
      <c r="C25" s="47">
        <f>ROUNDUP(560*1+2*1,0)</f>
        <v>562</v>
      </c>
      <c r="F25" s="17"/>
    </row>
    <row r="26" spans="1:13" ht="92.25" customHeight="1" x14ac:dyDescent="0.25">
      <c r="A26" s="114">
        <v>2238</v>
      </c>
      <c r="B26" s="122" t="s">
        <v>82</v>
      </c>
      <c r="C26" s="42">
        <f>ROUNDUP((B41/31)*6,0)</f>
        <v>192</v>
      </c>
      <c r="F26" s="8"/>
      <c r="G26" s="9"/>
    </row>
    <row r="27" spans="1:13" ht="40.200000000000003" customHeight="1" x14ac:dyDescent="0.25">
      <c r="A27" s="163" t="s">
        <v>35</v>
      </c>
      <c r="B27" s="163"/>
      <c r="C27" s="163"/>
      <c r="F27" s="8"/>
      <c r="G27" s="9"/>
    </row>
    <row r="28" spans="1:13" x14ac:dyDescent="0.25">
      <c r="A28" s="170"/>
      <c r="B28" s="170"/>
      <c r="C28" s="170"/>
    </row>
    <row r="29" spans="1:13" s="75" customFormat="1" ht="12" x14ac:dyDescent="0.25">
      <c r="A29" s="73"/>
      <c r="B29" s="74"/>
      <c r="C29" s="73"/>
    </row>
    <row r="30" spans="1:13" s="82" customFormat="1" hidden="1" x14ac:dyDescent="0.2">
      <c r="A30" s="80"/>
      <c r="B30" s="141" t="s">
        <v>7</v>
      </c>
      <c r="C30" s="80"/>
    </row>
    <row r="31" spans="1:13" s="75" customFormat="1" ht="13.8" hidden="1" x14ac:dyDescent="0.25">
      <c r="A31" s="73" t="s">
        <v>8</v>
      </c>
      <c r="B31" s="142">
        <v>19778</v>
      </c>
      <c r="C31" s="73"/>
    </row>
    <row r="32" spans="1:13" s="75" customFormat="1" hidden="1" x14ac:dyDescent="0.25">
      <c r="A32" s="73" t="s">
        <v>9</v>
      </c>
      <c r="B32" s="143">
        <f>ROUND(B31/12,2)</f>
        <v>1648.17</v>
      </c>
      <c r="C32" s="73">
        <f>ROUND(B32*1.4,2)</f>
        <v>2307.44</v>
      </c>
    </row>
    <row r="33" spans="1:3" s="75" customFormat="1" ht="12" hidden="1" x14ac:dyDescent="0.25">
      <c r="A33" s="73"/>
      <c r="B33" s="74"/>
      <c r="C33" s="73"/>
    </row>
    <row r="34" spans="1:3" s="75" customFormat="1" ht="12" hidden="1" x14ac:dyDescent="0.25">
      <c r="A34" s="73"/>
      <c r="B34" s="78"/>
      <c r="C34" s="73"/>
    </row>
    <row r="35" spans="1:3" s="75" customFormat="1" ht="12" hidden="1" x14ac:dyDescent="0.25">
      <c r="A35" s="73"/>
      <c r="B35" s="79"/>
      <c r="C35" s="73"/>
    </row>
    <row r="36" spans="1:3" s="75" customFormat="1" ht="12" hidden="1" x14ac:dyDescent="0.25">
      <c r="A36" s="73"/>
      <c r="B36" s="79"/>
      <c r="C36" s="73"/>
    </row>
    <row r="37" spans="1:3" s="75" customFormat="1" ht="12" hidden="1" x14ac:dyDescent="0.25">
      <c r="A37" s="73"/>
      <c r="B37" s="74"/>
      <c r="C37" s="73"/>
    </row>
    <row r="38" spans="1:3" s="75" customFormat="1" ht="12" hidden="1" x14ac:dyDescent="0.25">
      <c r="A38" s="73"/>
      <c r="B38" s="74"/>
      <c r="C38" s="73"/>
    </row>
    <row r="39" spans="1:3" s="82" customFormat="1" hidden="1" x14ac:dyDescent="0.2">
      <c r="A39" s="80"/>
      <c r="B39" s="141" t="s">
        <v>7</v>
      </c>
      <c r="C39" s="127">
        <v>11895.21</v>
      </c>
    </row>
    <row r="40" spans="1:3" s="75" customFormat="1" hidden="1" x14ac:dyDescent="0.25">
      <c r="A40" s="73" t="s">
        <v>8</v>
      </c>
      <c r="B40" s="144">
        <f>C39</f>
        <v>11895.21</v>
      </c>
      <c r="C40" s="73"/>
    </row>
    <row r="41" spans="1:3" s="75" customFormat="1" hidden="1" x14ac:dyDescent="0.25">
      <c r="A41" s="73" t="s">
        <v>9</v>
      </c>
      <c r="B41" s="143">
        <f>ROUND(B40/12,2)</f>
        <v>991.27</v>
      </c>
      <c r="C41" s="73"/>
    </row>
    <row r="42" spans="1:3" s="75" customFormat="1" ht="10.95" hidden="1" customHeight="1" x14ac:dyDescent="0.25">
      <c r="A42" s="73"/>
      <c r="B42" s="78"/>
      <c r="C42" s="73"/>
    </row>
    <row r="43" spans="1:3" s="75" customFormat="1" ht="12" hidden="1" x14ac:dyDescent="0.25">
      <c r="A43" s="73"/>
      <c r="B43" s="74"/>
      <c r="C43" s="73"/>
    </row>
    <row r="44" spans="1:3" s="75" customFormat="1" ht="12" x14ac:dyDescent="0.25">
      <c r="A44" s="73"/>
      <c r="B44" s="74"/>
      <c r="C44" s="73"/>
    </row>
    <row r="45" spans="1:3" s="75" customFormat="1" ht="12" x14ac:dyDescent="0.25">
      <c r="A45" s="73"/>
      <c r="B45" s="74"/>
      <c r="C45" s="73"/>
    </row>
    <row r="46" spans="1:3" s="75" customFormat="1" ht="12" x14ac:dyDescent="0.25">
      <c r="A46" s="73"/>
      <c r="B46" s="74"/>
      <c r="C46" s="73"/>
    </row>
    <row r="47" spans="1:3" s="75" customFormat="1" ht="12" x14ac:dyDescent="0.25">
      <c r="A47" s="73"/>
      <c r="B47" s="74"/>
      <c r="C47" s="73"/>
    </row>
    <row r="48" spans="1:3" s="75" customFormat="1" ht="12" x14ac:dyDescent="0.25">
      <c r="A48" s="73"/>
      <c r="B48" s="74"/>
      <c r="C48" s="73"/>
    </row>
  </sheetData>
  <mergeCells count="8">
    <mergeCell ref="A28:C28"/>
    <mergeCell ref="A20:B20"/>
    <mergeCell ref="A1:C1"/>
    <mergeCell ref="A2:C2"/>
    <mergeCell ref="A5:B5"/>
    <mergeCell ref="A6:B6"/>
    <mergeCell ref="A19:B19"/>
    <mergeCell ref="A27:C27"/>
  </mergeCells>
  <pageMargins left="0.23622047244094491" right="0.23622047244094491" top="0.74803149606299213" bottom="0.74803149606299213" header="0.31496062992125984" footer="0.31496062992125984"/>
  <pageSetup paperSize="9" scale="74"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4"/>
  <sheetViews>
    <sheetView zoomScaleNormal="100" workbookViewId="0">
      <pane ySplit="3" topLeftCell="A18" activePane="bottomLeft" state="frozen"/>
      <selection pane="bottomLeft" activeCell="B25" sqref="B25"/>
    </sheetView>
  </sheetViews>
  <sheetFormatPr defaultColWidth="9.33203125" defaultRowHeight="13.2" x14ac:dyDescent="0.25"/>
  <cols>
    <col min="1" max="1" width="6.33203125" style="14" customWidth="1"/>
    <col min="2" max="2" width="72.33203125" style="15" customWidth="1"/>
    <col min="3" max="3" width="14.5546875" style="7" customWidth="1"/>
    <col min="4" max="4" width="9.33203125" style="12" customWidth="1"/>
    <col min="5" max="5" width="11.44140625" style="63" customWidth="1"/>
    <col min="6" max="10" width="9.33203125" style="63"/>
    <col min="11" max="16384" width="9.33203125" style="12"/>
  </cols>
  <sheetData>
    <row r="1" spans="1:10" ht="19.5" customHeight="1" x14ac:dyDescent="0.25">
      <c r="A1" s="166" t="s">
        <v>0</v>
      </c>
      <c r="B1" s="166"/>
      <c r="C1" s="166"/>
    </row>
    <row r="2" spans="1:10" ht="31.5" customHeight="1" x14ac:dyDescent="0.25">
      <c r="A2" s="167" t="s">
        <v>79</v>
      </c>
      <c r="B2" s="167"/>
      <c r="C2" s="167"/>
    </row>
    <row r="3" spans="1:10" x14ac:dyDescent="0.25">
      <c r="A3" s="13"/>
      <c r="B3" s="13"/>
      <c r="C3" s="13"/>
    </row>
    <row r="4" spans="1:10" x14ac:dyDescent="0.25">
      <c r="C4" s="48" t="s">
        <v>1</v>
      </c>
    </row>
    <row r="5" spans="1:10" s="17" customFormat="1" ht="15" customHeight="1" x14ac:dyDescent="0.25">
      <c r="A5" s="168" t="s">
        <v>50</v>
      </c>
      <c r="B5" s="169"/>
      <c r="C5" s="106" t="s">
        <v>25</v>
      </c>
      <c r="E5" s="83"/>
      <c r="F5" s="83"/>
      <c r="G5" s="83"/>
      <c r="H5" s="83"/>
      <c r="I5" s="83"/>
      <c r="J5" s="83"/>
    </row>
    <row r="6" spans="1:10" s="17" customFormat="1" ht="13.8" x14ac:dyDescent="0.25">
      <c r="A6" s="164" t="s">
        <v>2</v>
      </c>
      <c r="B6" s="165"/>
      <c r="C6" s="35">
        <f>C7+C11</f>
        <v>48450</v>
      </c>
      <c r="E6" s="83"/>
      <c r="F6" s="83"/>
      <c r="G6" s="83"/>
      <c r="H6" s="83"/>
      <c r="I6" s="83"/>
      <c r="J6" s="83"/>
    </row>
    <row r="7" spans="1:10" s="17" customFormat="1" ht="13.8" x14ac:dyDescent="0.25">
      <c r="A7" s="36" t="s">
        <v>3</v>
      </c>
      <c r="B7" s="37" t="s">
        <v>4</v>
      </c>
      <c r="C7" s="38">
        <f>SUM(C8:C10)</f>
        <v>32725</v>
      </c>
      <c r="E7" s="83"/>
      <c r="F7" s="83"/>
      <c r="G7" s="83"/>
      <c r="H7" s="83"/>
      <c r="I7" s="83"/>
      <c r="J7" s="83"/>
    </row>
    <row r="8" spans="1:10" ht="66" x14ac:dyDescent="0.25">
      <c r="A8" s="39">
        <v>1149</v>
      </c>
      <c r="B8" s="87" t="s">
        <v>54</v>
      </c>
      <c r="C8" s="34">
        <f>ROUNDUP((((B31*1.4))/28*22)+(B31*1.4*9),0)</f>
        <v>26479</v>
      </c>
      <c r="E8" s="84"/>
      <c r="F8" s="85"/>
      <c r="G8" s="84"/>
    </row>
    <row r="9" spans="1:10" ht="32.25" customHeight="1" x14ac:dyDescent="0.25">
      <c r="A9" s="41">
        <v>1210</v>
      </c>
      <c r="B9" s="11" t="s">
        <v>58</v>
      </c>
      <c r="C9" s="42">
        <f>ROUND(C8*0.2359,0)</f>
        <v>6246</v>
      </c>
    </row>
    <row r="10" spans="1:10" ht="45.75" hidden="1" customHeight="1" x14ac:dyDescent="0.25">
      <c r="A10" s="107">
        <v>1226</v>
      </c>
      <c r="B10" s="54" t="s">
        <v>23</v>
      </c>
      <c r="C10" s="50"/>
    </row>
    <row r="11" spans="1:10" ht="18" customHeight="1" x14ac:dyDescent="0.25">
      <c r="A11" s="55" t="s">
        <v>5</v>
      </c>
      <c r="B11" s="105" t="s">
        <v>6</v>
      </c>
      <c r="C11" s="53">
        <f>SUM(C12:C16)</f>
        <v>15725</v>
      </c>
      <c r="E11" s="86"/>
    </row>
    <row r="12" spans="1:10" ht="97.95" customHeight="1" x14ac:dyDescent="0.25">
      <c r="A12" s="108">
        <v>2122</v>
      </c>
      <c r="B12" s="109" t="s">
        <v>80</v>
      </c>
      <c r="C12" s="47">
        <f>ROUNDUP(560+2,0)</f>
        <v>562</v>
      </c>
    </row>
    <row r="13" spans="1:10" ht="105" customHeight="1" x14ac:dyDescent="0.25">
      <c r="A13" s="110">
        <v>2238</v>
      </c>
      <c r="B13" s="122" t="s">
        <v>65</v>
      </c>
      <c r="C13" s="34">
        <f>ROUNDUP((B39/12*10)+((B40/28)*22),0)</f>
        <v>14196</v>
      </c>
    </row>
    <row r="14" spans="1:10" ht="57.75" hidden="1" customHeight="1" x14ac:dyDescent="0.25">
      <c r="A14" s="108">
        <v>2312</v>
      </c>
      <c r="B14" s="128" t="s">
        <v>44</v>
      </c>
      <c r="C14" s="34"/>
    </row>
    <row r="15" spans="1:10" ht="266.39999999999998" customHeight="1" x14ac:dyDescent="0.25">
      <c r="A15" s="110">
        <v>2364</v>
      </c>
      <c r="B15" s="115" t="s">
        <v>39</v>
      </c>
      <c r="C15" s="34">
        <f>ROUNDUP(121+72.6+129.47+18.15+47.19+139.15+96.8+36.3+157.3+78.65+70.18,0)</f>
        <v>967</v>
      </c>
    </row>
    <row r="16" spans="1:10" ht="28.5" hidden="1" customHeight="1" x14ac:dyDescent="0.25">
      <c r="A16" s="116">
        <v>2389</v>
      </c>
      <c r="B16" s="124" t="s">
        <v>45</v>
      </c>
      <c r="C16" s="118"/>
    </row>
    <row r="17" spans="1:10" ht="11.25" customHeight="1" x14ac:dyDescent="0.25">
      <c r="A17" s="94"/>
      <c r="B17" s="119"/>
      <c r="C17" s="60"/>
    </row>
    <row r="18" spans="1:10" x14ac:dyDescent="0.25">
      <c r="C18" s="48" t="s">
        <v>1</v>
      </c>
    </row>
    <row r="19" spans="1:10" s="17" customFormat="1" ht="15" customHeight="1" x14ac:dyDescent="0.25">
      <c r="A19" s="168" t="s">
        <v>55</v>
      </c>
      <c r="B19" s="169"/>
      <c r="C19" s="106" t="s">
        <v>47</v>
      </c>
      <c r="E19" s="83"/>
      <c r="F19" s="83"/>
      <c r="G19" s="83"/>
      <c r="H19" s="83"/>
      <c r="I19" s="83"/>
      <c r="J19" s="83"/>
    </row>
    <row r="20" spans="1:10" s="17" customFormat="1" ht="15" customHeight="1" x14ac:dyDescent="0.25">
      <c r="A20" s="164" t="s">
        <v>2</v>
      </c>
      <c r="B20" s="165"/>
      <c r="C20" s="35">
        <f>C21+C24</f>
        <v>13529</v>
      </c>
      <c r="E20" s="83"/>
      <c r="F20" s="83"/>
      <c r="G20" s="83"/>
      <c r="H20" s="83"/>
      <c r="I20" s="83"/>
      <c r="J20" s="83"/>
    </row>
    <row r="21" spans="1:10" s="17" customFormat="1" ht="13.8" x14ac:dyDescent="0.25">
      <c r="A21" s="36" t="s">
        <v>3</v>
      </c>
      <c r="B21" s="37" t="s">
        <v>4</v>
      </c>
      <c r="C21" s="38">
        <f>SUM(C22:C23)</f>
        <v>10249</v>
      </c>
      <c r="E21" s="83"/>
      <c r="F21" s="83"/>
      <c r="G21" s="83"/>
      <c r="H21" s="83"/>
      <c r="I21" s="83"/>
      <c r="J21" s="83"/>
    </row>
    <row r="22" spans="1:10" ht="66" x14ac:dyDescent="0.25">
      <c r="A22" s="39">
        <v>1149</v>
      </c>
      <c r="B22" s="131" t="s">
        <v>56</v>
      </c>
      <c r="C22" s="34">
        <f>ROUNDUP((((B31*1.4))/31*2)+(B31*1.4*3),0)</f>
        <v>8293</v>
      </c>
    </row>
    <row r="23" spans="1:10" ht="26.4" x14ac:dyDescent="0.25">
      <c r="A23" s="41">
        <v>1210</v>
      </c>
      <c r="B23" s="11" t="s">
        <v>59</v>
      </c>
      <c r="C23" s="42">
        <f>ROUNDUP(C22*0.2359,0)-1</f>
        <v>1956</v>
      </c>
    </row>
    <row r="24" spans="1:10" ht="18" customHeight="1" x14ac:dyDescent="0.25">
      <c r="A24" s="55" t="s">
        <v>5</v>
      </c>
      <c r="B24" s="105" t="s">
        <v>6</v>
      </c>
      <c r="C24" s="53">
        <f>SUM(C25:C26)</f>
        <v>3280</v>
      </c>
    </row>
    <row r="25" spans="1:10" ht="158.4" x14ac:dyDescent="0.25">
      <c r="A25" s="108">
        <v>2122</v>
      </c>
      <c r="B25" s="109" t="s">
        <v>103</v>
      </c>
      <c r="C25" s="47">
        <f>ROUNDUP(560*1+2*1,0)</f>
        <v>562</v>
      </c>
    </row>
    <row r="26" spans="1:10" ht="92.4" x14ac:dyDescent="0.25">
      <c r="A26" s="114">
        <v>2238</v>
      </c>
      <c r="B26" s="129" t="s">
        <v>78</v>
      </c>
      <c r="C26" s="42">
        <f>ROUNDUP((B39/12*2)+((B40/31)*2),0)</f>
        <v>2718</v>
      </c>
    </row>
    <row r="27" spans="1:10" ht="45" customHeight="1" x14ac:dyDescent="0.25">
      <c r="A27" s="163" t="s">
        <v>35</v>
      </c>
      <c r="B27" s="163"/>
      <c r="C27" s="163"/>
    </row>
    <row r="28" spans="1:10" hidden="1" x14ac:dyDescent="0.25">
      <c r="C28" s="14"/>
    </row>
    <row r="29" spans="1:10" ht="36" hidden="1" x14ac:dyDescent="0.25">
      <c r="A29" s="132"/>
      <c r="B29" s="133" t="s">
        <v>51</v>
      </c>
      <c r="C29" s="137"/>
    </row>
    <row r="30" spans="1:10" hidden="1" x14ac:dyDescent="0.25">
      <c r="A30" s="134" t="s">
        <v>8</v>
      </c>
      <c r="B30" s="135">
        <v>23193</v>
      </c>
      <c r="C30" s="137"/>
    </row>
    <row r="31" spans="1:10" hidden="1" x14ac:dyDescent="0.25">
      <c r="A31" s="134" t="s">
        <v>9</v>
      </c>
      <c r="B31" s="136">
        <f>ROUND(B30/12,2)</f>
        <v>1932.75</v>
      </c>
      <c r="C31" s="137">
        <f>ROUND(B31*1.4,2)</f>
        <v>2705.85</v>
      </c>
    </row>
    <row r="32" spans="1:10" hidden="1" x14ac:dyDescent="0.25">
      <c r="C32" s="14"/>
    </row>
    <row r="33" spans="1:3" x14ac:dyDescent="0.25">
      <c r="B33" s="88"/>
      <c r="C33" s="14"/>
    </row>
    <row r="34" spans="1:3" x14ac:dyDescent="0.25">
      <c r="B34" s="89"/>
      <c r="C34" s="14"/>
    </row>
    <row r="35" spans="1:3" x14ac:dyDescent="0.25">
      <c r="A35" s="90"/>
      <c r="B35" s="89"/>
      <c r="C35" s="14"/>
    </row>
    <row r="36" spans="1:3" hidden="1" x14ac:dyDescent="0.25">
      <c r="A36" s="90"/>
      <c r="C36" s="14"/>
    </row>
    <row r="37" spans="1:3" hidden="1" x14ac:dyDescent="0.25">
      <c r="C37" s="14"/>
    </row>
    <row r="38" spans="1:3" ht="36" hidden="1" x14ac:dyDescent="0.25">
      <c r="A38" s="132"/>
      <c r="B38" s="133" t="s">
        <v>52</v>
      </c>
      <c r="C38" s="140"/>
    </row>
    <row r="39" spans="1:3" hidden="1" x14ac:dyDescent="0.25">
      <c r="A39" s="134" t="s">
        <v>8</v>
      </c>
      <c r="B39" s="139">
        <v>15793.88</v>
      </c>
      <c r="C39" s="14"/>
    </row>
    <row r="40" spans="1:3" hidden="1" x14ac:dyDescent="0.25">
      <c r="A40" s="134" t="s">
        <v>9</v>
      </c>
      <c r="B40" s="136">
        <f>ROUND(B39/12,2)</f>
        <v>1316.16</v>
      </c>
      <c r="C40" s="14"/>
    </row>
    <row r="41" spans="1:3" ht="10.95" hidden="1" customHeight="1" x14ac:dyDescent="0.25">
      <c r="B41" s="88"/>
      <c r="C41" s="14"/>
    </row>
    <row r="42" spans="1:3" ht="21.75" hidden="1" customHeight="1" x14ac:dyDescent="0.25">
      <c r="C42" s="14"/>
    </row>
    <row r="43" spans="1:3" ht="21.75" customHeight="1" x14ac:dyDescent="0.25"/>
    <row r="44" spans="1:3" ht="21.75" customHeight="1" x14ac:dyDescent="0.25"/>
  </sheetData>
  <mergeCells count="7">
    <mergeCell ref="A27:C27"/>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scale="7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9"/>
  <sheetViews>
    <sheetView tabSelected="1" zoomScaleNormal="100" workbookViewId="0">
      <pane ySplit="3" topLeftCell="A25" activePane="bottomLeft" state="frozen"/>
      <selection pane="bottomLeft" activeCell="B24" sqref="B24"/>
    </sheetView>
  </sheetViews>
  <sheetFormatPr defaultColWidth="9.109375" defaultRowHeight="13.2" x14ac:dyDescent="0.25"/>
  <cols>
    <col min="1" max="1" width="9.109375" style="14" customWidth="1"/>
    <col min="2" max="2" width="72.109375" style="15" customWidth="1"/>
    <col min="3" max="3" width="14.5546875" style="7" customWidth="1"/>
    <col min="4" max="4" width="9.33203125" style="12" customWidth="1"/>
    <col min="5" max="5" width="11.44140625" style="63" customWidth="1"/>
    <col min="6" max="10" width="9.109375" style="63"/>
    <col min="11" max="16384" width="9.109375" style="12"/>
  </cols>
  <sheetData>
    <row r="1" spans="1:10" ht="19.5" customHeight="1" x14ac:dyDescent="0.25">
      <c r="A1" s="166" t="s">
        <v>0</v>
      </c>
      <c r="B1" s="166"/>
      <c r="C1" s="166"/>
    </row>
    <row r="2" spans="1:10" ht="31.5" customHeight="1" x14ac:dyDescent="0.25">
      <c r="A2" s="167" t="s">
        <v>61</v>
      </c>
      <c r="B2" s="167"/>
      <c r="C2" s="167"/>
    </row>
    <row r="3" spans="1:10" x14ac:dyDescent="0.25">
      <c r="A3" s="13"/>
      <c r="B3" s="13"/>
      <c r="C3" s="93"/>
    </row>
    <row r="4" spans="1:10" x14ac:dyDescent="0.25">
      <c r="C4" s="48" t="s">
        <v>1</v>
      </c>
    </row>
    <row r="5" spans="1:10" s="17" customFormat="1" ht="15" customHeight="1" x14ac:dyDescent="0.25">
      <c r="A5" s="168" t="s">
        <v>62</v>
      </c>
      <c r="B5" s="169"/>
      <c r="C5" s="106" t="s">
        <v>25</v>
      </c>
      <c r="E5" s="83"/>
      <c r="F5" s="83"/>
      <c r="G5" s="83"/>
      <c r="H5" s="83"/>
      <c r="I5" s="83"/>
      <c r="J5" s="83"/>
    </row>
    <row r="6" spans="1:10" s="17" customFormat="1" ht="13.8" x14ac:dyDescent="0.25">
      <c r="A6" s="164" t="s">
        <v>2</v>
      </c>
      <c r="B6" s="165"/>
      <c r="C6" s="35">
        <f>C7+C10</f>
        <v>37253</v>
      </c>
      <c r="E6" s="83"/>
      <c r="F6" s="83"/>
      <c r="G6" s="83"/>
      <c r="H6" s="83"/>
      <c r="I6" s="83"/>
      <c r="J6" s="83"/>
    </row>
    <row r="7" spans="1:10" s="17" customFormat="1" ht="13.8" x14ac:dyDescent="0.25">
      <c r="A7" s="36" t="s">
        <v>3</v>
      </c>
      <c r="B7" s="37" t="s">
        <v>4</v>
      </c>
      <c r="C7" s="38">
        <f>SUM(C8:C9)</f>
        <v>25769</v>
      </c>
      <c r="E7" s="83"/>
      <c r="F7" s="83"/>
      <c r="G7" s="83"/>
      <c r="H7" s="83"/>
      <c r="I7" s="83"/>
      <c r="J7" s="83"/>
    </row>
    <row r="8" spans="1:10" ht="66.75" customHeight="1" x14ac:dyDescent="0.25">
      <c r="A8" s="39">
        <v>1149</v>
      </c>
      <c r="B8" s="145" t="s">
        <v>63</v>
      </c>
      <c r="C8" s="34">
        <f>ROUNDUP((((B30*1.4))/28*1)+(B30*1.4*9),0)</f>
        <v>20850</v>
      </c>
      <c r="E8" s="84"/>
      <c r="F8" s="84"/>
      <c r="G8" s="84"/>
    </row>
    <row r="9" spans="1:10" ht="40.5" customHeight="1" x14ac:dyDescent="0.25">
      <c r="A9" s="41">
        <v>1210</v>
      </c>
      <c r="B9" s="11" t="s">
        <v>64</v>
      </c>
      <c r="C9" s="42">
        <f>ROUND(C8*0.2359,0)</f>
        <v>4919</v>
      </c>
    </row>
    <row r="10" spans="1:10" ht="18" customHeight="1" x14ac:dyDescent="0.25">
      <c r="A10" s="55" t="s">
        <v>5</v>
      </c>
      <c r="B10" s="105" t="s">
        <v>6</v>
      </c>
      <c r="C10" s="53">
        <f>SUM(C11:C15)</f>
        <v>11484</v>
      </c>
      <c r="E10" s="86"/>
    </row>
    <row r="11" spans="1:10" ht="96.75" customHeight="1" x14ac:dyDescent="0.25">
      <c r="A11" s="108">
        <v>2122</v>
      </c>
      <c r="B11" s="109" t="s">
        <v>80</v>
      </c>
      <c r="C11" s="47">
        <f>ROUNDUP(560+2,0)</f>
        <v>562</v>
      </c>
    </row>
    <row r="12" spans="1:10" ht="97.5" customHeight="1" x14ac:dyDescent="0.25">
      <c r="A12" s="110">
        <v>2238</v>
      </c>
      <c r="B12" s="122" t="s">
        <v>81</v>
      </c>
      <c r="C12" s="34">
        <f>ROUNDUP((B34/12*10)+((B35/28)*1),0)</f>
        <v>9949</v>
      </c>
      <c r="F12" s="84"/>
      <c r="G12" s="84"/>
    </row>
    <row r="13" spans="1:10" ht="33.75" hidden="1" customHeight="1" x14ac:dyDescent="0.25">
      <c r="A13" s="108">
        <v>2313</v>
      </c>
      <c r="B13" s="128"/>
      <c r="C13" s="46"/>
    </row>
    <row r="14" spans="1:10" ht="267.60000000000002" customHeight="1" x14ac:dyDescent="0.25">
      <c r="A14" s="110">
        <v>2364</v>
      </c>
      <c r="B14" s="115" t="s">
        <v>43</v>
      </c>
      <c r="C14" s="137">
        <f>ROUNDUP(127.05+72.6+129.47+18.15+47.19+139.15+96.8+36.3+157.3+78.65+70.18,0)</f>
        <v>973</v>
      </c>
    </row>
    <row r="15" spans="1:10" ht="9" hidden="1" customHeight="1" x14ac:dyDescent="0.25">
      <c r="A15" s="116">
        <v>2389</v>
      </c>
      <c r="B15" s="124"/>
      <c r="C15" s="118"/>
    </row>
    <row r="16" spans="1:10" ht="11.25" customHeight="1" x14ac:dyDescent="0.25">
      <c r="A16" s="94"/>
      <c r="B16" s="119"/>
      <c r="C16" s="60"/>
    </row>
    <row r="17" spans="1:10" x14ac:dyDescent="0.25">
      <c r="C17" s="48" t="s">
        <v>1</v>
      </c>
    </row>
    <row r="18" spans="1:10" s="17" customFormat="1" ht="15" customHeight="1" x14ac:dyDescent="0.25">
      <c r="A18" s="168" t="s">
        <v>66</v>
      </c>
      <c r="B18" s="169"/>
      <c r="C18" s="106" t="s">
        <v>47</v>
      </c>
      <c r="E18" s="83"/>
      <c r="F18" s="83"/>
      <c r="G18" s="83"/>
      <c r="H18" s="83"/>
      <c r="I18" s="83"/>
      <c r="J18" s="83"/>
    </row>
    <row r="19" spans="1:10" s="17" customFormat="1" ht="15" customHeight="1" x14ac:dyDescent="0.25">
      <c r="A19" s="164" t="s">
        <v>2</v>
      </c>
      <c r="B19" s="165"/>
      <c r="C19" s="35">
        <f>C20+C23</f>
        <v>10964</v>
      </c>
      <c r="E19" s="83"/>
      <c r="F19" s="83"/>
      <c r="G19" s="83"/>
      <c r="H19" s="83"/>
      <c r="I19" s="83"/>
      <c r="J19" s="83"/>
    </row>
    <row r="20" spans="1:10" s="17" customFormat="1" ht="13.8" x14ac:dyDescent="0.25">
      <c r="A20" s="36" t="s">
        <v>3</v>
      </c>
      <c r="B20" s="37" t="s">
        <v>4</v>
      </c>
      <c r="C20" s="38">
        <f>SUM(C21:C22)</f>
        <v>8454</v>
      </c>
      <c r="E20" s="83"/>
      <c r="F20" s="83"/>
      <c r="G20" s="83"/>
      <c r="H20" s="83"/>
      <c r="I20" s="83"/>
      <c r="J20" s="83"/>
    </row>
    <row r="21" spans="1:10" ht="66" x14ac:dyDescent="0.25">
      <c r="A21" s="39">
        <v>1149</v>
      </c>
      <c r="B21" s="87" t="s">
        <v>67</v>
      </c>
      <c r="C21" s="34">
        <f>ROUNDUP((((B30*1.4))/28*27)+(B30*1.4*2),0)</f>
        <v>6840</v>
      </c>
    </row>
    <row r="22" spans="1:10" ht="42.6" customHeight="1" x14ac:dyDescent="0.25">
      <c r="A22" s="41">
        <v>1210</v>
      </c>
      <c r="B22" s="11" t="s">
        <v>68</v>
      </c>
      <c r="C22" s="42">
        <f>ROUNDUP(C21*0.2359,0)</f>
        <v>1614</v>
      </c>
    </row>
    <row r="23" spans="1:10" ht="18" customHeight="1" x14ac:dyDescent="0.25">
      <c r="A23" s="55" t="s">
        <v>5</v>
      </c>
      <c r="B23" s="105" t="s">
        <v>6</v>
      </c>
      <c r="C23" s="53">
        <f>SUM(C24:C25)</f>
        <v>2510</v>
      </c>
    </row>
    <row r="24" spans="1:10" ht="154.05000000000001" customHeight="1" x14ac:dyDescent="0.25">
      <c r="A24" s="108">
        <v>2122</v>
      </c>
      <c r="B24" s="109" t="s">
        <v>103</v>
      </c>
      <c r="C24" s="47">
        <f>ROUNDUP(560*1+2*1,0)</f>
        <v>562</v>
      </c>
    </row>
    <row r="25" spans="1:10" ht="77.25" customHeight="1" x14ac:dyDescent="0.25">
      <c r="A25" s="114">
        <v>2238</v>
      </c>
      <c r="B25" s="129" t="s">
        <v>69</v>
      </c>
      <c r="C25" s="42">
        <f>ROUNDUP((B34/12*1)+((B35/28)*27),0)</f>
        <v>1948</v>
      </c>
    </row>
    <row r="26" spans="1:10" ht="36" customHeight="1" x14ac:dyDescent="0.25">
      <c r="A26" s="163" t="s">
        <v>35</v>
      </c>
      <c r="B26" s="163"/>
      <c r="C26" s="163"/>
    </row>
    <row r="27" spans="1:10" s="96" customFormat="1" x14ac:dyDescent="0.25">
      <c r="A27" s="94"/>
      <c r="B27" s="95"/>
      <c r="C27" s="94"/>
      <c r="E27" s="97"/>
      <c r="F27" s="97"/>
      <c r="G27" s="97"/>
      <c r="H27" s="97"/>
      <c r="I27" s="97"/>
      <c r="J27" s="97"/>
    </row>
    <row r="28" spans="1:10" s="96" customFormat="1" hidden="1" x14ac:dyDescent="0.25">
      <c r="A28" s="137"/>
      <c r="B28" s="141" t="s">
        <v>7</v>
      </c>
      <c r="C28" s="137"/>
      <c r="E28" s="97"/>
      <c r="F28" s="97"/>
      <c r="G28" s="97"/>
      <c r="H28" s="97"/>
      <c r="I28" s="97"/>
      <c r="J28" s="97"/>
    </row>
    <row r="29" spans="1:10" s="96" customFormat="1" ht="13.8" hidden="1" x14ac:dyDescent="0.25">
      <c r="A29" s="137" t="s">
        <v>8</v>
      </c>
      <c r="B29" s="142">
        <v>19778</v>
      </c>
      <c r="C29" s="137"/>
      <c r="E29" s="97"/>
      <c r="F29" s="97"/>
      <c r="G29" s="97"/>
      <c r="H29" s="97"/>
      <c r="I29" s="97"/>
      <c r="J29" s="97"/>
    </row>
    <row r="30" spans="1:10" s="96" customFormat="1" hidden="1" x14ac:dyDescent="0.25">
      <c r="A30" s="137" t="s">
        <v>9</v>
      </c>
      <c r="B30" s="143">
        <f>ROUND(B29/12,2)</f>
        <v>1648.17</v>
      </c>
      <c r="C30" s="137">
        <f>ROUND(B30*1.4,2)</f>
        <v>2307.44</v>
      </c>
      <c r="E30" s="97"/>
      <c r="F30" s="97"/>
      <c r="G30" s="97"/>
      <c r="H30" s="97"/>
      <c r="I30" s="97"/>
      <c r="J30" s="97"/>
    </row>
    <row r="31" spans="1:10" s="96" customFormat="1" hidden="1" x14ac:dyDescent="0.25">
      <c r="A31" s="94"/>
      <c r="B31" s="95"/>
      <c r="C31" s="94"/>
      <c r="E31" s="97"/>
      <c r="F31" s="97"/>
      <c r="G31" s="97"/>
      <c r="H31" s="97"/>
      <c r="I31" s="97"/>
      <c r="J31" s="97"/>
    </row>
    <row r="32" spans="1:10" s="96" customFormat="1" hidden="1" x14ac:dyDescent="0.25">
      <c r="A32" s="94"/>
      <c r="B32" s="95"/>
      <c r="C32" s="94"/>
      <c r="E32" s="97"/>
      <c r="F32" s="97"/>
      <c r="G32" s="97"/>
      <c r="H32" s="97"/>
      <c r="I32" s="97"/>
      <c r="J32" s="97"/>
    </row>
    <row r="33" spans="1:10" s="96" customFormat="1" hidden="1" x14ac:dyDescent="0.25">
      <c r="A33" s="137"/>
      <c r="B33" s="141" t="s">
        <v>7</v>
      </c>
      <c r="C33" s="130">
        <v>11895.21</v>
      </c>
      <c r="E33" s="97"/>
      <c r="F33" s="97"/>
      <c r="G33" s="97"/>
      <c r="H33" s="97"/>
      <c r="I33" s="97"/>
      <c r="J33" s="97"/>
    </row>
    <row r="34" spans="1:10" s="96" customFormat="1" hidden="1" x14ac:dyDescent="0.25">
      <c r="A34" s="137" t="s">
        <v>8</v>
      </c>
      <c r="B34" s="144">
        <f>C33</f>
        <v>11895.21</v>
      </c>
      <c r="C34" s="94"/>
      <c r="E34" s="97"/>
      <c r="F34" s="97"/>
      <c r="G34" s="97"/>
      <c r="H34" s="97"/>
      <c r="I34" s="97"/>
      <c r="J34" s="97"/>
    </row>
    <row r="35" spans="1:10" s="96" customFormat="1" hidden="1" x14ac:dyDescent="0.25">
      <c r="A35" s="137" t="s">
        <v>9</v>
      </c>
      <c r="B35" s="143">
        <f>ROUND(B34/12,2)</f>
        <v>991.27</v>
      </c>
      <c r="C35" s="94"/>
      <c r="E35" s="97"/>
      <c r="F35" s="97"/>
      <c r="G35" s="97"/>
      <c r="H35" s="97"/>
      <c r="I35" s="97"/>
      <c r="J35" s="97"/>
    </row>
    <row r="36" spans="1:10" s="96" customFormat="1" ht="10.95" customHeight="1" x14ac:dyDescent="0.25">
      <c r="A36" s="94"/>
      <c r="B36" s="98"/>
      <c r="C36" s="94"/>
      <c r="E36" s="97"/>
      <c r="F36" s="97"/>
      <c r="G36" s="97"/>
      <c r="H36" s="97"/>
      <c r="I36" s="97"/>
      <c r="J36" s="97"/>
    </row>
    <row r="37" spans="1:10" ht="21.75" customHeight="1" x14ac:dyDescent="0.25">
      <c r="C37" s="14"/>
    </row>
    <row r="38" spans="1:10" ht="21.75" customHeight="1" x14ac:dyDescent="0.25"/>
    <row r="39" spans="1:10" ht="21.75" customHeight="1" x14ac:dyDescent="0.25"/>
  </sheetData>
  <mergeCells count="7">
    <mergeCell ref="A26:C26"/>
    <mergeCell ref="A19:B19"/>
    <mergeCell ref="A1:C1"/>
    <mergeCell ref="A2:C2"/>
    <mergeCell ref="A5:B5"/>
    <mergeCell ref="A6:B6"/>
    <mergeCell ref="A18:B18"/>
  </mergeCells>
  <pageMargins left="0.23622047244094491" right="0.23622047244094491" top="0.74803149606299213" bottom="0.74803149606299213" header="0.31496062992125984" footer="0.31496062992125984"/>
  <pageSetup paperSize="9" scale="7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33"/>
  <sheetViews>
    <sheetView topLeftCell="A3" zoomScale="90" zoomScaleNormal="90" workbookViewId="0">
      <selection activeCell="C38" sqref="C38"/>
    </sheetView>
  </sheetViews>
  <sheetFormatPr defaultRowHeight="14.4" x14ac:dyDescent="0.3"/>
  <cols>
    <col min="1" max="1" width="10.33203125" customWidth="1"/>
    <col min="2" max="2" width="71.33203125" customWidth="1"/>
    <col min="3" max="3" width="13.6640625" customWidth="1"/>
  </cols>
  <sheetData>
    <row r="1" spans="1:6" ht="22.8" x14ac:dyDescent="0.3">
      <c r="A1" s="171" t="s">
        <v>10</v>
      </c>
      <c r="B1" s="171"/>
      <c r="C1" s="171"/>
    </row>
    <row r="2" spans="1:6" ht="22.8" x14ac:dyDescent="0.3">
      <c r="A2" s="62"/>
      <c r="B2" s="62"/>
      <c r="C2" s="62"/>
    </row>
    <row r="3" spans="1:6" x14ac:dyDescent="0.3">
      <c r="A3" s="28"/>
      <c r="B3" s="28"/>
      <c r="C3" s="48" t="s">
        <v>1</v>
      </c>
    </row>
    <row r="4" spans="1:6" x14ac:dyDescent="0.3">
      <c r="A4" s="172" t="s">
        <v>30</v>
      </c>
      <c r="B4" s="173"/>
      <c r="C4" s="43" t="s">
        <v>25</v>
      </c>
    </row>
    <row r="5" spans="1:6" x14ac:dyDescent="0.3">
      <c r="A5" s="172" t="s">
        <v>2</v>
      </c>
      <c r="B5" s="173"/>
      <c r="C5" s="44">
        <f>C6+C11</f>
        <v>176214</v>
      </c>
      <c r="D5" s="61"/>
      <c r="E5" s="61"/>
      <c r="F5" s="61"/>
    </row>
    <row r="6" spans="1:6" x14ac:dyDescent="0.3">
      <c r="A6" s="51" t="s">
        <v>3</v>
      </c>
      <c r="B6" s="52" t="s">
        <v>4</v>
      </c>
      <c r="C6" s="53">
        <f>C7+C9</f>
        <v>120605</v>
      </c>
      <c r="E6" s="61"/>
      <c r="F6" s="61"/>
    </row>
    <row r="7" spans="1:6" x14ac:dyDescent="0.3">
      <c r="A7" s="29">
        <v>1100</v>
      </c>
      <c r="B7" s="30" t="s">
        <v>15</v>
      </c>
      <c r="C7" s="45">
        <f>C8</f>
        <v>97585</v>
      </c>
      <c r="D7" s="104"/>
      <c r="E7" s="61"/>
      <c r="F7" s="61"/>
    </row>
    <row r="8" spans="1:6" x14ac:dyDescent="0.3">
      <c r="A8" s="18">
        <v>1149</v>
      </c>
      <c r="B8" s="25" t="s">
        <v>11</v>
      </c>
      <c r="C8" s="34">
        <f>K.Eiduka!C8+D.Kosarevs!C8+O.Lagutins!C8+M.Štange!C8+D.Uļģis!C8</f>
        <v>97585</v>
      </c>
      <c r="D8" s="104"/>
      <c r="E8" s="61"/>
      <c r="F8" s="61"/>
    </row>
    <row r="9" spans="1:6" ht="13.5" customHeight="1" x14ac:dyDescent="0.3">
      <c r="A9" s="31">
        <v>1200</v>
      </c>
      <c r="B9" s="26" t="s">
        <v>16</v>
      </c>
      <c r="C9" s="46">
        <f>C10</f>
        <v>23020</v>
      </c>
      <c r="D9" s="104"/>
      <c r="E9" s="61"/>
      <c r="F9" s="61"/>
    </row>
    <row r="10" spans="1:6" x14ac:dyDescent="0.3">
      <c r="A10" s="18">
        <v>1210</v>
      </c>
      <c r="B10" s="40" t="s">
        <v>12</v>
      </c>
      <c r="C10" s="34">
        <f>K.Eiduka!C9+D.Kosarevs!C9+O.Lagutins!C9+M.Štange!C9+D.Uļģis!C9</f>
        <v>23020</v>
      </c>
      <c r="D10" s="104"/>
      <c r="E10" s="61"/>
      <c r="F10" s="61"/>
    </row>
    <row r="11" spans="1:6" x14ac:dyDescent="0.3">
      <c r="A11" s="51" t="s">
        <v>5</v>
      </c>
      <c r="B11" s="52" t="s">
        <v>6</v>
      </c>
      <c r="C11" s="53">
        <f>C12+C14+C16</f>
        <v>55609</v>
      </c>
      <c r="D11" s="104"/>
      <c r="E11" s="61"/>
      <c r="F11" s="61"/>
    </row>
    <row r="12" spans="1:6" x14ac:dyDescent="0.3">
      <c r="A12" s="29">
        <v>2100</v>
      </c>
      <c r="B12" s="30" t="s">
        <v>17</v>
      </c>
      <c r="C12" s="45">
        <f>C13</f>
        <v>2248</v>
      </c>
      <c r="D12" s="104"/>
      <c r="E12" s="61"/>
      <c r="F12" s="61"/>
    </row>
    <row r="13" spans="1:6" x14ac:dyDescent="0.3">
      <c r="A13" s="19">
        <v>2122</v>
      </c>
      <c r="B13" s="22" t="s">
        <v>13</v>
      </c>
      <c r="C13" s="34">
        <f>K.Eiduka!C12+D.Kosarevs!C12+O.Lagutins!C12+M.Štange!C12+D.Uļģis!C11</f>
        <v>2248</v>
      </c>
      <c r="D13" s="104"/>
      <c r="E13" s="61"/>
      <c r="F13" s="61"/>
    </row>
    <row r="14" spans="1:6" x14ac:dyDescent="0.3">
      <c r="A14" s="33">
        <v>2200</v>
      </c>
      <c r="B14" s="22" t="s">
        <v>18</v>
      </c>
      <c r="C14" s="34">
        <f>C15</f>
        <v>49481</v>
      </c>
      <c r="D14" s="104"/>
      <c r="E14" s="61"/>
      <c r="F14" s="61"/>
    </row>
    <row r="15" spans="1:6" x14ac:dyDescent="0.3">
      <c r="A15" s="19">
        <v>2238</v>
      </c>
      <c r="B15" s="22" t="s">
        <v>14</v>
      </c>
      <c r="C15" s="34">
        <f>K.Eiduka!C13+D.Kosarevs!C13+O.Lagutins!C13+M.Štange!C13+D.Uļģis!C12</f>
        <v>49481</v>
      </c>
      <c r="D15" s="104"/>
      <c r="E15" s="61"/>
      <c r="F15" s="61"/>
    </row>
    <row r="16" spans="1:6" ht="21.75" customHeight="1" x14ac:dyDescent="0.3">
      <c r="A16" s="29">
        <v>2300</v>
      </c>
      <c r="B16" s="32" t="s">
        <v>19</v>
      </c>
      <c r="C16" s="47">
        <f>SUM(C17:C19)</f>
        <v>3880</v>
      </c>
      <c r="D16" s="104"/>
      <c r="E16" s="61"/>
      <c r="F16" s="61"/>
    </row>
    <row r="17" spans="1:6" hidden="1" x14ac:dyDescent="0.3">
      <c r="A17" s="19">
        <v>2312</v>
      </c>
      <c r="B17" s="22" t="s">
        <v>20</v>
      </c>
      <c r="C17" s="34"/>
      <c r="D17" s="104"/>
      <c r="E17" s="61"/>
      <c r="F17" s="61"/>
    </row>
    <row r="18" spans="1:6" x14ac:dyDescent="0.3">
      <c r="A18" s="23">
        <v>2364</v>
      </c>
      <c r="B18" s="24" t="s">
        <v>21</v>
      </c>
      <c r="C18" s="42">
        <f>K.Eiduka!C15+D.Kosarevs!C15+O.Lagutins!C15+M.Štange!C15+D.Uļģis!C14</f>
        <v>3880</v>
      </c>
      <c r="D18" s="104"/>
      <c r="E18" s="61"/>
      <c r="F18" s="61"/>
    </row>
    <row r="19" spans="1:6" hidden="1" x14ac:dyDescent="0.3">
      <c r="A19" s="56">
        <v>2389</v>
      </c>
      <c r="B19" s="57" t="s">
        <v>22</v>
      </c>
      <c r="C19" s="58"/>
      <c r="E19" s="61"/>
      <c r="F19" s="61"/>
    </row>
    <row r="20" spans="1:6" ht="15.75" customHeight="1" x14ac:dyDescent="0.3">
      <c r="A20" s="20"/>
      <c r="B20" s="21"/>
      <c r="C20" s="60"/>
      <c r="E20" s="61"/>
      <c r="F20" s="61"/>
    </row>
    <row r="21" spans="1:6" x14ac:dyDescent="0.3">
      <c r="A21" s="14"/>
      <c r="B21" s="15"/>
      <c r="C21" s="48" t="s">
        <v>1</v>
      </c>
      <c r="E21" s="61"/>
      <c r="F21" s="61"/>
    </row>
    <row r="22" spans="1:6" x14ac:dyDescent="0.3">
      <c r="A22" s="172" t="s">
        <v>31</v>
      </c>
      <c r="B22" s="173"/>
      <c r="C22" s="43" t="s">
        <v>47</v>
      </c>
      <c r="E22" s="61"/>
      <c r="F22" s="61"/>
    </row>
    <row r="23" spans="1:6" x14ac:dyDescent="0.3">
      <c r="A23" s="172" t="s">
        <v>2</v>
      </c>
      <c r="B23" s="173"/>
      <c r="C23" s="44">
        <f>C24+C29</f>
        <v>40216.160000000003</v>
      </c>
      <c r="D23" s="61"/>
      <c r="E23" s="61"/>
      <c r="F23" s="61"/>
    </row>
    <row r="24" spans="1:6" x14ac:dyDescent="0.3">
      <c r="A24" s="51" t="s">
        <v>3</v>
      </c>
      <c r="B24" s="52" t="s">
        <v>4</v>
      </c>
      <c r="C24" s="53">
        <f>C25+C27</f>
        <v>30947.16</v>
      </c>
      <c r="E24" s="61"/>
      <c r="F24" s="61"/>
    </row>
    <row r="25" spans="1:6" x14ac:dyDescent="0.3">
      <c r="A25" s="29">
        <v>1100</v>
      </c>
      <c r="B25" s="30" t="s">
        <v>15</v>
      </c>
      <c r="C25" s="45">
        <f>C26</f>
        <v>25040</v>
      </c>
      <c r="E25" s="61"/>
      <c r="F25" s="61"/>
    </row>
    <row r="26" spans="1:6" x14ac:dyDescent="0.3">
      <c r="A26" s="18">
        <v>1149</v>
      </c>
      <c r="B26" s="25" t="s">
        <v>11</v>
      </c>
      <c r="C26" s="34">
        <f>K.Eiduka!C22+D.Kosarevs!C22+O.Lagutins!C22+M.Štange!C22+D.Uļģis!C21</f>
        <v>25040</v>
      </c>
      <c r="E26" s="61"/>
      <c r="F26" s="61"/>
    </row>
    <row r="27" spans="1:6" x14ac:dyDescent="0.3">
      <c r="A27" s="31">
        <v>1200</v>
      </c>
      <c r="B27" s="26" t="s">
        <v>16</v>
      </c>
      <c r="C27" s="46">
        <f>C28</f>
        <v>5907.16</v>
      </c>
      <c r="E27" s="61"/>
      <c r="F27" s="61"/>
    </row>
    <row r="28" spans="1:6" x14ac:dyDescent="0.3">
      <c r="A28" s="10">
        <v>1210</v>
      </c>
      <c r="B28" s="11" t="s">
        <v>12</v>
      </c>
      <c r="C28" s="42">
        <f>K.Eiduka!C23+D.Kosarevs!C23+O.Lagutins!C23+M.Štange!C23+D.Uļģis!C22</f>
        <v>5907.16</v>
      </c>
      <c r="E28" s="61"/>
      <c r="F28" s="61"/>
    </row>
    <row r="29" spans="1:6" x14ac:dyDescent="0.3">
      <c r="A29" s="51" t="s">
        <v>5</v>
      </c>
      <c r="B29" s="52" t="s">
        <v>6</v>
      </c>
      <c r="C29" s="53">
        <f>C30+C32</f>
        <v>9269</v>
      </c>
      <c r="E29" s="61"/>
      <c r="F29" s="61"/>
    </row>
    <row r="30" spans="1:6" x14ac:dyDescent="0.3">
      <c r="A30" s="29">
        <v>2100</v>
      </c>
      <c r="B30" s="30" t="s">
        <v>17</v>
      </c>
      <c r="C30" s="45">
        <f>C31</f>
        <v>2248</v>
      </c>
      <c r="E30" s="61"/>
      <c r="F30" s="61"/>
    </row>
    <row r="31" spans="1:6" x14ac:dyDescent="0.3">
      <c r="A31" s="19">
        <v>2122</v>
      </c>
      <c r="B31" s="22" t="s">
        <v>13</v>
      </c>
      <c r="C31" s="34">
        <f>K.Eiduka!C25+D.Kosarevs!C25+O.Lagutins!C25+M.Štange!C25+D.Uļģis!C24</f>
        <v>2248</v>
      </c>
      <c r="E31" s="61"/>
      <c r="F31" s="61"/>
    </row>
    <row r="32" spans="1:6" x14ac:dyDescent="0.3">
      <c r="A32" s="31">
        <v>2200</v>
      </c>
      <c r="B32" s="27" t="s">
        <v>18</v>
      </c>
      <c r="C32" s="46">
        <f>C33</f>
        <v>7021</v>
      </c>
      <c r="E32" s="61"/>
      <c r="F32" s="61"/>
    </row>
    <row r="33" spans="1:6" x14ac:dyDescent="0.3">
      <c r="A33" s="23">
        <v>2238</v>
      </c>
      <c r="B33" s="24" t="s">
        <v>14</v>
      </c>
      <c r="C33" s="42">
        <f>K.Eiduka!C26+D.Kosarevs!C26+O.Lagutins!C26+M.Štange!C26+D.Uļģis!C25</f>
        <v>7021</v>
      </c>
      <c r="E33" s="61"/>
      <c r="F33" s="61"/>
    </row>
  </sheetData>
  <mergeCells count="5">
    <mergeCell ref="A1:C1"/>
    <mergeCell ref="A4:B4"/>
    <mergeCell ref="A5:B5"/>
    <mergeCell ref="A22:B22"/>
    <mergeCell ref="A23:B23"/>
  </mergeCells>
  <pageMargins left="0.70866141732283472" right="0.70866141732283472" top="0.74803149606299213" bottom="0.74803149606299213" header="0.31496062992125984" footer="0.31496062992125984"/>
  <pageSetup paperSize="9" scale="9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1C949-DE53-453A-A0DD-704196468422}">
  <dimension ref="A1:C49"/>
  <sheetViews>
    <sheetView zoomScale="75" zoomScaleNormal="75" workbookViewId="0">
      <selection activeCell="A2" sqref="A2:B2"/>
    </sheetView>
  </sheetViews>
  <sheetFormatPr defaultRowHeight="14.4" x14ac:dyDescent="0.3"/>
  <cols>
    <col min="2" max="2" width="103.21875" customWidth="1"/>
    <col min="3" max="3" width="20.6640625" customWidth="1"/>
  </cols>
  <sheetData>
    <row r="1" spans="1:3" ht="16.2" x14ac:dyDescent="0.3">
      <c r="A1" s="146" t="s">
        <v>86</v>
      </c>
      <c r="B1" s="147"/>
      <c r="C1" s="147"/>
    </row>
    <row r="2" spans="1:3" ht="14.4" customHeight="1" x14ac:dyDescent="0.3">
      <c r="A2" s="175" t="s">
        <v>87</v>
      </c>
      <c r="B2" s="175"/>
      <c r="C2" s="148" t="s">
        <v>88</v>
      </c>
    </row>
    <row r="3" spans="1:3" ht="14.4" customHeight="1" x14ac:dyDescent="0.3">
      <c r="A3" s="174" t="s">
        <v>2</v>
      </c>
      <c r="B3" s="174"/>
      <c r="C3" s="149">
        <f>C4+C9</f>
        <v>4553</v>
      </c>
    </row>
    <row r="4" spans="1:3" x14ac:dyDescent="0.3">
      <c r="A4" s="150">
        <v>1000</v>
      </c>
      <c r="B4" s="150" t="s">
        <v>4</v>
      </c>
      <c r="C4" s="151">
        <f>C5+C7</f>
        <v>2806</v>
      </c>
    </row>
    <row r="5" spans="1:3" ht="21" customHeight="1" x14ac:dyDescent="0.3">
      <c r="A5" s="152">
        <v>1100</v>
      </c>
      <c r="B5" s="152" t="s">
        <v>15</v>
      </c>
      <c r="C5" s="153">
        <f>C6</f>
        <v>2270</v>
      </c>
    </row>
    <row r="6" spans="1:3" ht="66" customHeight="1" x14ac:dyDescent="0.3">
      <c r="A6" s="154">
        <v>1149</v>
      </c>
      <c r="B6" s="155" t="s">
        <v>89</v>
      </c>
      <c r="C6" s="156">
        <v>2270</v>
      </c>
    </row>
    <row r="7" spans="1:3" ht="22.8" customHeight="1" x14ac:dyDescent="0.3">
      <c r="A7" s="157">
        <v>1200</v>
      </c>
      <c r="B7" s="155" t="s">
        <v>16</v>
      </c>
      <c r="C7" s="156">
        <f>C8</f>
        <v>536</v>
      </c>
    </row>
    <row r="8" spans="1:3" ht="35.4" customHeight="1" x14ac:dyDescent="0.3">
      <c r="A8" s="154">
        <v>1210</v>
      </c>
      <c r="B8" s="155" t="s">
        <v>91</v>
      </c>
      <c r="C8" s="156">
        <v>536</v>
      </c>
    </row>
    <row r="9" spans="1:3" ht="21.6" customHeight="1" x14ac:dyDescent="0.3">
      <c r="A9" s="158">
        <v>2000</v>
      </c>
      <c r="B9" s="150" t="s">
        <v>6</v>
      </c>
      <c r="C9" s="151">
        <f>C10+C12</f>
        <v>1747</v>
      </c>
    </row>
    <row r="10" spans="1:3" ht="22.2" customHeight="1" x14ac:dyDescent="0.3">
      <c r="A10" s="152">
        <v>2100</v>
      </c>
      <c r="B10" s="159" t="s">
        <v>17</v>
      </c>
      <c r="C10" s="157">
        <f>C11</f>
        <v>571</v>
      </c>
    </row>
    <row r="11" spans="1:3" ht="66.599999999999994" customHeight="1" x14ac:dyDescent="0.3">
      <c r="A11" s="154">
        <v>2122</v>
      </c>
      <c r="B11" s="160" t="s">
        <v>93</v>
      </c>
      <c r="C11" s="161">
        <v>571</v>
      </c>
    </row>
    <row r="12" spans="1:3" ht="24.6" customHeight="1" x14ac:dyDescent="0.3">
      <c r="A12" s="158">
        <v>2200</v>
      </c>
      <c r="B12" s="162" t="s">
        <v>18</v>
      </c>
      <c r="C12" s="149">
        <f>C13+C14</f>
        <v>1176</v>
      </c>
    </row>
    <row r="13" spans="1:3" ht="40.799999999999997" customHeight="1" x14ac:dyDescent="0.3">
      <c r="A13" s="154">
        <v>2210</v>
      </c>
      <c r="B13" s="155" t="s">
        <v>95</v>
      </c>
      <c r="C13" s="161">
        <v>72</v>
      </c>
    </row>
    <row r="14" spans="1:3" ht="23.4" customHeight="1" x14ac:dyDescent="0.3">
      <c r="A14" s="158">
        <v>2230</v>
      </c>
      <c r="B14" s="162" t="s">
        <v>96</v>
      </c>
      <c r="C14" s="156">
        <f>C15</f>
        <v>1104</v>
      </c>
    </row>
    <row r="15" spans="1:3" ht="96" customHeight="1" x14ac:dyDescent="0.3">
      <c r="A15" s="154">
        <v>2238</v>
      </c>
      <c r="B15" s="155" t="s">
        <v>97</v>
      </c>
      <c r="C15" s="156">
        <v>1104</v>
      </c>
    </row>
    <row r="19" spans="1:3" x14ac:dyDescent="0.3">
      <c r="A19" s="175" t="s">
        <v>102</v>
      </c>
      <c r="B19" s="175"/>
      <c r="C19" s="148" t="s">
        <v>88</v>
      </c>
    </row>
    <row r="20" spans="1:3" x14ac:dyDescent="0.3">
      <c r="A20" s="174" t="s">
        <v>2</v>
      </c>
      <c r="B20" s="174"/>
      <c r="C20" s="149">
        <f>C21+C26</f>
        <v>52965</v>
      </c>
    </row>
    <row r="21" spans="1:3" x14ac:dyDescent="0.3">
      <c r="A21" s="150">
        <v>1000</v>
      </c>
      <c r="B21" s="150" t="s">
        <v>4</v>
      </c>
      <c r="C21" s="151">
        <f>C22+C24</f>
        <v>37326</v>
      </c>
    </row>
    <row r="22" spans="1:3" x14ac:dyDescent="0.3">
      <c r="A22" s="152">
        <v>1100</v>
      </c>
      <c r="B22" s="152" t="s">
        <v>15</v>
      </c>
      <c r="C22" s="153">
        <f>C23</f>
        <v>30201</v>
      </c>
    </row>
    <row r="23" spans="1:3" ht="55.2" x14ac:dyDescent="0.3">
      <c r="A23" s="154">
        <v>1149</v>
      </c>
      <c r="B23" s="155" t="s">
        <v>90</v>
      </c>
      <c r="C23" s="156">
        <v>30201</v>
      </c>
    </row>
    <row r="24" spans="1:3" x14ac:dyDescent="0.3">
      <c r="A24" s="157">
        <v>1200</v>
      </c>
      <c r="B24" s="155" t="s">
        <v>16</v>
      </c>
      <c r="C24" s="156">
        <f>C25</f>
        <v>7125</v>
      </c>
    </row>
    <row r="25" spans="1:3" ht="27.6" x14ac:dyDescent="0.3">
      <c r="A25" s="154">
        <v>1210</v>
      </c>
      <c r="B25" s="155" t="s">
        <v>92</v>
      </c>
      <c r="C25" s="156">
        <v>7125</v>
      </c>
    </row>
    <row r="26" spans="1:3" x14ac:dyDescent="0.3">
      <c r="A26" s="158">
        <v>2000</v>
      </c>
      <c r="B26" s="150" t="s">
        <v>6</v>
      </c>
      <c r="C26" s="151">
        <f>C27+C29</f>
        <v>15639</v>
      </c>
    </row>
    <row r="27" spans="1:3" x14ac:dyDescent="0.3">
      <c r="A27" s="152">
        <v>2100</v>
      </c>
      <c r="B27" s="159" t="s">
        <v>17</v>
      </c>
      <c r="C27" s="157">
        <f>C28</f>
        <v>0</v>
      </c>
    </row>
    <row r="28" spans="1:3" ht="41.4" x14ac:dyDescent="0.3">
      <c r="A28" s="154">
        <v>2122</v>
      </c>
      <c r="B28" s="160" t="s">
        <v>94</v>
      </c>
      <c r="C28" s="161">
        <v>0</v>
      </c>
    </row>
    <row r="29" spans="1:3" x14ac:dyDescent="0.3">
      <c r="A29" s="158">
        <v>2200</v>
      </c>
      <c r="B29" s="162" t="s">
        <v>18</v>
      </c>
      <c r="C29" s="149">
        <f>C30+C31</f>
        <v>15639</v>
      </c>
    </row>
    <row r="30" spans="1:3" ht="27.6" x14ac:dyDescent="0.3">
      <c r="A30" s="154">
        <v>2210</v>
      </c>
      <c r="B30" s="155" t="s">
        <v>101</v>
      </c>
      <c r="C30" s="161">
        <v>949</v>
      </c>
    </row>
    <row r="31" spans="1:3" x14ac:dyDescent="0.3">
      <c r="A31" s="158">
        <v>2230</v>
      </c>
      <c r="B31" s="162" t="s">
        <v>96</v>
      </c>
      <c r="C31" s="156">
        <f>C32</f>
        <v>14690</v>
      </c>
    </row>
    <row r="32" spans="1:3" ht="82.8" x14ac:dyDescent="0.3">
      <c r="A32" s="154">
        <v>2238</v>
      </c>
      <c r="B32" s="155" t="s">
        <v>100</v>
      </c>
      <c r="C32" s="156">
        <v>14690</v>
      </c>
    </row>
    <row r="36" spans="1:3" x14ac:dyDescent="0.3">
      <c r="A36" s="175" t="s">
        <v>98</v>
      </c>
      <c r="B36" s="175"/>
      <c r="C36" s="148" t="s">
        <v>99</v>
      </c>
    </row>
    <row r="37" spans="1:3" x14ac:dyDescent="0.3">
      <c r="A37" s="174" t="s">
        <v>2</v>
      </c>
      <c r="B37" s="174"/>
      <c r="C37" s="149">
        <f>C38+C43</f>
        <v>4553</v>
      </c>
    </row>
    <row r="38" spans="1:3" x14ac:dyDescent="0.3">
      <c r="A38" s="150">
        <v>1000</v>
      </c>
      <c r="B38" s="150" t="s">
        <v>4</v>
      </c>
      <c r="C38" s="151">
        <f>C39+C41</f>
        <v>2806</v>
      </c>
    </row>
    <row r="39" spans="1:3" x14ac:dyDescent="0.3">
      <c r="A39" s="152">
        <v>1100</v>
      </c>
      <c r="B39" s="152" t="s">
        <v>15</v>
      </c>
      <c r="C39" s="153">
        <f>C40</f>
        <v>2270</v>
      </c>
    </row>
    <row r="40" spans="1:3" ht="55.2" x14ac:dyDescent="0.3">
      <c r="A40" s="154">
        <v>1149</v>
      </c>
      <c r="B40" s="155" t="s">
        <v>89</v>
      </c>
      <c r="C40" s="156">
        <v>2270</v>
      </c>
    </row>
    <row r="41" spans="1:3" x14ac:dyDescent="0.3">
      <c r="A41" s="157">
        <v>1200</v>
      </c>
      <c r="B41" s="155" t="s">
        <v>16</v>
      </c>
      <c r="C41" s="156">
        <f>C42</f>
        <v>536</v>
      </c>
    </row>
    <row r="42" spans="1:3" ht="27.6" x14ac:dyDescent="0.3">
      <c r="A42" s="154">
        <v>1210</v>
      </c>
      <c r="B42" s="155" t="s">
        <v>91</v>
      </c>
      <c r="C42" s="156">
        <v>536</v>
      </c>
    </row>
    <row r="43" spans="1:3" x14ac:dyDescent="0.3">
      <c r="A43" s="158">
        <v>2000</v>
      </c>
      <c r="B43" s="150" t="s">
        <v>6</v>
      </c>
      <c r="C43" s="151">
        <f>C44+C46</f>
        <v>1747</v>
      </c>
    </row>
    <row r="44" spans="1:3" x14ac:dyDescent="0.3">
      <c r="A44" s="152">
        <v>2100</v>
      </c>
      <c r="B44" s="159" t="s">
        <v>17</v>
      </c>
      <c r="C44" s="157">
        <f>C45</f>
        <v>571</v>
      </c>
    </row>
    <row r="45" spans="1:3" ht="55.2" x14ac:dyDescent="0.3">
      <c r="A45" s="154">
        <v>2122</v>
      </c>
      <c r="B45" s="160" t="s">
        <v>93</v>
      </c>
      <c r="C45" s="161">
        <v>571</v>
      </c>
    </row>
    <row r="46" spans="1:3" x14ac:dyDescent="0.3">
      <c r="A46" s="158">
        <v>2200</v>
      </c>
      <c r="B46" s="162" t="s">
        <v>18</v>
      </c>
      <c r="C46" s="149">
        <f>C47+C48</f>
        <v>1176</v>
      </c>
    </row>
    <row r="47" spans="1:3" ht="27.6" x14ac:dyDescent="0.3">
      <c r="A47" s="154">
        <v>2210</v>
      </c>
      <c r="B47" s="155" t="s">
        <v>95</v>
      </c>
      <c r="C47" s="161">
        <v>72</v>
      </c>
    </row>
    <row r="48" spans="1:3" x14ac:dyDescent="0.3">
      <c r="A48" s="158">
        <v>2230</v>
      </c>
      <c r="B48" s="162" t="s">
        <v>96</v>
      </c>
      <c r="C48" s="156">
        <f>C49</f>
        <v>1104</v>
      </c>
    </row>
    <row r="49" spans="1:3" ht="82.8" x14ac:dyDescent="0.3">
      <c r="A49" s="154">
        <v>2238</v>
      </c>
      <c r="B49" s="155" t="s">
        <v>97</v>
      </c>
      <c r="C49" s="156">
        <v>1104</v>
      </c>
    </row>
  </sheetData>
  <mergeCells count="6">
    <mergeCell ref="A20:B20"/>
    <mergeCell ref="A36:B36"/>
    <mergeCell ref="A37:B37"/>
    <mergeCell ref="A2:B2"/>
    <mergeCell ref="A3:B3"/>
    <mergeCell ref="A19:B1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K.Eiduka</vt:lpstr>
      <vt:lpstr>D.Kosarevs</vt:lpstr>
      <vt:lpstr>O.Lagutins</vt:lpstr>
      <vt:lpstr>M.Štange</vt:lpstr>
      <vt:lpstr>D.Uļģis</vt:lpstr>
      <vt:lpstr>Kopsavilkums</vt:lpstr>
      <vt:lpstr>J.Padāns</vt:lpstr>
      <vt:lpstr>K.Eiduka!Print_Area</vt:lpstr>
      <vt:lpstr>O.Lagutins!Print_Area</vt:lpstr>
    </vt:vector>
  </TitlesOfParts>
  <Company>Valsts policija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Rūta Dukaļska</dc:creator>
  <cp:lastModifiedBy>Igors Silantjevs</cp:lastModifiedBy>
  <cp:lastPrinted>2025-09-29T12:57:12Z</cp:lastPrinted>
  <dcterms:created xsi:type="dcterms:W3CDTF">2020-12-22T13:12:18Z</dcterms:created>
  <dcterms:modified xsi:type="dcterms:W3CDTF">2025-10-29T12:59:44Z</dcterms:modified>
</cp:coreProperties>
</file>