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vnozare.pri\vm\Redirect_profiles\lzandberga\Desktop\LZ\DARBAM_MATERIALI\budzets 2019\2024\ZVA cenrādis\061224\"/>
    </mc:Choice>
  </mc:AlternateContent>
  <xr:revisionPtr revIDLastSave="0" documentId="13_ncr:1_{F1A7ADE4-438C-4CA8-8488-9B4C29D25F43}" xr6:coauthVersionLast="47" xr6:coauthVersionMax="47" xr10:uidLastSave="{00000000-0000-0000-0000-000000000000}"/>
  <bookViews>
    <workbookView xWindow="-120" yWindow="-120" windowWidth="29040" windowHeight="15840" tabRatio="967" xr2:uid="{537963F4-D2AD-40F5-928D-21BA3B22FCAA}"/>
  </bookViews>
  <sheets>
    <sheet name="4.6." sheetId="50" r:id="rId1"/>
    <sheet name="5.1." sheetId="86" r:id="rId2"/>
    <sheet name="15.1." sheetId="48" r:id="rId3"/>
    <sheet name="15.2." sheetId="49" r:id="rId4"/>
    <sheet name="35.1" sheetId="67" r:id="rId5"/>
    <sheet name="35.2." sheetId="68" r:id="rId6"/>
    <sheet name="36.1." sheetId="69" r:id="rId7"/>
    <sheet name="36.2." sheetId="70" r:id="rId8"/>
    <sheet name="38.1." sheetId="71" r:id="rId9"/>
    <sheet name="38.2." sheetId="72" r:id="rId10"/>
    <sheet name="39.1." sheetId="73" r:id="rId11"/>
    <sheet name="39.2." sheetId="74" r:id="rId12"/>
    <sheet name="39.3" sheetId="75" r:id="rId13"/>
    <sheet name="39.4." sheetId="76" r:id="rId14"/>
    <sheet name="39.5." sheetId="77" r:id="rId15"/>
    <sheet name="39.6" sheetId="78" r:id="rId16"/>
    <sheet name="39.7." sheetId="79" r:id="rId17"/>
    <sheet name="39.8." sheetId="80" r:id="rId18"/>
    <sheet name="39.9." sheetId="81" r:id="rId19"/>
    <sheet name="39.10." sheetId="82" r:id="rId20"/>
    <sheet name="40.1." sheetId="83" r:id="rId21"/>
    <sheet name="40.2." sheetId="84" r:id="rId22"/>
    <sheet name="40.3." sheetId="85" r:id="rId23"/>
    <sheet name="43.1" sheetId="54" r:id="rId24"/>
    <sheet name="43.2" sheetId="55" r:id="rId25"/>
    <sheet name="43.3" sheetId="56" r:id="rId26"/>
    <sheet name="43.4" sheetId="57" r:id="rId27"/>
    <sheet name="43.5" sheetId="58" r:id="rId28"/>
    <sheet name="43.6" sheetId="59" r:id="rId29"/>
    <sheet name="43.7" sheetId="60" r:id="rId30"/>
    <sheet name="45.1" sheetId="61" r:id="rId31"/>
    <sheet name="45.2" sheetId="62" r:id="rId32"/>
    <sheet name="45.3" sheetId="63" r:id="rId33"/>
    <sheet name="46.1" sheetId="64" r:id="rId34"/>
    <sheet name="46.2" sheetId="65" r:id="rId35"/>
    <sheet name="47" sheetId="66" r:id="rId36"/>
    <sheet name="48.1.1." sheetId="3" r:id="rId37"/>
    <sheet name="48.1.2." sheetId="2" r:id="rId38"/>
    <sheet name="48.2" sheetId="4" r:id="rId39"/>
    <sheet name="48.3" sheetId="5" r:id="rId40"/>
    <sheet name="48.4" sheetId="6" r:id="rId41"/>
    <sheet name="48.5" sheetId="7" r:id="rId42"/>
    <sheet name="48.6" sheetId="8" r:id="rId43"/>
    <sheet name="48.7" sheetId="9" r:id="rId44"/>
    <sheet name="48.8" sheetId="10" r:id="rId45"/>
    <sheet name="48.9" sheetId="11" r:id="rId46"/>
    <sheet name="48.10.1" sheetId="12" r:id="rId47"/>
    <sheet name="48.10.2" sheetId="13" r:id="rId48"/>
    <sheet name="48.11.1" sheetId="14" r:id="rId49"/>
    <sheet name="48.11.2" sheetId="15" r:id="rId50"/>
    <sheet name="48.12" sheetId="16" r:id="rId51"/>
    <sheet name="48.13" sheetId="17" r:id="rId52"/>
    <sheet name="48.14" sheetId="20" r:id="rId53"/>
    <sheet name="48.15" sheetId="18" r:id="rId54"/>
    <sheet name="48.16" sheetId="19" r:id="rId55"/>
    <sheet name="48.17" sheetId="21" r:id="rId56"/>
    <sheet name="48.18" sheetId="22" r:id="rId57"/>
    <sheet name="48.19" sheetId="23" r:id="rId58"/>
    <sheet name="48.20" sheetId="24" r:id="rId59"/>
    <sheet name="48.21" sheetId="25" r:id="rId60"/>
    <sheet name="48.22" sheetId="44" r:id="rId61"/>
    <sheet name="48.23" sheetId="26" r:id="rId62"/>
    <sheet name="48.24" sheetId="27" r:id="rId63"/>
    <sheet name="48.25.1" sheetId="28" r:id="rId64"/>
    <sheet name="48.25.2" sheetId="45" r:id="rId65"/>
    <sheet name="48.25.3" sheetId="29" r:id="rId66"/>
    <sheet name="48.25.4" sheetId="30" r:id="rId67"/>
    <sheet name="48.25.5" sheetId="31" r:id="rId68"/>
    <sheet name="48.26.1" sheetId="32" r:id="rId69"/>
    <sheet name="48.26.2" sheetId="33" r:id="rId70"/>
    <sheet name="48.26.3" sheetId="34" r:id="rId71"/>
    <sheet name="48.26.4" sheetId="35" r:id="rId72"/>
    <sheet name="48.26.5" sheetId="36" r:id="rId73"/>
    <sheet name="48.27" sheetId="37" r:id="rId74"/>
    <sheet name="48.28" sheetId="38" r:id="rId75"/>
    <sheet name="49." sheetId="39" r:id="rId76"/>
    <sheet name="50.1" sheetId="40" r:id="rId77"/>
    <sheet name="50.2." sheetId="41" r:id="rId78"/>
    <sheet name="51" sheetId="42" r:id="rId79"/>
    <sheet name="52" sheetId="43" r:id="rId80"/>
    <sheet name="54." sheetId="46" r:id="rId81"/>
    <sheet name="58." sheetId="52" r:id="rId82"/>
    <sheet name="59." sheetId="53" r:id="rId83"/>
    <sheet name="64.1" sheetId="87" r:id="rId84"/>
    <sheet name="64.2" sheetId="88" r:id="rId85"/>
  </sheets>
  <definedNames>
    <definedName name="__xlnm.Print_Titles_1">#REF!</definedName>
    <definedName name="_xlnm.Print_Area" localSheetId="36">'48.1.1.'!$A$1:$D$41</definedName>
    <definedName name="_xlnm.Print_Area" localSheetId="57">'48.19'!$A$1:$D$39</definedName>
    <definedName name="_xlnm.Print_Area" localSheetId="63">'48.25.1'!$A$1:$C$41</definedName>
    <definedName name="_xlnm.Print_Area" localSheetId="64">'48.25.2'!$A$1:$C$41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50" l="1"/>
  <c r="C39" i="39"/>
  <c r="C32" i="39"/>
  <c r="C12" i="88" l="1"/>
  <c r="C23" i="87"/>
  <c r="C22" i="87"/>
  <c r="C21" i="87"/>
  <c r="C19" i="87"/>
  <c r="C20" i="87" s="1"/>
  <c r="C14" i="87"/>
  <c r="C12" i="87"/>
  <c r="C13" i="87"/>
  <c r="C12" i="43"/>
  <c r="C31" i="88"/>
  <c r="C30" i="88"/>
  <c r="F16" i="88" s="1"/>
  <c r="C29" i="88"/>
  <c r="C28" i="88"/>
  <c r="C27" i="88"/>
  <c r="C26" i="88"/>
  <c r="C25" i="88"/>
  <c r="C24" i="88"/>
  <c r="C23" i="88"/>
  <c r="C22" i="88"/>
  <c r="C21" i="88"/>
  <c r="C20" i="88"/>
  <c r="C19" i="88"/>
  <c r="C17" i="88"/>
  <c r="C18" i="88" s="1"/>
  <c r="C13" i="88"/>
  <c r="C14" i="88"/>
  <c r="C33" i="87"/>
  <c r="C32" i="87"/>
  <c r="F18" i="87" s="1"/>
  <c r="C31" i="87"/>
  <c r="C30" i="87"/>
  <c r="C29" i="87"/>
  <c r="C28" i="87"/>
  <c r="C27" i="87"/>
  <c r="C26" i="87"/>
  <c r="C25" i="87"/>
  <c r="C24" i="87"/>
  <c r="F15" i="88" l="1"/>
  <c r="C15" i="87"/>
  <c r="C16" i="87" s="1"/>
  <c r="F17" i="87"/>
  <c r="F14" i="88"/>
  <c r="C32" i="88"/>
  <c r="C33" i="88" s="1"/>
  <c r="C36" i="88" s="1"/>
  <c r="C34" i="87"/>
  <c r="C35" i="87" s="1"/>
  <c r="C38" i="87" s="1"/>
  <c r="F16" i="87" l="1"/>
  <c r="C17" i="86" l="1"/>
  <c r="C32" i="86"/>
  <c r="C31" i="86"/>
  <c r="C30" i="86"/>
  <c r="C29" i="86"/>
  <c r="C28" i="86"/>
  <c r="C27" i="86"/>
  <c r="C26" i="86"/>
  <c r="C25" i="86"/>
  <c r="C24" i="86"/>
  <c r="C22" i="86"/>
  <c r="C16" i="86"/>
  <c r="C15" i="86"/>
  <c r="C14" i="86"/>
  <c r="C13" i="86"/>
  <c r="C12" i="86"/>
  <c r="C18" i="86" l="1"/>
  <c r="C19" i="86" s="1"/>
  <c r="C23" i="86"/>
  <c r="C33" i="86" s="1"/>
  <c r="C34" i="86" s="1"/>
  <c r="C37" i="86" s="1"/>
  <c r="C24" i="61" l="1"/>
  <c r="C21" i="65"/>
  <c r="C21" i="64"/>
  <c r="C23" i="62"/>
  <c r="C25" i="60"/>
  <c r="C24" i="59"/>
  <c r="C25" i="58"/>
  <c r="C25" i="57"/>
  <c r="C25" i="56"/>
  <c r="C25" i="55"/>
  <c r="C25" i="54"/>
  <c r="C12" i="48" l="1"/>
  <c r="C18" i="48"/>
  <c r="C32" i="48"/>
  <c r="C25" i="9"/>
  <c r="C24" i="9"/>
  <c r="C23" i="9"/>
  <c r="E19" i="9" s="1"/>
  <c r="C25" i="10"/>
  <c r="C34" i="9"/>
  <c r="C33" i="9"/>
  <c r="C32" i="9"/>
  <c r="C31" i="9"/>
  <c r="C30" i="9"/>
  <c r="C29" i="9"/>
  <c r="C28" i="9"/>
  <c r="C27" i="9"/>
  <c r="C26" i="9"/>
  <c r="C21" i="9"/>
  <c r="C22" i="9" s="1"/>
  <c r="C13" i="64"/>
  <c r="C12" i="64"/>
  <c r="C33" i="54"/>
  <c r="C32" i="54"/>
  <c r="F19" i="54" s="1"/>
  <c r="C31" i="54"/>
  <c r="C30" i="54"/>
  <c r="C29" i="54"/>
  <c r="C28" i="54"/>
  <c r="C27" i="54"/>
  <c r="C26" i="54"/>
  <c r="C24" i="54"/>
  <c r="C23" i="54"/>
  <c r="C22" i="54"/>
  <c r="C21" i="54"/>
  <c r="C34" i="54" s="1"/>
  <c r="C20" i="54"/>
  <c r="C15" i="54"/>
  <c r="C14" i="54"/>
  <c r="C13" i="54"/>
  <c r="C12" i="54"/>
  <c r="C35" i="85"/>
  <c r="C34" i="85"/>
  <c r="C33" i="85"/>
  <c r="C32" i="85"/>
  <c r="C31" i="85"/>
  <c r="C30" i="85"/>
  <c r="C29" i="85"/>
  <c r="C28" i="85"/>
  <c r="C27" i="85"/>
  <c r="C26" i="85"/>
  <c r="C25" i="85"/>
  <c r="C24" i="85"/>
  <c r="C23" i="85"/>
  <c r="C22" i="85"/>
  <c r="C20" i="85"/>
  <c r="C21" i="85" s="1"/>
  <c r="C15" i="85"/>
  <c r="C14" i="85"/>
  <c r="C13" i="85"/>
  <c r="C12" i="85"/>
  <c r="C35" i="84"/>
  <c r="C34" i="84"/>
  <c r="F19" i="84" s="1"/>
  <c r="C33" i="84"/>
  <c r="C32" i="84"/>
  <c r="C31" i="84"/>
  <c r="C30" i="84"/>
  <c r="C29" i="84"/>
  <c r="C28" i="84"/>
  <c r="C27" i="84"/>
  <c r="C26" i="84"/>
  <c r="C25" i="84"/>
  <c r="C24" i="84"/>
  <c r="C23" i="84"/>
  <c r="C22" i="84"/>
  <c r="C20" i="84"/>
  <c r="C21" i="84" s="1"/>
  <c r="C15" i="84"/>
  <c r="C14" i="84"/>
  <c r="C13" i="84"/>
  <c r="C12" i="84"/>
  <c r="C35" i="83"/>
  <c r="C34" i="83"/>
  <c r="F21" i="83" s="1"/>
  <c r="C33" i="83"/>
  <c r="C32" i="83"/>
  <c r="C31" i="83"/>
  <c r="C30" i="83"/>
  <c r="C29" i="83"/>
  <c r="C28" i="83"/>
  <c r="C27" i="83"/>
  <c r="C26" i="83"/>
  <c r="C25" i="83"/>
  <c r="C24" i="83"/>
  <c r="C23" i="83"/>
  <c r="C22" i="83"/>
  <c r="C20" i="83"/>
  <c r="C21" i="83" s="1"/>
  <c r="C15" i="83"/>
  <c r="C14" i="83"/>
  <c r="C13" i="83"/>
  <c r="C12" i="83"/>
  <c r="C35" i="82"/>
  <c r="C34" i="82"/>
  <c r="C33" i="82"/>
  <c r="C32" i="82"/>
  <c r="C31" i="82"/>
  <c r="C30" i="82"/>
  <c r="C29" i="82"/>
  <c r="C28" i="82"/>
  <c r="C27" i="82"/>
  <c r="C26" i="82"/>
  <c r="C25" i="82"/>
  <c r="C24" i="82"/>
  <c r="C23" i="82"/>
  <c r="C22" i="82"/>
  <c r="C20" i="82"/>
  <c r="C21" i="82" s="1"/>
  <c r="C15" i="82"/>
  <c r="C14" i="82"/>
  <c r="C13" i="82"/>
  <c r="C12" i="82"/>
  <c r="C35" i="81"/>
  <c r="C34" i="81"/>
  <c r="F19" i="81" s="1"/>
  <c r="C33" i="81"/>
  <c r="C32" i="81"/>
  <c r="C31" i="81"/>
  <c r="C30" i="81"/>
  <c r="C29" i="81"/>
  <c r="C28" i="81"/>
  <c r="C27" i="81"/>
  <c r="C26" i="81"/>
  <c r="C25" i="81"/>
  <c r="C24" i="81"/>
  <c r="C23" i="81"/>
  <c r="C22" i="81"/>
  <c r="F18" i="81" s="1"/>
  <c r="C20" i="81"/>
  <c r="C21" i="81" s="1"/>
  <c r="C15" i="81"/>
  <c r="C14" i="81"/>
  <c r="C13" i="81"/>
  <c r="C12" i="81"/>
  <c r="C35" i="80"/>
  <c r="C34" i="80"/>
  <c r="C33" i="80"/>
  <c r="C32" i="80"/>
  <c r="C31" i="80"/>
  <c r="C30" i="80"/>
  <c r="C29" i="80"/>
  <c r="C28" i="80"/>
  <c r="C27" i="80"/>
  <c r="C26" i="80"/>
  <c r="C25" i="80"/>
  <c r="C24" i="80"/>
  <c r="C23" i="80"/>
  <c r="C22" i="80"/>
  <c r="C20" i="80"/>
  <c r="C21" i="80" s="1"/>
  <c r="C15" i="80"/>
  <c r="C14" i="80"/>
  <c r="C13" i="80"/>
  <c r="C12" i="80"/>
  <c r="C35" i="79"/>
  <c r="C34" i="79"/>
  <c r="C33" i="79"/>
  <c r="C32" i="79"/>
  <c r="C31" i="79"/>
  <c r="C30" i="79"/>
  <c r="C29" i="79"/>
  <c r="C28" i="79"/>
  <c r="C27" i="79"/>
  <c r="C26" i="79"/>
  <c r="C25" i="79"/>
  <c r="C24" i="79"/>
  <c r="C23" i="79"/>
  <c r="C22" i="79"/>
  <c r="C20" i="79"/>
  <c r="C21" i="79" s="1"/>
  <c r="C15" i="79"/>
  <c r="C14" i="79"/>
  <c r="C13" i="79"/>
  <c r="C12" i="79"/>
  <c r="C35" i="78"/>
  <c r="C34" i="78"/>
  <c r="C33" i="78"/>
  <c r="C32" i="78"/>
  <c r="C31" i="78"/>
  <c r="C30" i="78"/>
  <c r="C29" i="78"/>
  <c r="C28" i="78"/>
  <c r="C27" i="78"/>
  <c r="C26" i="78"/>
  <c r="C25" i="78"/>
  <c r="C24" i="78"/>
  <c r="C23" i="78"/>
  <c r="C22" i="78"/>
  <c r="C20" i="78"/>
  <c r="C21" i="78" s="1"/>
  <c r="C15" i="78"/>
  <c r="C14" i="78"/>
  <c r="C13" i="78"/>
  <c r="C12" i="78"/>
  <c r="C35" i="77"/>
  <c r="C34" i="77"/>
  <c r="F21" i="77" s="1"/>
  <c r="C33" i="77"/>
  <c r="C32" i="77"/>
  <c r="C31" i="77"/>
  <c r="C30" i="77"/>
  <c r="C29" i="77"/>
  <c r="C28" i="77"/>
  <c r="C27" i="77"/>
  <c r="C26" i="77"/>
  <c r="C25" i="77"/>
  <c r="C24" i="77"/>
  <c r="C23" i="77"/>
  <c r="C22" i="77"/>
  <c r="C20" i="77"/>
  <c r="C21" i="77" s="1"/>
  <c r="C15" i="77"/>
  <c r="C14" i="77"/>
  <c r="C13" i="77"/>
  <c r="C12" i="77"/>
  <c r="C35" i="76"/>
  <c r="C34" i="76"/>
  <c r="F19" i="76" s="1"/>
  <c r="C33" i="76"/>
  <c r="C32" i="76"/>
  <c r="C31" i="76"/>
  <c r="C30" i="76"/>
  <c r="C29" i="76"/>
  <c r="C28" i="76"/>
  <c r="C27" i="76"/>
  <c r="C26" i="76"/>
  <c r="C25" i="76"/>
  <c r="C24" i="76"/>
  <c r="C23" i="76"/>
  <c r="C22" i="76"/>
  <c r="C20" i="76"/>
  <c r="C21" i="76" s="1"/>
  <c r="C15" i="76"/>
  <c r="C14" i="76"/>
  <c r="C13" i="76"/>
  <c r="C12" i="76"/>
  <c r="C35" i="75"/>
  <c r="C34" i="75"/>
  <c r="F19" i="75" s="1"/>
  <c r="C33" i="75"/>
  <c r="C32" i="75"/>
  <c r="C31" i="75"/>
  <c r="C30" i="75"/>
  <c r="C29" i="75"/>
  <c r="C28" i="75"/>
  <c r="C27" i="75"/>
  <c r="C26" i="75"/>
  <c r="C25" i="75"/>
  <c r="C24" i="75"/>
  <c r="C23" i="75"/>
  <c r="C22" i="75"/>
  <c r="C20" i="75"/>
  <c r="C21" i="75" s="1"/>
  <c r="C15" i="75"/>
  <c r="C14" i="75"/>
  <c r="C13" i="75"/>
  <c r="C12" i="75"/>
  <c r="C35" i="74"/>
  <c r="C34" i="74"/>
  <c r="C33" i="74"/>
  <c r="C32" i="74"/>
  <c r="C31" i="74"/>
  <c r="C30" i="74"/>
  <c r="C29" i="74"/>
  <c r="C28" i="74"/>
  <c r="C27" i="74"/>
  <c r="C26" i="74"/>
  <c r="C25" i="74"/>
  <c r="C24" i="74"/>
  <c r="C23" i="74"/>
  <c r="C22" i="74"/>
  <c r="C20" i="74"/>
  <c r="C21" i="74" s="1"/>
  <c r="C15" i="74"/>
  <c r="C14" i="74"/>
  <c r="C13" i="74"/>
  <c r="C12" i="74"/>
  <c r="C35" i="73"/>
  <c r="C34" i="73"/>
  <c r="F20" i="73" s="1"/>
  <c r="C33" i="73"/>
  <c r="C32" i="73"/>
  <c r="C31" i="73"/>
  <c r="C30" i="73"/>
  <c r="C29" i="73"/>
  <c r="C28" i="73"/>
  <c r="C27" i="73"/>
  <c r="C26" i="73"/>
  <c r="C25" i="73"/>
  <c r="C24" i="73"/>
  <c r="C23" i="73"/>
  <c r="C22" i="73"/>
  <c r="C20" i="73"/>
  <c r="C21" i="73" s="1"/>
  <c r="C15" i="73"/>
  <c r="C14" i="73"/>
  <c r="C13" i="73"/>
  <c r="C12" i="73"/>
  <c r="C35" i="72"/>
  <c r="C34" i="72"/>
  <c r="C33" i="72"/>
  <c r="C32" i="72"/>
  <c r="C31" i="72"/>
  <c r="C30" i="72"/>
  <c r="C29" i="72"/>
  <c r="C28" i="72"/>
  <c r="C27" i="72"/>
  <c r="C26" i="72"/>
  <c r="C25" i="72"/>
  <c r="C24" i="72"/>
  <c r="C23" i="72"/>
  <c r="C22" i="72"/>
  <c r="C20" i="72"/>
  <c r="C21" i="72" s="1"/>
  <c r="C15" i="72"/>
  <c r="C14" i="72"/>
  <c r="C13" i="72"/>
  <c r="C12" i="72"/>
  <c r="C35" i="71"/>
  <c r="C34" i="71"/>
  <c r="F20" i="71" s="1"/>
  <c r="C33" i="71"/>
  <c r="C32" i="71"/>
  <c r="C31" i="71"/>
  <c r="C30" i="71"/>
  <c r="C29" i="71"/>
  <c r="C28" i="71"/>
  <c r="C27" i="71"/>
  <c r="C26" i="71"/>
  <c r="C25" i="71"/>
  <c r="C24" i="71"/>
  <c r="C23" i="71"/>
  <c r="C22" i="71"/>
  <c r="C20" i="71"/>
  <c r="C21" i="71" s="1"/>
  <c r="C15" i="71"/>
  <c r="C14" i="71"/>
  <c r="C13" i="71"/>
  <c r="C12" i="71"/>
  <c r="C36" i="70"/>
  <c r="C35" i="70"/>
  <c r="F20" i="70" s="1"/>
  <c r="C34" i="70"/>
  <c r="C33" i="70"/>
  <c r="C32" i="70"/>
  <c r="C31" i="70"/>
  <c r="C30" i="70"/>
  <c r="C29" i="70"/>
  <c r="C28" i="70"/>
  <c r="C27" i="70"/>
  <c r="C26" i="70"/>
  <c r="C25" i="70"/>
  <c r="C24" i="70"/>
  <c r="C23" i="70"/>
  <c r="C21" i="70"/>
  <c r="C22" i="70" s="1"/>
  <c r="C16" i="70"/>
  <c r="C15" i="70"/>
  <c r="C14" i="70"/>
  <c r="C13" i="70"/>
  <c r="C12" i="70"/>
  <c r="C35" i="69"/>
  <c r="C34" i="69"/>
  <c r="C33" i="69"/>
  <c r="C32" i="69"/>
  <c r="C31" i="69"/>
  <c r="C30" i="69"/>
  <c r="C29" i="69"/>
  <c r="C28" i="69"/>
  <c r="C27" i="69"/>
  <c r="C26" i="69"/>
  <c r="C25" i="69"/>
  <c r="C24" i="69"/>
  <c r="C23" i="69"/>
  <c r="C22" i="69"/>
  <c r="C20" i="69"/>
  <c r="C21" i="69" s="1"/>
  <c r="C15" i="69"/>
  <c r="C14" i="69"/>
  <c r="C13" i="69"/>
  <c r="C12" i="69"/>
  <c r="C35" i="68"/>
  <c r="C34" i="68"/>
  <c r="C33" i="68"/>
  <c r="C32" i="68"/>
  <c r="C31" i="68"/>
  <c r="C30" i="68"/>
  <c r="C29" i="68"/>
  <c r="C28" i="68"/>
  <c r="C27" i="68"/>
  <c r="C26" i="68"/>
  <c r="C25" i="68"/>
  <c r="C24" i="68"/>
  <c r="C23" i="68"/>
  <c r="C22" i="68"/>
  <c r="F13" i="68" s="1"/>
  <c r="C20" i="68"/>
  <c r="C21" i="68" s="1"/>
  <c r="C15" i="68"/>
  <c r="C14" i="68"/>
  <c r="C13" i="68"/>
  <c r="C12" i="68"/>
  <c r="C35" i="67"/>
  <c r="C34" i="67"/>
  <c r="C33" i="67"/>
  <c r="C32" i="67"/>
  <c r="C31" i="67"/>
  <c r="C30" i="67"/>
  <c r="C29" i="67"/>
  <c r="C28" i="67"/>
  <c r="C27" i="67"/>
  <c r="C26" i="67"/>
  <c r="C25" i="67"/>
  <c r="C24" i="67"/>
  <c r="C23" i="67"/>
  <c r="C22" i="67"/>
  <c r="C20" i="67"/>
  <c r="C21" i="67" s="1"/>
  <c r="C15" i="67"/>
  <c r="C14" i="67"/>
  <c r="C13" i="67"/>
  <c r="C12" i="67"/>
  <c r="C35" i="66"/>
  <c r="C34" i="66"/>
  <c r="C33" i="66"/>
  <c r="C32" i="66"/>
  <c r="C31" i="66"/>
  <c r="C30" i="66"/>
  <c r="C29" i="66"/>
  <c r="C28" i="66"/>
  <c r="C27" i="66"/>
  <c r="C26" i="66"/>
  <c r="C25" i="66"/>
  <c r="C24" i="66"/>
  <c r="C23" i="66"/>
  <c r="C22" i="66"/>
  <c r="C20" i="66"/>
  <c r="C21" i="66" s="1"/>
  <c r="C15" i="66"/>
  <c r="C14" i="66"/>
  <c r="C13" i="66"/>
  <c r="C12" i="66"/>
  <c r="C24" i="65"/>
  <c r="C23" i="65"/>
  <c r="F17" i="65" s="1"/>
  <c r="C22" i="65"/>
  <c r="C20" i="65"/>
  <c r="C18" i="65"/>
  <c r="C19" i="65" s="1"/>
  <c r="C13" i="65"/>
  <c r="C12" i="65"/>
  <c r="C24" i="64"/>
  <c r="C23" i="64"/>
  <c r="F17" i="64" s="1"/>
  <c r="C22" i="64"/>
  <c r="C20" i="64"/>
  <c r="F16" i="64" s="1"/>
  <c r="C18" i="64"/>
  <c r="C19" i="64" s="1"/>
  <c r="C32" i="63"/>
  <c r="C31" i="63"/>
  <c r="C30" i="63"/>
  <c r="C29" i="63"/>
  <c r="C28" i="63"/>
  <c r="C27" i="63"/>
  <c r="C26" i="63"/>
  <c r="C25" i="63"/>
  <c r="C24" i="63"/>
  <c r="C23" i="63"/>
  <c r="C22" i="63"/>
  <c r="C20" i="63"/>
  <c r="C15" i="63"/>
  <c r="C14" i="63"/>
  <c r="C13" i="63"/>
  <c r="C12" i="63"/>
  <c r="C30" i="62"/>
  <c r="C29" i="62"/>
  <c r="C28" i="62"/>
  <c r="C27" i="62"/>
  <c r="C26" i="62"/>
  <c r="C25" i="62"/>
  <c r="C24" i="62"/>
  <c r="C22" i="62"/>
  <c r="F18" i="62" s="1"/>
  <c r="C20" i="62"/>
  <c r="C15" i="62"/>
  <c r="C14" i="62"/>
  <c r="C13" i="62"/>
  <c r="C12" i="62"/>
  <c r="C32" i="61"/>
  <c r="C31" i="61"/>
  <c r="F19" i="61" s="1"/>
  <c r="C30" i="61"/>
  <c r="C29" i="61"/>
  <c r="C28" i="61"/>
  <c r="C27" i="61"/>
  <c r="C26" i="61"/>
  <c r="C25" i="61"/>
  <c r="C23" i="61"/>
  <c r="C22" i="61"/>
  <c r="C20" i="61"/>
  <c r="C15" i="61"/>
  <c r="C14" i="61"/>
  <c r="C13" i="61"/>
  <c r="C12" i="61"/>
  <c r="C16" i="61" s="1"/>
  <c r="C17" i="61" s="1"/>
  <c r="C33" i="60"/>
  <c r="C32" i="60"/>
  <c r="F19" i="60" s="1"/>
  <c r="C31" i="60"/>
  <c r="C30" i="60"/>
  <c r="C29" i="60"/>
  <c r="C28" i="60"/>
  <c r="C27" i="60"/>
  <c r="C26" i="60"/>
  <c r="C24" i="60"/>
  <c r="C23" i="60"/>
  <c r="C22" i="60"/>
  <c r="F18" i="60" s="1"/>
  <c r="C20" i="60"/>
  <c r="C21" i="60" s="1"/>
  <c r="C15" i="60"/>
  <c r="C14" i="60"/>
  <c r="C13" i="60"/>
  <c r="C12" i="60"/>
  <c r="C33" i="59"/>
  <c r="C32" i="59"/>
  <c r="F18" i="59" s="1"/>
  <c r="C31" i="59"/>
  <c r="C30" i="59"/>
  <c r="C29" i="59"/>
  <c r="C28" i="59"/>
  <c r="C27" i="59"/>
  <c r="C26" i="59"/>
  <c r="C25" i="59"/>
  <c r="C23" i="59"/>
  <c r="C22" i="59"/>
  <c r="C21" i="59"/>
  <c r="C19" i="59"/>
  <c r="C20" i="59" s="1"/>
  <c r="C14" i="59"/>
  <c r="C13" i="59"/>
  <c r="C12" i="59"/>
  <c r="C33" i="58"/>
  <c r="C32" i="58"/>
  <c r="F19" i="58" s="1"/>
  <c r="C31" i="58"/>
  <c r="C30" i="58"/>
  <c r="C29" i="58"/>
  <c r="C28" i="58"/>
  <c r="C27" i="58"/>
  <c r="C26" i="58"/>
  <c r="C24" i="58"/>
  <c r="C23" i="58"/>
  <c r="C22" i="58"/>
  <c r="C20" i="58"/>
  <c r="C15" i="58"/>
  <c r="C14" i="58"/>
  <c r="C13" i="58"/>
  <c r="C12" i="58"/>
  <c r="C35" i="57"/>
  <c r="C34" i="57"/>
  <c r="F19" i="57" s="1"/>
  <c r="C33" i="57"/>
  <c r="C32" i="57"/>
  <c r="C31" i="57"/>
  <c r="C30" i="57"/>
  <c r="C29" i="57"/>
  <c r="C28" i="57"/>
  <c r="C27" i="57"/>
  <c r="C26" i="57"/>
  <c r="C24" i="57"/>
  <c r="C23" i="57"/>
  <c r="C22" i="57"/>
  <c r="C20" i="57"/>
  <c r="C21" i="57" s="1"/>
  <c r="C15" i="57"/>
  <c r="C14" i="57"/>
  <c r="C13" i="57"/>
  <c r="C12" i="57"/>
  <c r="C34" i="56"/>
  <c r="C33" i="56"/>
  <c r="C32" i="56"/>
  <c r="C31" i="56"/>
  <c r="C30" i="56"/>
  <c r="C29" i="56"/>
  <c r="C28" i="56"/>
  <c r="C27" i="56"/>
  <c r="C26" i="56"/>
  <c r="C24" i="56"/>
  <c r="C23" i="56"/>
  <c r="C22" i="56"/>
  <c r="C20" i="56"/>
  <c r="C21" i="56" s="1"/>
  <c r="C15" i="56"/>
  <c r="C14" i="56"/>
  <c r="C13" i="56"/>
  <c r="C12" i="56"/>
  <c r="C35" i="55"/>
  <c r="C34" i="55"/>
  <c r="C33" i="55"/>
  <c r="C32" i="55"/>
  <c r="C31" i="55"/>
  <c r="C30" i="55"/>
  <c r="C29" i="55"/>
  <c r="C28" i="55"/>
  <c r="C27" i="55"/>
  <c r="C26" i="55"/>
  <c r="C24" i="55"/>
  <c r="C23" i="55"/>
  <c r="C22" i="55"/>
  <c r="C20" i="55"/>
  <c r="C21" i="55" s="1"/>
  <c r="C15" i="55"/>
  <c r="C14" i="55"/>
  <c r="C13" i="55"/>
  <c r="C12" i="55"/>
  <c r="C28" i="53"/>
  <c r="C27" i="53"/>
  <c r="C26" i="53"/>
  <c r="C25" i="53"/>
  <c r="C24" i="53"/>
  <c r="C23" i="53"/>
  <c r="C22" i="53"/>
  <c r="C21" i="53"/>
  <c r="C20" i="53"/>
  <c r="C18" i="53"/>
  <c r="C13" i="53"/>
  <c r="C12" i="53"/>
  <c r="C14" i="53" s="1"/>
  <c r="C15" i="53" s="1"/>
  <c r="C28" i="52"/>
  <c r="C27" i="52"/>
  <c r="C26" i="52"/>
  <c r="C25" i="52"/>
  <c r="C24" i="52"/>
  <c r="C23" i="52"/>
  <c r="C22" i="52"/>
  <c r="C21" i="52"/>
  <c r="C20" i="52"/>
  <c r="F16" i="52" s="1"/>
  <c r="C18" i="52"/>
  <c r="C13" i="52"/>
  <c r="C12" i="52"/>
  <c r="C37" i="50"/>
  <c r="C36" i="50"/>
  <c r="E14" i="50" s="1"/>
  <c r="C35" i="50"/>
  <c r="C34" i="50"/>
  <c r="C33" i="50"/>
  <c r="C32" i="50"/>
  <c r="C31" i="50"/>
  <c r="C30" i="50"/>
  <c r="C29" i="50"/>
  <c r="C28" i="50"/>
  <c r="C27" i="50"/>
  <c r="C26" i="50"/>
  <c r="C25" i="50"/>
  <c r="C24" i="50"/>
  <c r="C22" i="50"/>
  <c r="C23" i="50" s="1"/>
  <c r="C16" i="50"/>
  <c r="C15" i="50"/>
  <c r="C14" i="50"/>
  <c r="C13" i="50"/>
  <c r="C12" i="50"/>
  <c r="C18" i="50" s="1"/>
  <c r="C21" i="49"/>
  <c r="F14" i="49" s="1"/>
  <c r="C20" i="49"/>
  <c r="F13" i="49" s="1"/>
  <c r="C18" i="49"/>
  <c r="C19" i="49" s="1"/>
  <c r="C13" i="49"/>
  <c r="C12" i="49"/>
  <c r="C14" i="49" s="1"/>
  <c r="C15" i="49" s="1"/>
  <c r="C31" i="48"/>
  <c r="F13" i="48" s="1"/>
  <c r="C30" i="48"/>
  <c r="C29" i="48"/>
  <c r="C28" i="48"/>
  <c r="C27" i="48"/>
  <c r="C26" i="48"/>
  <c r="C25" i="48"/>
  <c r="C24" i="48"/>
  <c r="C23" i="48"/>
  <c r="C22" i="48"/>
  <c r="C21" i="48"/>
  <c r="C20" i="48"/>
  <c r="C19" i="48"/>
  <c r="C13" i="48"/>
  <c r="C27" i="46"/>
  <c r="C26" i="46"/>
  <c r="F17" i="46" s="1"/>
  <c r="C25" i="46"/>
  <c r="C24" i="46"/>
  <c r="C23" i="46"/>
  <c r="C22" i="46"/>
  <c r="C21" i="46"/>
  <c r="C20" i="46"/>
  <c r="C18" i="46"/>
  <c r="C19" i="46" s="1"/>
  <c r="C13" i="46"/>
  <c r="C12" i="46"/>
  <c r="F16" i="65" l="1"/>
  <c r="F14" i="67"/>
  <c r="C16" i="69"/>
  <c r="F19" i="72"/>
  <c r="F18" i="76"/>
  <c r="F19" i="80"/>
  <c r="C16" i="85"/>
  <c r="F19" i="85"/>
  <c r="F18" i="54"/>
  <c r="F19" i="73"/>
  <c r="F18" i="61"/>
  <c r="F19" i="71"/>
  <c r="F16" i="79"/>
  <c r="F17" i="53"/>
  <c r="E19" i="55"/>
  <c r="C17" i="62"/>
  <c r="F20" i="74"/>
  <c r="F19" i="78"/>
  <c r="F18" i="82"/>
  <c r="F18" i="84"/>
  <c r="F16" i="53"/>
  <c r="C16" i="58"/>
  <c r="C17" i="58" s="1"/>
  <c r="F14" i="68"/>
  <c r="F15" i="69"/>
  <c r="F20" i="77"/>
  <c r="C16" i="83"/>
  <c r="F18" i="58"/>
  <c r="F18" i="66"/>
  <c r="F16" i="46"/>
  <c r="F16" i="56"/>
  <c r="F13" i="67"/>
  <c r="F18" i="72"/>
  <c r="F18" i="80"/>
  <c r="F18" i="85"/>
  <c r="C16" i="55"/>
  <c r="F12" i="49"/>
  <c r="C14" i="52"/>
  <c r="C15" i="52" s="1"/>
  <c r="E20" i="55"/>
  <c r="F18" i="57"/>
  <c r="F18" i="63"/>
  <c r="F19" i="66"/>
  <c r="F18" i="75"/>
  <c r="F17" i="79"/>
  <c r="F20" i="83"/>
  <c r="C16" i="54"/>
  <c r="F12" i="48"/>
  <c r="E13" i="50"/>
  <c r="F17" i="52"/>
  <c r="F17" i="56"/>
  <c r="F17" i="59"/>
  <c r="C16" i="62"/>
  <c r="F19" i="62"/>
  <c r="F19" i="63"/>
  <c r="F16" i="69"/>
  <c r="F19" i="70"/>
  <c r="F21" i="74"/>
  <c r="F18" i="78"/>
  <c r="F19" i="82"/>
  <c r="E20" i="9"/>
  <c r="C16" i="84"/>
  <c r="C17" i="84" s="1"/>
  <c r="F17" i="84" s="1"/>
  <c r="C16" i="68"/>
  <c r="C17" i="68" s="1"/>
  <c r="F12" i="68" s="1"/>
  <c r="C16" i="81"/>
  <c r="C17" i="81" s="1"/>
  <c r="F17" i="81" s="1"/>
  <c r="E12" i="50"/>
  <c r="C14" i="65"/>
  <c r="C15" i="65" s="1"/>
  <c r="F15" i="65" s="1"/>
  <c r="C28" i="46"/>
  <c r="C22" i="49"/>
  <c r="C25" i="65"/>
  <c r="C36" i="84"/>
  <c r="C37" i="84" s="1"/>
  <c r="C40" i="84" s="1"/>
  <c r="C17" i="70"/>
  <c r="C18" i="70" s="1"/>
  <c r="F18" i="70" s="1"/>
  <c r="C34" i="59"/>
  <c r="C16" i="72"/>
  <c r="C17" i="72" s="1"/>
  <c r="F17" i="72" s="1"/>
  <c r="C34" i="60"/>
  <c r="C17" i="85"/>
  <c r="F17" i="85" s="1"/>
  <c r="C36" i="85"/>
  <c r="C37" i="85" s="1"/>
  <c r="C40" i="85" s="1"/>
  <c r="C17" i="83"/>
  <c r="F19" i="83" s="1"/>
  <c r="C36" i="83"/>
  <c r="C37" i="83" s="1"/>
  <c r="C40" i="83" s="1"/>
  <c r="C16" i="82"/>
  <c r="C17" i="82" s="1"/>
  <c r="F17" i="82" s="1"/>
  <c r="C36" i="82"/>
  <c r="C36" i="81"/>
  <c r="C16" i="80"/>
  <c r="C17" i="80" s="1"/>
  <c r="F17" i="80" s="1"/>
  <c r="C36" i="80"/>
  <c r="C16" i="79"/>
  <c r="C17" i="79" s="1"/>
  <c r="F15" i="79" s="1"/>
  <c r="C36" i="79"/>
  <c r="C16" i="78"/>
  <c r="C17" i="78" s="1"/>
  <c r="F17" i="78" s="1"/>
  <c r="C36" i="78"/>
  <c r="C16" i="77"/>
  <c r="C17" i="77" s="1"/>
  <c r="F19" i="77" s="1"/>
  <c r="C36" i="77"/>
  <c r="C16" i="76"/>
  <c r="C17" i="76" s="1"/>
  <c r="F17" i="76" s="1"/>
  <c r="C36" i="76"/>
  <c r="C16" i="75"/>
  <c r="C17" i="75" s="1"/>
  <c r="F17" i="75" s="1"/>
  <c r="C36" i="75"/>
  <c r="C16" i="74"/>
  <c r="C17" i="74" s="1"/>
  <c r="F19" i="74" s="1"/>
  <c r="C36" i="74"/>
  <c r="C16" i="73"/>
  <c r="C17" i="73" s="1"/>
  <c r="F18" i="73" s="1"/>
  <c r="C36" i="73"/>
  <c r="C36" i="72"/>
  <c r="C16" i="71"/>
  <c r="C17" i="71" s="1"/>
  <c r="F18" i="71" s="1"/>
  <c r="C36" i="71"/>
  <c r="C37" i="70"/>
  <c r="C17" i="69"/>
  <c r="F14" i="69" s="1"/>
  <c r="C36" i="69"/>
  <c r="C36" i="68"/>
  <c r="C16" i="67"/>
  <c r="C17" i="67" s="1"/>
  <c r="F12" i="67" s="1"/>
  <c r="C36" i="67"/>
  <c r="C16" i="66"/>
  <c r="C17" i="66" s="1"/>
  <c r="F17" i="66" s="1"/>
  <c r="C36" i="66"/>
  <c r="C14" i="64"/>
  <c r="C15" i="64" s="1"/>
  <c r="F15" i="64" s="1"/>
  <c r="C25" i="64"/>
  <c r="C21" i="63"/>
  <c r="C33" i="63" s="1"/>
  <c r="C16" i="63"/>
  <c r="C17" i="63" s="1"/>
  <c r="F17" i="63" s="1"/>
  <c r="C21" i="62"/>
  <c r="C31" i="62" s="1"/>
  <c r="C21" i="61"/>
  <c r="C33" i="61" s="1"/>
  <c r="C34" i="61" s="1"/>
  <c r="C37" i="61" s="1"/>
  <c r="C16" i="60"/>
  <c r="C17" i="60" s="1"/>
  <c r="C15" i="59"/>
  <c r="C16" i="59" s="1"/>
  <c r="F16" i="59" s="1"/>
  <c r="C21" i="58"/>
  <c r="C34" i="58" s="1"/>
  <c r="C35" i="58" s="1"/>
  <c r="C38" i="58" s="1"/>
  <c r="C16" i="57"/>
  <c r="C17" i="57" s="1"/>
  <c r="F17" i="57" s="1"/>
  <c r="C36" i="57"/>
  <c r="C16" i="56"/>
  <c r="C17" i="56" s="1"/>
  <c r="F15" i="56" s="1"/>
  <c r="C35" i="56"/>
  <c r="C36" i="56" s="1"/>
  <c r="C39" i="56" s="1"/>
  <c r="C17" i="55"/>
  <c r="E18" i="55" s="1"/>
  <c r="C36" i="55"/>
  <c r="C17" i="54"/>
  <c r="C19" i="53"/>
  <c r="C29" i="53" s="1"/>
  <c r="C30" i="53" s="1"/>
  <c r="C33" i="53" s="1"/>
  <c r="C19" i="52"/>
  <c r="C29" i="52" s="1"/>
  <c r="C30" i="52" s="1"/>
  <c r="C33" i="52" s="1"/>
  <c r="C19" i="50"/>
  <c r="C38" i="50"/>
  <c r="C23" i="49"/>
  <c r="C26" i="49" s="1"/>
  <c r="C14" i="48"/>
  <c r="C15" i="48" s="1"/>
  <c r="F11" i="48" s="1"/>
  <c r="C33" i="48"/>
  <c r="C14" i="46"/>
  <c r="C15" i="46" s="1"/>
  <c r="C37" i="69" l="1"/>
  <c r="C40" i="69" s="1"/>
  <c r="C37" i="55"/>
  <c r="C40" i="55" s="1"/>
  <c r="C37" i="81"/>
  <c r="C40" i="81" s="1"/>
  <c r="F17" i="58"/>
  <c r="C32" i="62"/>
  <c r="C35" i="62" s="1"/>
  <c r="C35" i="60"/>
  <c r="C38" i="60" s="1"/>
  <c r="F17" i="60"/>
  <c r="C26" i="65"/>
  <c r="C29" i="65" s="1"/>
  <c r="F17" i="61"/>
  <c r="C38" i="70"/>
  <c r="C41" i="70" s="1"/>
  <c r="F15" i="52"/>
  <c r="C37" i="72"/>
  <c r="C40" i="72" s="1"/>
  <c r="C29" i="46"/>
  <c r="C32" i="46" s="1"/>
  <c r="F15" i="46"/>
  <c r="C34" i="63"/>
  <c r="C37" i="63" s="1"/>
  <c r="F17" i="62"/>
  <c r="C35" i="54"/>
  <c r="C38" i="54" s="1"/>
  <c r="F17" i="54"/>
  <c r="C35" i="59"/>
  <c r="C38" i="59" s="1"/>
  <c r="F15" i="53"/>
  <c r="C37" i="82"/>
  <c r="C40" i="82" s="1"/>
  <c r="C37" i="80"/>
  <c r="C40" i="80" s="1"/>
  <c r="C37" i="79"/>
  <c r="C40" i="79" s="1"/>
  <c r="C37" i="78"/>
  <c r="C40" i="78" s="1"/>
  <c r="C37" i="77"/>
  <c r="C40" i="77" s="1"/>
  <c r="C37" i="76"/>
  <c r="C40" i="76" s="1"/>
  <c r="C37" i="75"/>
  <c r="C40" i="75" s="1"/>
  <c r="C37" i="74"/>
  <c r="C40" i="74" s="1"/>
  <c r="C37" i="73"/>
  <c r="C40" i="73" s="1"/>
  <c r="C37" i="71"/>
  <c r="C40" i="71" s="1"/>
  <c r="C37" i="68"/>
  <c r="C40" i="68" s="1"/>
  <c r="C37" i="67"/>
  <c r="C40" i="67" s="1"/>
  <c r="C37" i="66"/>
  <c r="C40" i="66" s="1"/>
  <c r="C26" i="64"/>
  <c r="C29" i="64" s="1"/>
  <c r="C37" i="57"/>
  <c r="C40" i="57" s="1"/>
  <c r="C39" i="50"/>
  <c r="C42" i="50" s="1"/>
  <c r="C46" i="50" s="1"/>
  <c r="C34" i="48"/>
  <c r="C37" i="48" s="1"/>
  <c r="D12" i="3" l="1"/>
  <c r="D36" i="3" l="1"/>
  <c r="D35" i="3"/>
  <c r="F20" i="3" s="1"/>
  <c r="D34" i="3"/>
  <c r="D33" i="3"/>
  <c r="D32" i="3"/>
  <c r="D31" i="3"/>
  <c r="D30" i="3"/>
  <c r="D29" i="3"/>
  <c r="D28" i="3"/>
  <c r="D27" i="3"/>
  <c r="D26" i="3"/>
  <c r="D25" i="3"/>
  <c r="D24" i="3"/>
  <c r="D23" i="3"/>
  <c r="D21" i="3"/>
  <c r="D22" i="3" s="1"/>
  <c r="D16" i="3"/>
  <c r="D15" i="3"/>
  <c r="D14" i="3"/>
  <c r="D13" i="3"/>
  <c r="C36" i="2"/>
  <c r="C35" i="2"/>
  <c r="E20" i="2" s="1"/>
  <c r="C34" i="2"/>
  <c r="C33" i="2"/>
  <c r="C32" i="2"/>
  <c r="C31" i="2"/>
  <c r="C30" i="2"/>
  <c r="C29" i="2"/>
  <c r="C28" i="2"/>
  <c r="C27" i="2"/>
  <c r="C26" i="2"/>
  <c r="C25" i="2"/>
  <c r="C24" i="2"/>
  <c r="C23" i="2"/>
  <c r="C21" i="2"/>
  <c r="C22" i="2" s="1"/>
  <c r="C16" i="2"/>
  <c r="C15" i="2"/>
  <c r="C14" i="2"/>
  <c r="C13" i="2"/>
  <c r="C12" i="2"/>
  <c r="C32" i="4"/>
  <c r="C31" i="4"/>
  <c r="C30" i="4"/>
  <c r="C29" i="4"/>
  <c r="C28" i="4"/>
  <c r="C27" i="4"/>
  <c r="C26" i="4"/>
  <c r="C25" i="4"/>
  <c r="C24" i="4"/>
  <c r="C23" i="4"/>
  <c r="C22" i="4"/>
  <c r="C21" i="4"/>
  <c r="C20" i="4"/>
  <c r="C19" i="4"/>
  <c r="C18" i="4"/>
  <c r="C17" i="4"/>
  <c r="C12" i="4"/>
  <c r="C13" i="4" s="1"/>
  <c r="C25" i="5"/>
  <c r="C31" i="5"/>
  <c r="C32" i="5"/>
  <c r="C23" i="5"/>
  <c r="C25" i="7"/>
  <c r="C31" i="6"/>
  <c r="C30" i="6"/>
  <c r="C29" i="6"/>
  <c r="C27" i="6"/>
  <c r="C28" i="6"/>
  <c r="C26" i="6"/>
  <c r="C25" i="6"/>
  <c r="C24" i="6"/>
  <c r="C23" i="6"/>
  <c r="C22" i="6"/>
  <c r="C21" i="6"/>
  <c r="C20" i="6"/>
  <c r="C19" i="6"/>
  <c r="C17" i="6"/>
  <c r="C18" i="6" s="1"/>
  <c r="C12" i="6"/>
  <c r="C13" i="6" s="1"/>
  <c r="C30" i="5"/>
  <c r="C29" i="5"/>
  <c r="C28" i="5"/>
  <c r="C27" i="5"/>
  <c r="C26" i="5"/>
  <c r="C24" i="5"/>
  <c r="C22" i="5"/>
  <c r="C21" i="5"/>
  <c r="C20" i="5"/>
  <c r="C19" i="5"/>
  <c r="C18" i="5"/>
  <c r="C17" i="5"/>
  <c r="C12" i="5"/>
  <c r="C13" i="5" s="1"/>
  <c r="C36" i="7"/>
  <c r="C35" i="7"/>
  <c r="C34" i="7"/>
  <c r="C33" i="7"/>
  <c r="C32" i="7"/>
  <c r="C31" i="7"/>
  <c r="C30" i="7"/>
  <c r="C29" i="7"/>
  <c r="C28" i="7"/>
  <c r="C27" i="7"/>
  <c r="C26" i="7"/>
  <c r="C24" i="7"/>
  <c r="C23" i="7"/>
  <c r="C21" i="7"/>
  <c r="C22" i="7" s="1"/>
  <c r="C16" i="7"/>
  <c r="C15" i="7"/>
  <c r="C14" i="7"/>
  <c r="C13" i="7"/>
  <c r="C12" i="7"/>
  <c r="C35" i="8"/>
  <c r="C34" i="8"/>
  <c r="C33" i="8"/>
  <c r="C32" i="8"/>
  <c r="C31" i="8"/>
  <c r="C30" i="8"/>
  <c r="C29" i="8"/>
  <c r="C28" i="8"/>
  <c r="C27" i="8"/>
  <c r="C26" i="8"/>
  <c r="C25" i="8"/>
  <c r="C24" i="8"/>
  <c r="C23" i="8"/>
  <c r="C21" i="8"/>
  <c r="C22" i="8" s="1"/>
  <c r="C16" i="8"/>
  <c r="C15" i="8"/>
  <c r="C14" i="8"/>
  <c r="C13" i="8"/>
  <c r="C12" i="8"/>
  <c r="C17" i="8" s="1"/>
  <c r="C16" i="9"/>
  <c r="C15" i="9"/>
  <c r="C14" i="9"/>
  <c r="C13" i="9"/>
  <c r="C12" i="9"/>
  <c r="C17" i="9" s="1"/>
  <c r="C34" i="10"/>
  <c r="C33" i="10"/>
  <c r="C32" i="10"/>
  <c r="C31" i="10"/>
  <c r="C30" i="10"/>
  <c r="C29" i="10"/>
  <c r="C28" i="10"/>
  <c r="C27" i="10"/>
  <c r="C26" i="10"/>
  <c r="C24" i="10"/>
  <c r="C23" i="10"/>
  <c r="C21" i="10"/>
  <c r="C22" i="10" s="1"/>
  <c r="C16" i="10"/>
  <c r="C15" i="10"/>
  <c r="C14" i="10"/>
  <c r="C13" i="10"/>
  <c r="C17" i="10" s="1"/>
  <c r="C12" i="10"/>
  <c r="C36" i="11"/>
  <c r="C35" i="11"/>
  <c r="C34" i="11"/>
  <c r="C33" i="11"/>
  <c r="C32" i="11"/>
  <c r="C31" i="11"/>
  <c r="C30" i="11"/>
  <c r="C29" i="11"/>
  <c r="C28" i="11"/>
  <c r="C27" i="11"/>
  <c r="C26" i="11"/>
  <c r="C25" i="11"/>
  <c r="C24" i="11"/>
  <c r="C23" i="11"/>
  <c r="C21" i="11"/>
  <c r="C22" i="11" s="1"/>
  <c r="C16" i="11"/>
  <c r="C15" i="11"/>
  <c r="C14" i="11"/>
  <c r="C13" i="11"/>
  <c r="C12" i="11"/>
  <c r="C17" i="11" s="1"/>
  <c r="C36" i="12"/>
  <c r="C35" i="12"/>
  <c r="F20" i="12" s="1"/>
  <c r="C34" i="12"/>
  <c r="C33" i="12"/>
  <c r="C32" i="12"/>
  <c r="C31" i="12"/>
  <c r="C30" i="12"/>
  <c r="C29" i="12"/>
  <c r="C28" i="12"/>
  <c r="C27" i="12"/>
  <c r="C26" i="12"/>
  <c r="C25" i="12"/>
  <c r="C24" i="12"/>
  <c r="C23" i="12"/>
  <c r="C21" i="12"/>
  <c r="C16" i="12"/>
  <c r="C15" i="12"/>
  <c r="C14" i="12"/>
  <c r="C13" i="12"/>
  <c r="C12" i="12"/>
  <c r="C34" i="13"/>
  <c r="C33" i="13"/>
  <c r="F23" i="13" s="1"/>
  <c r="C32" i="13"/>
  <c r="C31" i="13"/>
  <c r="C30" i="13"/>
  <c r="C29" i="13"/>
  <c r="C28" i="13"/>
  <c r="C27" i="13"/>
  <c r="C26" i="13"/>
  <c r="C25" i="13"/>
  <c r="C24" i="13"/>
  <c r="C23" i="13"/>
  <c r="C21" i="13"/>
  <c r="C22" i="13" s="1"/>
  <c r="C16" i="13"/>
  <c r="C15" i="13"/>
  <c r="C14" i="13"/>
  <c r="C13" i="13"/>
  <c r="C12" i="13"/>
  <c r="C17" i="13" s="1"/>
  <c r="C36" i="14"/>
  <c r="C35" i="14"/>
  <c r="C34" i="14"/>
  <c r="C33" i="14"/>
  <c r="C32" i="14"/>
  <c r="C31" i="14"/>
  <c r="C30" i="14"/>
  <c r="C29" i="14"/>
  <c r="C28" i="14"/>
  <c r="C27" i="14"/>
  <c r="C26" i="14"/>
  <c r="C25" i="14"/>
  <c r="C24" i="14"/>
  <c r="C23" i="14"/>
  <c r="C21" i="14"/>
  <c r="C22" i="14" s="1"/>
  <c r="C16" i="14"/>
  <c r="C15" i="14"/>
  <c r="C17" i="14" s="1"/>
  <c r="C14" i="14"/>
  <c r="C13" i="14"/>
  <c r="C12" i="14"/>
  <c r="C35" i="15"/>
  <c r="C34" i="15"/>
  <c r="C33" i="15"/>
  <c r="C32" i="15"/>
  <c r="C31" i="15"/>
  <c r="C30" i="15"/>
  <c r="C29" i="15"/>
  <c r="C28" i="15"/>
  <c r="C27" i="15"/>
  <c r="C26" i="15"/>
  <c r="C25" i="15"/>
  <c r="C24" i="15"/>
  <c r="C23" i="15"/>
  <c r="C21" i="15"/>
  <c r="C22" i="15" s="1"/>
  <c r="C16" i="15"/>
  <c r="C15" i="15"/>
  <c r="C14" i="15"/>
  <c r="C13" i="15"/>
  <c r="C12" i="15"/>
  <c r="C17" i="15" s="1"/>
  <c r="C35" i="16"/>
  <c r="C34" i="16"/>
  <c r="C33" i="16"/>
  <c r="C32" i="16"/>
  <c r="C31" i="16"/>
  <c r="C30" i="16"/>
  <c r="C29" i="16"/>
  <c r="C28" i="16"/>
  <c r="C27" i="16"/>
  <c r="C26" i="16"/>
  <c r="C25" i="16"/>
  <c r="C24" i="16"/>
  <c r="C23" i="16"/>
  <c r="C22" i="16"/>
  <c r="C20" i="16"/>
  <c r="C21" i="16" s="1"/>
  <c r="C20" i="17"/>
  <c r="C21" i="17" s="1"/>
  <c r="C15" i="16"/>
  <c r="C14" i="16"/>
  <c r="C13" i="16"/>
  <c r="C12" i="16"/>
  <c r="C35" i="17"/>
  <c r="C34" i="17"/>
  <c r="F19" i="17" s="1"/>
  <c r="C33" i="17"/>
  <c r="C32" i="17"/>
  <c r="C31" i="17"/>
  <c r="C30" i="17"/>
  <c r="C29" i="17"/>
  <c r="C28" i="17"/>
  <c r="C27" i="17"/>
  <c r="C26" i="17"/>
  <c r="C25" i="17"/>
  <c r="C24" i="17"/>
  <c r="C23" i="17"/>
  <c r="C22" i="17"/>
  <c r="C15" i="17"/>
  <c r="C14" i="17"/>
  <c r="C13" i="17"/>
  <c r="C12" i="17"/>
  <c r="C16" i="17" s="1"/>
  <c r="C34" i="20"/>
  <c r="C33" i="20"/>
  <c r="C32" i="20"/>
  <c r="C31" i="20"/>
  <c r="C30" i="20"/>
  <c r="C29" i="20"/>
  <c r="C28" i="20"/>
  <c r="C27" i="20"/>
  <c r="C26" i="20"/>
  <c r="C25" i="20"/>
  <c r="C24" i="20"/>
  <c r="C23" i="20"/>
  <c r="C21" i="20"/>
  <c r="C22" i="20" s="1"/>
  <c r="C16" i="20"/>
  <c r="C15" i="20"/>
  <c r="C14" i="20"/>
  <c r="C17" i="20" s="1"/>
  <c r="C13" i="20"/>
  <c r="C12" i="20"/>
  <c r="C34" i="18"/>
  <c r="C33" i="18"/>
  <c r="C32" i="18"/>
  <c r="C31" i="18"/>
  <c r="C30" i="18"/>
  <c r="C29" i="18"/>
  <c r="C28" i="18"/>
  <c r="C27" i="18"/>
  <c r="C26" i="18"/>
  <c r="C25" i="18"/>
  <c r="C24" i="18"/>
  <c r="C23" i="18"/>
  <c r="C21" i="18"/>
  <c r="C22" i="18" s="1"/>
  <c r="C16" i="18"/>
  <c r="C15" i="18"/>
  <c r="C14" i="18"/>
  <c r="C13" i="18"/>
  <c r="C12" i="18"/>
  <c r="C17" i="18" s="1"/>
  <c r="C12" i="19"/>
  <c r="F20" i="8" l="1"/>
  <c r="F16" i="6"/>
  <c r="F20" i="18"/>
  <c r="C16" i="16"/>
  <c r="F20" i="11"/>
  <c r="F19" i="10"/>
  <c r="F18" i="16"/>
  <c r="F19" i="16"/>
  <c r="F20" i="10"/>
  <c r="C17" i="7"/>
  <c r="F16" i="4"/>
  <c r="E19" i="14"/>
  <c r="C22" i="12"/>
  <c r="C37" i="12" s="1"/>
  <c r="F19" i="12"/>
  <c r="F19" i="11"/>
  <c r="F19" i="15"/>
  <c r="F15" i="4"/>
  <c r="F19" i="18"/>
  <c r="C17" i="12"/>
  <c r="F19" i="20"/>
  <c r="E20" i="14"/>
  <c r="C17" i="2"/>
  <c r="F19" i="3"/>
  <c r="F15" i="6"/>
  <c r="F19" i="5"/>
  <c r="F20" i="20"/>
  <c r="F20" i="15"/>
  <c r="F22" i="13"/>
  <c r="F19" i="7"/>
  <c r="F18" i="5"/>
  <c r="D17" i="3"/>
  <c r="F18" i="17"/>
  <c r="E19" i="2"/>
  <c r="F19" i="8"/>
  <c r="F20" i="7"/>
  <c r="C34" i="19"/>
  <c r="C33" i="19"/>
  <c r="F20" i="19" s="1"/>
  <c r="C32" i="19"/>
  <c r="C31" i="19"/>
  <c r="C30" i="19"/>
  <c r="C29" i="19"/>
  <c r="C28" i="19"/>
  <c r="C27" i="19"/>
  <c r="C26" i="19"/>
  <c r="C25" i="19"/>
  <c r="C24" i="19"/>
  <c r="C23" i="19"/>
  <c r="C21" i="19"/>
  <c r="C22" i="19" s="1"/>
  <c r="C13" i="19"/>
  <c r="C17" i="19" s="1"/>
  <c r="C14" i="19"/>
  <c r="C15" i="19"/>
  <c r="C16" i="19"/>
  <c r="C35" i="21"/>
  <c r="C34" i="21"/>
  <c r="C33" i="21"/>
  <c r="C32" i="21"/>
  <c r="C31" i="21"/>
  <c r="C30" i="21"/>
  <c r="C29" i="21"/>
  <c r="C28" i="21"/>
  <c r="C27" i="21"/>
  <c r="C26" i="21"/>
  <c r="C25" i="21"/>
  <c r="C24" i="21"/>
  <c r="C23" i="21"/>
  <c r="C22" i="21"/>
  <c r="C20" i="21"/>
  <c r="C21" i="21" s="1"/>
  <c r="C15" i="21"/>
  <c r="C14" i="21"/>
  <c r="C13" i="21"/>
  <c r="C12" i="21"/>
  <c r="C14" i="22"/>
  <c r="C12" i="22"/>
  <c r="C13" i="22"/>
  <c r="C34" i="22"/>
  <c r="C33" i="22"/>
  <c r="F20" i="22" s="1"/>
  <c r="C32" i="22"/>
  <c r="C31" i="22"/>
  <c r="C30" i="22"/>
  <c r="C29" i="22"/>
  <c r="C28" i="22"/>
  <c r="C27" i="22"/>
  <c r="C26" i="22"/>
  <c r="C25" i="22"/>
  <c r="C24" i="22"/>
  <c r="C23" i="22"/>
  <c r="F19" i="22" s="1"/>
  <c r="C21" i="22"/>
  <c r="C22" i="22" s="1"/>
  <c r="C16" i="22"/>
  <c r="C15" i="22"/>
  <c r="D34" i="23"/>
  <c r="D33" i="23"/>
  <c r="F19" i="23" s="1"/>
  <c r="D32" i="23"/>
  <c r="D31" i="23"/>
  <c r="D30" i="23"/>
  <c r="D29" i="23"/>
  <c r="D28" i="23"/>
  <c r="D27" i="23"/>
  <c r="D26" i="23"/>
  <c r="D25" i="23"/>
  <c r="D24" i="23"/>
  <c r="D23" i="23"/>
  <c r="D22" i="23"/>
  <c r="D21" i="23"/>
  <c r="D20" i="23"/>
  <c r="D15" i="23"/>
  <c r="D14" i="23"/>
  <c r="D13" i="23"/>
  <c r="D12" i="23"/>
  <c r="C35" i="24"/>
  <c r="C34" i="24"/>
  <c r="F20" i="24" s="1"/>
  <c r="C33" i="24"/>
  <c r="C32" i="24"/>
  <c r="C31" i="24"/>
  <c r="C30" i="24"/>
  <c r="C29" i="24"/>
  <c r="C28" i="24"/>
  <c r="C27" i="24"/>
  <c r="C26" i="24"/>
  <c r="C25" i="24"/>
  <c r="C24" i="24"/>
  <c r="C23" i="24"/>
  <c r="C21" i="24"/>
  <c r="C22" i="24" s="1"/>
  <c r="C16" i="24"/>
  <c r="C15" i="24"/>
  <c r="C14" i="24"/>
  <c r="C13" i="24"/>
  <c r="C12" i="24"/>
  <c r="C34" i="25"/>
  <c r="C33" i="25"/>
  <c r="F19" i="25" s="1"/>
  <c r="C32" i="25"/>
  <c r="C31" i="25"/>
  <c r="C30" i="25"/>
  <c r="C29" i="25"/>
  <c r="C28" i="25"/>
  <c r="C27" i="25"/>
  <c r="C26" i="25"/>
  <c r="C25" i="25"/>
  <c r="C24" i="25"/>
  <c r="C23" i="25"/>
  <c r="C22" i="25"/>
  <c r="C20" i="25"/>
  <c r="C21" i="25" s="1"/>
  <c r="C15" i="25"/>
  <c r="C14" i="25"/>
  <c r="C13" i="25"/>
  <c r="C12" i="25"/>
  <c r="C34" i="44"/>
  <c r="C33" i="44"/>
  <c r="C32" i="44"/>
  <c r="C31" i="44"/>
  <c r="C30" i="44"/>
  <c r="C29" i="44"/>
  <c r="C28" i="44"/>
  <c r="C27" i="44"/>
  <c r="C26" i="44"/>
  <c r="C25" i="44"/>
  <c r="C24" i="44"/>
  <c r="C23" i="44"/>
  <c r="C22" i="44"/>
  <c r="C21" i="44"/>
  <c r="C20" i="44"/>
  <c r="C15" i="44"/>
  <c r="C14" i="44"/>
  <c r="C13" i="44"/>
  <c r="C12" i="44"/>
  <c r="C16" i="44" s="1"/>
  <c r="C34" i="26"/>
  <c r="C33" i="26"/>
  <c r="C32" i="26"/>
  <c r="C31" i="26"/>
  <c r="C30" i="26"/>
  <c r="C29" i="26"/>
  <c r="C28" i="26"/>
  <c r="C27" i="26"/>
  <c r="C26" i="26"/>
  <c r="C25" i="26"/>
  <c r="C24" i="26"/>
  <c r="C23" i="26"/>
  <c r="C21" i="26"/>
  <c r="C22" i="26"/>
  <c r="C16" i="26"/>
  <c r="C15" i="26"/>
  <c r="C14" i="26"/>
  <c r="C13" i="26"/>
  <c r="C12" i="26"/>
  <c r="C35" i="27"/>
  <c r="C34" i="27"/>
  <c r="F20" i="27" s="1"/>
  <c r="C33" i="27"/>
  <c r="C32" i="27"/>
  <c r="C31" i="27"/>
  <c r="C30" i="27"/>
  <c r="C29" i="27"/>
  <c r="C28" i="27"/>
  <c r="C27" i="27"/>
  <c r="C26" i="27"/>
  <c r="C25" i="27"/>
  <c r="C23" i="27"/>
  <c r="C24" i="27"/>
  <c r="C21" i="27"/>
  <c r="C22" i="27" s="1"/>
  <c r="C16" i="27"/>
  <c r="C15" i="27"/>
  <c r="C14" i="27"/>
  <c r="C13" i="27"/>
  <c r="C12" i="27"/>
  <c r="C36" i="28"/>
  <c r="C35" i="28"/>
  <c r="C34" i="28"/>
  <c r="C33" i="28"/>
  <c r="C32" i="28"/>
  <c r="C31" i="28"/>
  <c r="C30" i="28"/>
  <c r="C29" i="28"/>
  <c r="C28" i="28"/>
  <c r="C27" i="28"/>
  <c r="C26" i="28"/>
  <c r="C25" i="28"/>
  <c r="C24" i="28"/>
  <c r="C23" i="28"/>
  <c r="C21" i="28"/>
  <c r="C22" i="28" s="1"/>
  <c r="C16" i="28"/>
  <c r="C15" i="28"/>
  <c r="C14" i="28"/>
  <c r="C13" i="28"/>
  <c r="C12" i="28"/>
  <c r="C17" i="28" s="1"/>
  <c r="C36" i="45"/>
  <c r="C35" i="45"/>
  <c r="C34" i="45"/>
  <c r="C33" i="45"/>
  <c r="C32" i="45"/>
  <c r="C31" i="45"/>
  <c r="C30" i="45"/>
  <c r="C29" i="45"/>
  <c r="C28" i="45"/>
  <c r="C27" i="45"/>
  <c r="C26" i="45"/>
  <c r="C25" i="45"/>
  <c r="C24" i="45"/>
  <c r="C23" i="45"/>
  <c r="C21" i="45"/>
  <c r="C22" i="45" s="1"/>
  <c r="C16" i="45"/>
  <c r="C15" i="45"/>
  <c r="C14" i="45"/>
  <c r="C13" i="45"/>
  <c r="C12" i="45"/>
  <c r="C35" i="29"/>
  <c r="C34" i="29"/>
  <c r="F20" i="29" s="1"/>
  <c r="C33" i="29"/>
  <c r="C32" i="29"/>
  <c r="C31" i="29"/>
  <c r="C30" i="29"/>
  <c r="C29" i="29"/>
  <c r="C28" i="29"/>
  <c r="C27" i="29"/>
  <c r="C26" i="29"/>
  <c r="C25" i="29"/>
  <c r="C24" i="29"/>
  <c r="C23" i="29"/>
  <c r="C21" i="29"/>
  <c r="C22" i="29" s="1"/>
  <c r="C23" i="30"/>
  <c r="C21" i="30"/>
  <c r="C22" i="30" s="1"/>
  <c r="C16" i="29"/>
  <c r="C15" i="29"/>
  <c r="C14" i="29"/>
  <c r="C13" i="29"/>
  <c r="C12" i="29"/>
  <c r="C17" i="29" s="1"/>
  <c r="C34" i="30"/>
  <c r="C33" i="30"/>
  <c r="C32" i="30"/>
  <c r="C31" i="30"/>
  <c r="C30" i="30"/>
  <c r="C29" i="30"/>
  <c r="C28" i="30"/>
  <c r="C27" i="30"/>
  <c r="C26" i="30"/>
  <c r="C25" i="30"/>
  <c r="C24" i="30"/>
  <c r="C14" i="30"/>
  <c r="C15" i="30"/>
  <c r="C16" i="30"/>
  <c r="C13" i="30"/>
  <c r="C12" i="30"/>
  <c r="C34" i="31"/>
  <c r="C33" i="31"/>
  <c r="C32" i="31"/>
  <c r="C31" i="31"/>
  <c r="C30" i="31"/>
  <c r="C29" i="31"/>
  <c r="C28" i="31"/>
  <c r="C27" i="31"/>
  <c r="C26" i="31"/>
  <c r="C25" i="31"/>
  <c r="C24" i="31"/>
  <c r="C23" i="31"/>
  <c r="C22" i="31"/>
  <c r="C16" i="31"/>
  <c r="C15" i="31"/>
  <c r="C14" i="31"/>
  <c r="C13" i="31"/>
  <c r="C12" i="31"/>
  <c r="C21" i="31"/>
  <c r="C35" i="32"/>
  <c r="C34" i="32"/>
  <c r="F20" i="32" s="1"/>
  <c r="C33" i="32"/>
  <c r="C32" i="32"/>
  <c r="C31" i="32"/>
  <c r="C30" i="32"/>
  <c r="C29" i="32"/>
  <c r="C28" i="32"/>
  <c r="C27" i="32"/>
  <c r="C26" i="32"/>
  <c r="C25" i="32"/>
  <c r="C24" i="32"/>
  <c r="C23" i="32"/>
  <c r="C21" i="32"/>
  <c r="C22" i="32" s="1"/>
  <c r="C16" i="32"/>
  <c r="C15" i="32"/>
  <c r="C14" i="32"/>
  <c r="C13" i="32"/>
  <c r="C12" i="32"/>
  <c r="C12" i="33"/>
  <c r="C35" i="33"/>
  <c r="C34" i="33"/>
  <c r="C33" i="33"/>
  <c r="C32" i="33"/>
  <c r="C31" i="33"/>
  <c r="C30" i="33"/>
  <c r="C29" i="33"/>
  <c r="C28" i="33"/>
  <c r="C27" i="33"/>
  <c r="C26" i="33"/>
  <c r="C25" i="33"/>
  <c r="C24" i="33"/>
  <c r="C23" i="33"/>
  <c r="C21" i="33"/>
  <c r="C22" i="33" s="1"/>
  <c r="C16" i="33"/>
  <c r="C15" i="33"/>
  <c r="C14" i="33"/>
  <c r="C13" i="33"/>
  <c r="C35" i="34"/>
  <c r="C34" i="34"/>
  <c r="C33" i="34"/>
  <c r="C32" i="34"/>
  <c r="C31" i="34"/>
  <c r="C30" i="34"/>
  <c r="C29" i="34"/>
  <c r="C28" i="34"/>
  <c r="C27" i="34"/>
  <c r="C26" i="34"/>
  <c r="C25" i="34"/>
  <c r="C24" i="34"/>
  <c r="C23" i="34"/>
  <c r="C21" i="34"/>
  <c r="C22" i="34" s="1"/>
  <c r="C27" i="35"/>
  <c r="C15" i="34"/>
  <c r="C16" i="34"/>
  <c r="C14" i="34"/>
  <c r="C13" i="34"/>
  <c r="C12" i="34"/>
  <c r="C17" i="34" s="1"/>
  <c r="C34" i="35"/>
  <c r="C33" i="35"/>
  <c r="C32" i="35"/>
  <c r="C31" i="35"/>
  <c r="C30" i="35"/>
  <c r="C29" i="35"/>
  <c r="C28" i="35"/>
  <c r="C26" i="35"/>
  <c r="C25" i="35"/>
  <c r="C24" i="35"/>
  <c r="C23" i="35"/>
  <c r="C21" i="35"/>
  <c r="C22" i="35" s="1"/>
  <c r="C16" i="35"/>
  <c r="C15" i="35"/>
  <c r="C14" i="35"/>
  <c r="C13" i="35"/>
  <c r="C12" i="35"/>
  <c r="C34" i="36"/>
  <c r="C33" i="36"/>
  <c r="C32" i="36"/>
  <c r="C31" i="36"/>
  <c r="C30" i="36"/>
  <c r="C29" i="36"/>
  <c r="C28" i="36"/>
  <c r="C27" i="36"/>
  <c r="C26" i="36"/>
  <c r="C25" i="36"/>
  <c r="C24" i="36"/>
  <c r="C23" i="36"/>
  <c r="C21" i="36"/>
  <c r="C22" i="36"/>
  <c r="C16" i="36"/>
  <c r="C15" i="36"/>
  <c r="C14" i="36"/>
  <c r="C13" i="36"/>
  <c r="C12" i="36"/>
  <c r="C12" i="38"/>
  <c r="C36" i="37"/>
  <c r="C35" i="37"/>
  <c r="F20" i="37" s="1"/>
  <c r="C34" i="37"/>
  <c r="C33" i="37"/>
  <c r="C32" i="37"/>
  <c r="C31" i="37"/>
  <c r="C30" i="37"/>
  <c r="C29" i="37"/>
  <c r="C28" i="37"/>
  <c r="C27" i="37"/>
  <c r="C26" i="37"/>
  <c r="C25" i="37"/>
  <c r="C24" i="37"/>
  <c r="C23" i="37"/>
  <c r="C21" i="37"/>
  <c r="C22" i="37" s="1"/>
  <c r="C16" i="37"/>
  <c r="C15" i="37"/>
  <c r="C14" i="37"/>
  <c r="C13" i="37"/>
  <c r="C12" i="37"/>
  <c r="C34" i="38"/>
  <c r="C33" i="38"/>
  <c r="C32" i="38"/>
  <c r="C31" i="38"/>
  <c r="C30" i="38"/>
  <c r="C29" i="38"/>
  <c r="C28" i="38"/>
  <c r="C27" i="38"/>
  <c r="C26" i="38"/>
  <c r="C25" i="38"/>
  <c r="C24" i="38"/>
  <c r="C23" i="38"/>
  <c r="C21" i="38"/>
  <c r="C22" i="38" s="1"/>
  <c r="C15" i="38"/>
  <c r="C16" i="38"/>
  <c r="C14" i="38"/>
  <c r="C13" i="38"/>
  <c r="C34" i="39"/>
  <c r="C33" i="39"/>
  <c r="C31" i="39"/>
  <c r="C30" i="39"/>
  <c r="C29" i="39"/>
  <c r="C28" i="39"/>
  <c r="C27" i="39"/>
  <c r="C26" i="39"/>
  <c r="C25" i="39"/>
  <c r="C24" i="39"/>
  <c r="C23" i="39"/>
  <c r="C21" i="39"/>
  <c r="C22" i="39" s="1"/>
  <c r="C16" i="39"/>
  <c r="C15" i="39"/>
  <c r="C14" i="39"/>
  <c r="C13" i="39"/>
  <c r="C12" i="39"/>
  <c r="C36" i="40"/>
  <c r="C35" i="40"/>
  <c r="C34" i="40"/>
  <c r="C33" i="40"/>
  <c r="C32" i="40"/>
  <c r="C31" i="40"/>
  <c r="C30" i="40"/>
  <c r="C29" i="40"/>
  <c r="C28" i="40"/>
  <c r="C27" i="40"/>
  <c r="C26" i="40"/>
  <c r="C25" i="40"/>
  <c r="C24" i="40"/>
  <c r="C23" i="40"/>
  <c r="C21" i="40"/>
  <c r="C22" i="40" s="1"/>
  <c r="C16" i="40"/>
  <c r="C15" i="40"/>
  <c r="C14" i="40"/>
  <c r="C13" i="40"/>
  <c r="C12" i="40"/>
  <c r="C12" i="41"/>
  <c r="C35" i="41"/>
  <c r="C34" i="41"/>
  <c r="C33" i="41"/>
  <c r="C32" i="41"/>
  <c r="C31" i="41"/>
  <c r="C30" i="41"/>
  <c r="C29" i="41"/>
  <c r="C28" i="41"/>
  <c r="C27" i="41"/>
  <c r="C26" i="41"/>
  <c r="C25" i="41"/>
  <c r="C24" i="41"/>
  <c r="C23" i="41"/>
  <c r="C22" i="41"/>
  <c r="C20" i="41"/>
  <c r="C21" i="41" s="1"/>
  <c r="C15" i="41"/>
  <c r="C14" i="41"/>
  <c r="C13" i="41"/>
  <c r="C16" i="41" s="1"/>
  <c r="C36" i="42"/>
  <c r="C35" i="42"/>
  <c r="C34" i="42"/>
  <c r="C33" i="42"/>
  <c r="C32" i="42"/>
  <c r="C31" i="42"/>
  <c r="C30" i="42"/>
  <c r="C29" i="42"/>
  <c r="C28" i="42"/>
  <c r="C27" i="42"/>
  <c r="C26" i="42"/>
  <c r="C25" i="42"/>
  <c r="C24" i="42"/>
  <c r="C23" i="42"/>
  <c r="C21" i="42"/>
  <c r="C22" i="42" s="1"/>
  <c r="C16" i="42"/>
  <c r="C15" i="42"/>
  <c r="C14" i="42"/>
  <c r="C13" i="42"/>
  <c r="C12" i="42"/>
  <c r="C17" i="42" s="1"/>
  <c r="C17" i="37" l="1"/>
  <c r="C17" i="30"/>
  <c r="C16" i="21"/>
  <c r="F19" i="41"/>
  <c r="F20" i="39"/>
  <c r="C17" i="38"/>
  <c r="C18" i="38" s="1"/>
  <c r="F18" i="38" s="1"/>
  <c r="F19" i="21"/>
  <c r="F19" i="40"/>
  <c r="C17" i="39"/>
  <c r="F19" i="33"/>
  <c r="C18" i="42"/>
  <c r="F18" i="42" s="1"/>
  <c r="F20" i="38"/>
  <c r="F20" i="36"/>
  <c r="F19" i="27"/>
  <c r="F19" i="44"/>
  <c r="D16" i="23"/>
  <c r="C17" i="26"/>
  <c r="C17" i="40"/>
  <c r="C17" i="33"/>
  <c r="C17" i="45"/>
  <c r="C17" i="31"/>
  <c r="C17" i="32"/>
  <c r="C18" i="32" s="1"/>
  <c r="F18" i="32" s="1"/>
  <c r="C17" i="35"/>
  <c r="F20" i="33"/>
  <c r="F20" i="31"/>
  <c r="C17" i="22"/>
  <c r="C17" i="36"/>
  <c r="F20" i="45"/>
  <c r="C16" i="25"/>
  <c r="C17" i="25" s="1"/>
  <c r="F17" i="25" s="1"/>
  <c r="C17" i="24"/>
  <c r="C18" i="24" s="1"/>
  <c r="F18" i="24" s="1"/>
  <c r="C18" i="30"/>
  <c r="F18" i="30" s="1"/>
  <c r="F19" i="30"/>
  <c r="F18" i="41"/>
  <c r="F19" i="38"/>
  <c r="F19" i="31"/>
  <c r="F19" i="19"/>
  <c r="F19" i="24"/>
  <c r="F19" i="42"/>
  <c r="C17" i="27"/>
  <c r="C18" i="27" s="1"/>
  <c r="F18" i="27" s="1"/>
  <c r="F20" i="40"/>
  <c r="F19" i="36"/>
  <c r="F19" i="34"/>
  <c r="E18" i="28"/>
  <c r="F18" i="44"/>
  <c r="C37" i="42"/>
  <c r="C38" i="42" s="1"/>
  <c r="F19" i="29"/>
  <c r="F19" i="26"/>
  <c r="C17" i="44"/>
  <c r="F17" i="44" s="1"/>
  <c r="F18" i="25"/>
  <c r="F19" i="35"/>
  <c r="E17" i="28"/>
  <c r="F20" i="35"/>
  <c r="F19" i="45"/>
  <c r="F19" i="39"/>
  <c r="F19" i="32"/>
  <c r="F18" i="23"/>
  <c r="F18" i="21"/>
  <c r="F19" i="37"/>
  <c r="F20" i="42"/>
  <c r="F20" i="34"/>
  <c r="F20" i="30"/>
  <c r="F20" i="26"/>
  <c r="C18" i="22"/>
  <c r="F18" i="22" s="1"/>
  <c r="C32" i="43"/>
  <c r="C31" i="43"/>
  <c r="G16" i="43" s="1"/>
  <c r="C30" i="43"/>
  <c r="C29" i="43"/>
  <c r="C28" i="43"/>
  <c r="C27" i="43"/>
  <c r="C26" i="43"/>
  <c r="C25" i="43"/>
  <c r="C24" i="43"/>
  <c r="C23" i="43"/>
  <c r="C22" i="43"/>
  <c r="C21" i="43"/>
  <c r="C20" i="43"/>
  <c r="C19" i="43"/>
  <c r="C18" i="43"/>
  <c r="C17" i="43"/>
  <c r="C13" i="43"/>
  <c r="C14" i="43" s="1"/>
  <c r="C37" i="45"/>
  <c r="C18" i="45"/>
  <c r="F18" i="45" s="1"/>
  <c r="D17" i="23"/>
  <c r="F17" i="23" s="1"/>
  <c r="C17" i="21"/>
  <c r="F17" i="21" s="1"/>
  <c r="C17" i="17"/>
  <c r="F17" i="17" s="1"/>
  <c r="C18" i="40"/>
  <c r="F18" i="40" s="1"/>
  <c r="C18" i="39"/>
  <c r="F18" i="39" s="1"/>
  <c r="C18" i="36"/>
  <c r="F18" i="36" s="1"/>
  <c r="C18" i="35"/>
  <c r="F18" i="35" s="1"/>
  <c r="C18" i="34"/>
  <c r="F18" i="34" s="1"/>
  <c r="C18" i="33"/>
  <c r="F18" i="33" s="1"/>
  <c r="C18" i="29"/>
  <c r="F18" i="29" s="1"/>
  <c r="C18" i="28"/>
  <c r="E16" i="28" s="1"/>
  <c r="C18" i="26"/>
  <c r="C18" i="19"/>
  <c r="C18" i="18"/>
  <c r="F18" i="18" s="1"/>
  <c r="C18" i="20"/>
  <c r="F18" i="20" s="1"/>
  <c r="C17" i="16"/>
  <c r="F17" i="16" s="1"/>
  <c r="C18" i="13"/>
  <c r="F21" i="13" s="1"/>
  <c r="C18" i="10"/>
  <c r="F18" i="10" s="1"/>
  <c r="C18" i="11"/>
  <c r="F18" i="11" s="1"/>
  <c r="C18" i="12"/>
  <c r="F18" i="12" s="1"/>
  <c r="C18" i="9"/>
  <c r="E18" i="9" s="1"/>
  <c r="C18" i="7"/>
  <c r="F18" i="7" s="1"/>
  <c r="C14" i="5"/>
  <c r="F17" i="5" s="1"/>
  <c r="C14" i="4"/>
  <c r="F14" i="4" s="1"/>
  <c r="C18" i="2"/>
  <c r="E18" i="2" s="1"/>
  <c r="D18" i="3"/>
  <c r="F18" i="3" s="1"/>
  <c r="C17" i="41"/>
  <c r="F17" i="41" s="1"/>
  <c r="C18" i="37"/>
  <c r="C18" i="15"/>
  <c r="F18" i="15" s="1"/>
  <c r="C18" i="14"/>
  <c r="E18" i="14" s="1"/>
  <c r="C18" i="8"/>
  <c r="F18" i="8" s="1"/>
  <c r="C14" i="6"/>
  <c r="F14" i="6" s="1"/>
  <c r="C18" i="31"/>
  <c r="F18" i="31" s="1"/>
  <c r="C32" i="6"/>
  <c r="C33" i="5"/>
  <c r="D37" i="3"/>
  <c r="C35" i="13"/>
  <c r="C36" i="8"/>
  <c r="C37" i="8" s="1"/>
  <c r="C40" i="8" s="1"/>
  <c r="C37" i="14"/>
  <c r="C37" i="7"/>
  <c r="C37" i="2"/>
  <c r="C37" i="11"/>
  <c r="C35" i="10"/>
  <c r="C36" i="10" s="1"/>
  <c r="C39" i="10" s="1"/>
  <c r="C35" i="9"/>
  <c r="C33" i="4"/>
  <c r="C36" i="16"/>
  <c r="C36" i="15"/>
  <c r="C35" i="20"/>
  <c r="C36" i="41"/>
  <c r="C36" i="27"/>
  <c r="C36" i="24"/>
  <c r="C35" i="26"/>
  <c r="C36" i="34"/>
  <c r="C35" i="36"/>
  <c r="C35" i="38"/>
  <c r="C35" i="31"/>
  <c r="C36" i="29"/>
  <c r="C37" i="40"/>
  <c r="C36" i="33"/>
  <c r="C35" i="25"/>
  <c r="C41" i="42"/>
  <c r="C35" i="35"/>
  <c r="C37" i="37"/>
  <c r="C35" i="19"/>
  <c r="C37" i="28"/>
  <c r="C38" i="28"/>
  <c r="C41" i="28" s="1"/>
  <c r="C35" i="39"/>
  <c r="C35" i="22"/>
  <c r="C35" i="30"/>
  <c r="C36" i="30" s="1"/>
  <c r="C39" i="30" s="1"/>
  <c r="C36" i="32"/>
  <c r="C35" i="18"/>
  <c r="C36" i="18" s="1"/>
  <c r="C39" i="18" s="1"/>
  <c r="C36" i="39" l="1"/>
  <c r="C38" i="40"/>
  <c r="C41" i="40" s="1"/>
  <c r="C34" i="5"/>
  <c r="C37" i="5" s="1"/>
  <c r="G14" i="43"/>
  <c r="C38" i="7"/>
  <c r="C41" i="7" s="1"/>
  <c r="C33" i="6"/>
  <c r="C36" i="6" s="1"/>
  <c r="C37" i="27"/>
  <c r="C40" i="27" s="1"/>
  <c r="C38" i="37"/>
  <c r="C41" i="37" s="1"/>
  <c r="F18" i="37"/>
  <c r="C38" i="45"/>
  <c r="C41" i="45" s="1"/>
  <c r="G15" i="43"/>
  <c r="C38" i="12"/>
  <c r="C41" i="12" s="1"/>
  <c r="F18" i="19"/>
  <c r="C36" i="19"/>
  <c r="C39" i="19" s="1"/>
  <c r="C34" i="4"/>
  <c r="C37" i="4" s="1"/>
  <c r="C36" i="26"/>
  <c r="C39" i="26" s="1"/>
  <c r="F18" i="26"/>
  <c r="C36" i="25"/>
  <c r="C39" i="25" s="1"/>
  <c r="C36" i="9"/>
  <c r="C39" i="9" s="1"/>
  <c r="D38" i="3"/>
  <c r="D41" i="3" s="1"/>
  <c r="C38" i="2"/>
  <c r="C41" i="2" s="1"/>
  <c r="C38" i="11"/>
  <c r="C41" i="11" s="1"/>
  <c r="C36" i="13"/>
  <c r="C39" i="13" s="1"/>
  <c r="C38" i="14"/>
  <c r="C41" i="14" s="1"/>
  <c r="C37" i="15"/>
  <c r="C40" i="15" s="1"/>
  <c r="C37" i="16"/>
  <c r="C40" i="16" s="1"/>
  <c r="C36" i="20"/>
  <c r="C39" i="20" s="1"/>
  <c r="C36" i="22"/>
  <c r="C39" i="22" s="1"/>
  <c r="C37" i="24"/>
  <c r="C40" i="24" s="1"/>
  <c r="C37" i="29"/>
  <c r="C40" i="29" s="1"/>
  <c r="C36" i="31"/>
  <c r="C39" i="31" s="1"/>
  <c r="C37" i="32"/>
  <c r="C40" i="32" s="1"/>
  <c r="C37" i="33"/>
  <c r="C40" i="33" s="1"/>
  <c r="C37" i="34"/>
  <c r="C40" i="34" s="1"/>
  <c r="C36" i="35"/>
  <c r="C39" i="35" s="1"/>
  <c r="C36" i="36"/>
  <c r="C39" i="36" s="1"/>
  <c r="C36" i="38"/>
  <c r="C39" i="38" s="1"/>
  <c r="C37" i="41"/>
  <c r="C40" i="41" s="1"/>
  <c r="C33" i="43"/>
  <c r="C34" i="43" s="1"/>
  <c r="C37" i="43" s="1"/>
  <c r="C35" i="44" l="1"/>
  <c r="C36" i="44" s="1"/>
  <c r="C39" i="44" s="1"/>
  <c r="D35" i="23"/>
  <c r="D36" i="23" s="1"/>
  <c r="D39" i="23" s="1"/>
  <c r="C36" i="21"/>
  <c r="C37" i="21" s="1"/>
  <c r="C40" i="21" s="1"/>
  <c r="C36" i="17"/>
  <c r="C37" i="17" s="1"/>
  <c r="C40" i="17" s="1"/>
</calcChain>
</file>

<file path=xl/sharedStrings.xml><?xml version="1.0" encoding="utf-8"?>
<sst xmlns="http://schemas.openxmlformats.org/spreadsheetml/2006/main" count="4592" uniqueCount="327">
  <si>
    <t>1000</t>
  </si>
  <si>
    <t>2000</t>
  </si>
  <si>
    <t>2100</t>
  </si>
  <si>
    <t>2210</t>
  </si>
  <si>
    <t>2220</t>
  </si>
  <si>
    <t>2230</t>
  </si>
  <si>
    <t>2240</t>
  </si>
  <si>
    <t>2250</t>
  </si>
  <si>
    <t>2260</t>
  </si>
  <si>
    <t>2310</t>
  </si>
  <si>
    <t>2320</t>
  </si>
  <si>
    <t>2340</t>
  </si>
  <si>
    <t>2350</t>
  </si>
  <si>
    <t>2510</t>
  </si>
  <si>
    <t>5000</t>
  </si>
  <si>
    <t>5100</t>
  </si>
  <si>
    <t>5120</t>
  </si>
  <si>
    <t>5200</t>
  </si>
  <si>
    <t>5220</t>
  </si>
  <si>
    <t>5230</t>
  </si>
  <si>
    <t>5238</t>
  </si>
  <si>
    <t>5239</t>
  </si>
  <si>
    <t>5240</t>
  </si>
  <si>
    <t>5250</t>
  </si>
  <si>
    <t>Izdevumu klasifikācijas kods</t>
  </si>
  <si>
    <t>Rādītājs (materiāla/izejvielas nosaukums, atlīdzība un citi izmaksu veidi)</t>
  </si>
  <si>
    <t>Tiešās izmaksas</t>
  </si>
  <si>
    <t>Tiešās izmaksas kopā:</t>
  </si>
  <si>
    <t>Netiešās izmaksas</t>
  </si>
  <si>
    <t>Netiešās izmaksas kopā:</t>
  </si>
  <si>
    <t>Izmaksu apjoms noteiktā laikposmā viena maksas pakalpojuma veida nodrošināšanai</t>
  </si>
  <si>
    <t>EKK 1110</t>
  </si>
  <si>
    <t>EKK 1210</t>
  </si>
  <si>
    <t xml:space="preserve">Darba devēja valsts sociālās apdrošināšanas obligātās iemaksas, sociāla rakstura pabalsti un kompensācijas (23,59%) </t>
  </si>
  <si>
    <t xml:space="preserve"> izmaksu īpatsvara koeficients </t>
  </si>
  <si>
    <t>EEK 1110</t>
  </si>
  <si>
    <t xml:space="preserve">Atalgojums citiem darbiniekiem (atbalsta personāla atalgojums gadā 1009234,00 euro x izmaksu īpatsvara koeficients x pakalpojumu skaits ) </t>
  </si>
  <si>
    <t>EKK 2100</t>
  </si>
  <si>
    <t xml:space="preserve">Mācību, darba, dienesta komandējumi un darba braucienu izdevumi gadā 93709,00 x izmaksu īpatsvara koeficients x pakalpojumu skaits </t>
  </si>
  <si>
    <t>EKK 2210</t>
  </si>
  <si>
    <t xml:space="preserve">Izdevumi par sakaru pakalpojumiem gadā 76039,00 x izmaksu īpatsvara koeficients  x pakalpojumu skaits </t>
  </si>
  <si>
    <t>EKK 2220</t>
  </si>
  <si>
    <t xml:space="preserve">Izdevumi par komunālajiem pakalpojumi gadā 84854,00 x izmaksu īpatsvara koeficients x pakalpojumu skaits </t>
  </si>
  <si>
    <t>EKK2230</t>
  </si>
  <si>
    <t xml:space="preserve">Dažadu pakalpijumu izdevumi gadā 127766,00 x izmaksu īpatsvara koeficients x pakalpojumu skaits </t>
  </si>
  <si>
    <t>EKK 2240</t>
  </si>
  <si>
    <t xml:space="preserve">Remontdarbi un iestāžu uzturēšanas pakalpojumu izdevumi gadā 170156,00 x izmaksu īpatsvara koeficients  x pakalpojumu skaits </t>
  </si>
  <si>
    <t>EKK 2250</t>
  </si>
  <si>
    <t xml:space="preserve">Informācijas tehnoloģiju pakalpojumu izdevumi gadā 377637,00 x izmaksu īpatsvara koeficients  x pakalpojumu skaits </t>
  </si>
  <si>
    <t>EKK 2260</t>
  </si>
  <si>
    <t xml:space="preserve">Īre un nomas izdevumi gadā 51508,00 x izmaksu īpatsvara koeficients x pakalpojumu skaits </t>
  </si>
  <si>
    <t>EKK 2310</t>
  </si>
  <si>
    <t xml:space="preserve">Izdevumi par dažādām precēm un inventāru gadā 27437,00 x izmaksu īpatsvara koeficients x pakalpojumu skaits </t>
  </si>
  <si>
    <t>EKK 2320</t>
  </si>
  <si>
    <t xml:space="preserve">Kurināmā un enerģētisko materiālu izdevumi gadā 1110,00 x izmaksu īpatsvara koeficients x pakalpojumu skaits  </t>
  </si>
  <si>
    <t>EKK 2340</t>
  </si>
  <si>
    <t xml:space="preserve">Zāles, ķimikālijas, laboratorijas preces. Izmaksas gadā 13237,00 x izmaksu īpatsvara koeficients x pakalpojumu skaits </t>
  </si>
  <si>
    <t>EKK 2350</t>
  </si>
  <si>
    <t xml:space="preserve">Iestāžu uzturēšanas materiāli un preces. Izmaksas gadā  8480,00 x izmaksu īpatsvara koeficients x pakalpojumu skaits </t>
  </si>
  <si>
    <t>EKK 2510</t>
  </si>
  <si>
    <t xml:space="preserve">Budžeta iestāžu nodokļu un nodevu maksājumi gadā 16199,00 x izmaksu īpatsvara koeficients x pakalpojumu skaits  </t>
  </si>
  <si>
    <t>EKK 5100</t>
  </si>
  <si>
    <t xml:space="preserve">Nemateriālo ieguldījumu izmaksas gadā 106687,00 x izmaksu īpatsvara koeficients x pakalpojumu skaits  </t>
  </si>
  <si>
    <t>EKK 5200</t>
  </si>
  <si>
    <t xml:space="preserve">Pamatlīdzekļi, ieguldījuma īpašumi un bioloģiskie aktīvi. Izmaksas gadā  616784,00 x izmaksu īpatsvara koeficients x pakalpojumu skaits  </t>
  </si>
  <si>
    <t>Pakalpojuma izmaksas kopā:</t>
  </si>
  <si>
    <t>Maksas pakalpojuma vienību skaits noteiktā laikposmā (1 procedūras numurs)</t>
  </si>
  <si>
    <r>
      <t xml:space="preserve">Maksas pakalpojuma izcenojums (euro) </t>
    </r>
    <r>
      <rPr>
        <i/>
        <sz val="12"/>
        <rFont val="Times New Roman"/>
        <family val="1"/>
        <charset val="186"/>
      </rPr>
      <t>(pakalpojuma izmaksas kopā, dalītas ar maksas pakalpojuma vienību skaitu noteiktā laikposmā)</t>
    </r>
  </si>
  <si>
    <t>ZEL Analītiķa atalgojums (stundas likme 9,714 euro x 0,5 stunda) x  pakalpojumu skaits</t>
  </si>
  <si>
    <t>ZEL Kalitātes vadītāja atalgojums (stundas likme 9,714 euro x 0,1 stunda) x pakalpojumu skaits</t>
  </si>
  <si>
    <t>ZEL Vadītāja vietnieka atalgojums (stundas likme 15,400 euro x  0,1 stunda) x  pakalpojumu skaits</t>
  </si>
  <si>
    <t>ZEL Vadītāja vietnieka atalgojums (stundas likme 18,607 euro x  0,1 stunda) x  pakalpojumu skaits</t>
  </si>
  <si>
    <t>ZEL Analītiķa atalgojums (stundas likme 9,714 euro x 0,25 stunda) x  pakalpojumu skaits</t>
  </si>
  <si>
    <t>ZEL Vecākā eksperta  - analītiķa atalgojums (stundas likme 11,571 euro x 0,5 stunda)  x  pakalpojumu skaits</t>
  </si>
  <si>
    <t>ZEL Analītiķa atalgojums (stundas likme 9,714 euro x 1,5 stunda) x  pakalpojumu skaits</t>
  </si>
  <si>
    <t>ZEL Analītiķa atalgojums (stundas likme 9,714 euro x 0,75 stunda) x  pakalpojumu skaits</t>
  </si>
  <si>
    <t>ZEL Vecākā eksperta  - analītiķa atalgojums (stundas likme 11,571 euro x 1 stunda)  x  pakalpojumu skaits</t>
  </si>
  <si>
    <t>ZEL Vecākā eksperta  - analītiķa atalgojums (stundas likme 11,571 euro x 2 stundas)  x  pakalpojumu skaits</t>
  </si>
  <si>
    <t>ZEL Analītiķa atalgojums (stundas likme 9,714 euro x 1,25 stunda) x  pakalpojumu skaits</t>
  </si>
  <si>
    <t>ZEL Analītiķa atalgojums (stundas likme 9,714 euro x 1 stunda) x  pakalpojumu skaits</t>
  </si>
  <si>
    <t>ZEL Analītiķa atalgojums (stundas likme 9,714 euro x 3 stundas) x  pakalpojumu skaits</t>
  </si>
  <si>
    <t>ZEL Vecākā eksperta  - analītiķa atalgojums (stundas likme 11,571 euro x 2,5 stundas)  x  pakalpojumu skaits</t>
  </si>
  <si>
    <t>ZEL Analītiķa atalgojums (stundas likme 9,714 euro x 8 stundas) x  pakalpojumu skaits</t>
  </si>
  <si>
    <t>ZEL Vecākā eksperta  - analītiķa atalgojums (stundas likme 11,571 euro x 8 stundas)  x  pakalpojumu skaits</t>
  </si>
  <si>
    <t>ZEL Kalitātes vadītāja atalgojums (stundas likme 9,714 euro x 1 stunda) x pakalpojumu skaits</t>
  </si>
  <si>
    <t>ZEL Vadītāja vietnieka atalgojums (stundas likme 18,607 euro x  1 stunda) x  pakalpojumu skaits</t>
  </si>
  <si>
    <t>ZEL Analītiķa atalgojums (stundas likme 9,714 euro x 1,5 stundas) x  pakalpojumu skaits</t>
  </si>
  <si>
    <t>ZEL Vecākā eksperta  - analītiķa atalgojums (stundas likme 11,571 euro x 1,25 stunda) x  pakalpojumu skaits</t>
  </si>
  <si>
    <t>ZEL Analītiķa atalgojums (stundas likme 9,714 euro x 0,85 stundas) x  pakalpojumu skaits</t>
  </si>
  <si>
    <t>ZEL Vecākā eksperta  - analītiķa atalgojums (stundas likme 11,571 euro x 0,25 stunda)  x  pakalpojumu skaits</t>
  </si>
  <si>
    <t>ZEL Analītiķa atalgojums (stundas likme 9,714 euro x 0,85 stunda) x  pakalpojumu skaits</t>
  </si>
  <si>
    <t>Maksas pakalpojuma izcenojuma aprēķins</t>
  </si>
  <si>
    <r>
      <rPr>
        <b/>
        <sz val="12"/>
        <color indexed="8"/>
        <rFont val="Times New Roman"/>
        <family val="1"/>
        <charset val="186"/>
      </rPr>
      <t>Iestāde:</t>
    </r>
    <r>
      <rPr>
        <sz val="12"/>
        <color indexed="8"/>
        <rFont val="Times New Roman"/>
        <family val="1"/>
        <charset val="186"/>
      </rPr>
      <t xml:space="preserve"> Zāļu valsts aģentūra</t>
    </r>
  </si>
  <si>
    <t xml:space="preserve">Maksas pakalpojuma veids:
48. Zāļu kvalitātes kontrole                                                                                                                                                                                                48.1. zāļu identitātes noteikšana                                                                                                                                                                                                   48.1.1. izmantojot ķīmisku reakciju         </t>
  </si>
  <si>
    <r>
      <rPr>
        <b/>
        <sz val="12"/>
        <color indexed="8"/>
        <rFont val="Times New Roman"/>
        <family val="1"/>
        <charset val="186"/>
      </rPr>
      <t>Laikposms:</t>
    </r>
    <r>
      <rPr>
        <sz val="12"/>
        <color indexed="8"/>
        <rFont val="Times New Roman"/>
        <family val="1"/>
        <charset val="186"/>
      </rPr>
      <t xml:space="preserve"> 1 gads </t>
    </r>
  </si>
  <si>
    <t>Plānotais pakalpojuma sniegšanas vienību skaits: 50</t>
  </si>
  <si>
    <t xml:space="preserve">Maksas pakalpojuma veids:
48. Zāļu kvalitātes kontrole                                                                                                                                                                                                 48.1. zāļu identitātes noteikšana                                                                                                                                                                                                   48.1.2.izmantojot instrumentālās metodes un plānslāņa hromatogrāfiju (PSH) </t>
  </si>
  <si>
    <t>Plānotais pakalpojuma sniegšanas vienību skaits: 3</t>
  </si>
  <si>
    <t xml:space="preserve">Maksas pakalpojuma veids:
48. Zāļu kvalitātes kontrole                                                                                                                                                                                                                            48.2. dzidrības noteikšana                                                                                                                                                                           </t>
  </si>
  <si>
    <t>Plānotais pakalpojuma sniegšanas vienību skaits: 10</t>
  </si>
  <si>
    <t xml:space="preserve">Maksas pakalpojuma veids:
48. Zāļu kvalitātes kontrole                                                                                                                                                                                                 48.3. krāsas atbilstības noteikšana                                                                                                                                                                              </t>
  </si>
  <si>
    <t xml:space="preserve">Maksas pakalpojuma veids:
48. Zāļu kvalitātes kontrole                                                                                                                                                                                                 48.4. šķīdības noteikšana                                                                                                                                                                           </t>
  </si>
  <si>
    <t>Plānotais pakalpojuma sniegšanas vienību skaits: 1</t>
  </si>
  <si>
    <t xml:space="preserve">Maksas pakalpojuma veids:
48. Zāļu kvalitātes kontrole                                                                                                                                                                                                 48.5. pH noteikšana                                                                                                                                                                         </t>
  </si>
  <si>
    <t>Plānotais pakalpojuma sniegšanas vienību skaits: 20</t>
  </si>
  <si>
    <t xml:space="preserve">Maksas pakalpojuma veids:
48. Zāļu kvalitātes kontrole                                                                                                                                                                                                 48.6. blīvuma noteikšana                                                                                                                                                          </t>
  </si>
  <si>
    <t>Plānotais pakalpojuma sniegšanas vienību skaits: 6</t>
  </si>
  <si>
    <t xml:space="preserve">Maksas pakalpojuma veids:
48. Zāļu kvalitātes kontrole                                                                                                                                                                                                 48.7. refrakcijas koeficienta noteikšana                                                                                                                                        </t>
  </si>
  <si>
    <t xml:space="preserve">Maksas pakalpojuma veids:
48. Zāļu kvalitātes kontrole                                                                                                                                                                                                 48.8. kušanas temperatūras noteikšana                                                                                                                                  </t>
  </si>
  <si>
    <t xml:space="preserve">Maksas pakalpojuma veids:
48. Zāļu kvalitātes kontrole                                                                                                                                                                                                 48.9. optiskās rotācijas noteikšana                                                                                                                           </t>
  </si>
  <si>
    <t>Plānotais pakalpojuma sniegšanas vienību skaits: 8</t>
  </si>
  <si>
    <t xml:space="preserve">Maksas pakalpojuma veids:
48. Zāļu kvalitātes kontrole                                                                                                                                                                                                 48.10. mehānisko piemaisījumu noteikšana                                                                                                                                                         48.10.2. instrumentāli                                                                                                                                                          </t>
  </si>
  <si>
    <t xml:space="preserve">Maksas pakalpojuma veids:
48. Zāļu kvalitātes kontrole                                                                                                                                                                                                 48.10. mehānisko piemaisījumu noteikšana                                                                                                                                                         48.10.1. vizuāli                                                                                                                                                                    </t>
  </si>
  <si>
    <t xml:space="preserve">Maksas pakalpojuma veids:
48. Zāļu kvalitātes kontrole                                                                                                                                                                                                 48.11. piemaisījumu noteikšana                                                                                                                                                                             48.11.1 izmantojot limitējošo testu metodes                                                                                                                                                        </t>
  </si>
  <si>
    <r>
      <rPr>
        <b/>
        <sz val="12"/>
        <color indexed="8"/>
        <rFont val="Times New Roman"/>
        <family val="1"/>
        <charset val="186"/>
      </rPr>
      <t>Iestāde:</t>
    </r>
    <r>
      <rPr>
        <sz val="12"/>
        <color indexed="8"/>
        <rFont val="Times New Roman"/>
        <family val="1"/>
        <charset val="186"/>
      </rPr>
      <t xml:space="preserve"> Zāļu valsts aģentūra</t>
    </r>
  </si>
  <si>
    <r>
      <rPr>
        <b/>
        <sz val="12"/>
        <color indexed="8"/>
        <rFont val="Times New Roman"/>
        <family val="1"/>
        <charset val="186"/>
      </rPr>
      <t>Laikposms:</t>
    </r>
    <r>
      <rPr>
        <sz val="12"/>
        <color indexed="8"/>
        <rFont val="Times New Roman"/>
        <family val="1"/>
        <charset val="186"/>
      </rPr>
      <t xml:space="preserve"> 1 gads </t>
    </r>
  </si>
  <si>
    <t xml:space="preserve">Maksas pakalpojuma veids:
48. Zāļu kvalitātes kontrole                                                                                                                                                                                                 48.12. nominālā tilpuma noteikšana                                                                                                                                                                                                                                                                                        </t>
  </si>
  <si>
    <t>Plānotais pakalpojuma sniegšanas vienību skaits: 9</t>
  </si>
  <si>
    <t xml:space="preserve">Maksas pakalpojuma veids:
48. Zāļu kvalitātes kontrole                                                                                                                                                                                                 48.11. piemaisījumu noteikšana                                                                                                                                                                             48.11.2 izmantojot plānslāņa hromatogrāfiju (PSH)                                                                                                                                                       </t>
  </si>
  <si>
    <t xml:space="preserve">Maksas pakalpojuma veids:
48. Zāļu kvalitātes kontrole                                                                                                                                                                                                 48.13. vidējās masas un novirzes no vidējās masas noteikšana                                                                                                                                                                                                                                                                              </t>
  </si>
  <si>
    <t>Plānotais pakalpojuma sniegšanas vienību skaits: 35</t>
  </si>
  <si>
    <t xml:space="preserve">Maksas pakalpojuma veids:
48. Zāļu kvalitātes kontrole                                                                                                                                                                                                 48.14. sulfātu pelnu daudzuma noteikšana                                                                                                                                                                                                                                                                          </t>
  </si>
  <si>
    <r>
      <rPr>
        <b/>
        <sz val="12"/>
        <color indexed="8"/>
        <rFont val="Times New Roman"/>
        <family val="1"/>
        <charset val="186"/>
      </rPr>
      <t>Iestāde:</t>
    </r>
    <r>
      <rPr>
        <sz val="12"/>
        <color indexed="8"/>
        <rFont val="Times New Roman"/>
        <family val="1"/>
        <charset val="186"/>
      </rPr>
      <t xml:space="preserve"> Zāļu valsts aģentūra</t>
    </r>
  </si>
  <si>
    <t xml:space="preserve">Maksas pakalpojuma veids:
48. Zāļu kvalitātes kontrole                                                                                                                                                                                                 48.15. smago metālu satura noteikšana                                                                                                                                                                                                                                                                  </t>
  </si>
  <si>
    <r>
      <rPr>
        <b/>
        <sz val="12"/>
        <color indexed="8"/>
        <rFont val="Times New Roman"/>
        <family val="1"/>
        <charset val="186"/>
      </rPr>
      <t>Laikposms:</t>
    </r>
    <r>
      <rPr>
        <sz val="12"/>
        <color indexed="8"/>
        <rFont val="Times New Roman"/>
        <family val="1"/>
        <charset val="186"/>
      </rPr>
      <t xml:space="preserve"> 1 gads </t>
    </r>
  </si>
  <si>
    <t xml:space="preserve">Maksas pakalpojuma veids:
48. Zāļu kvalitātes kontrole                                                                                                                                                                                                 48.16. masas zuduma noteikšana žāvējot                                                                                                                                                                                                                                                             </t>
  </si>
  <si>
    <t>Plānotais pakalpojuma sniegšanas vienību skaits: 30</t>
  </si>
  <si>
    <t xml:space="preserve">Maksas pakalpojuma veids:
48. Zāļu kvalitātes kontrole                                                                                                                                                                                                 48.17. ūdens daudzuma noteikšana                                                                                                                                                                                                                                                           </t>
  </si>
  <si>
    <t>Plānotais pakalpojuma sniegšanas vienību skaits: 2</t>
  </si>
  <si>
    <t xml:space="preserve">Maksas pakalpojuma veids:
48. Zāļu kvalitātes kontrole                                                                                                                                                                                                 48.18. sairšanas noteikšana                                                                                                                                                                                                                                                 </t>
  </si>
  <si>
    <t xml:space="preserve">Maksas pakalpojuma veids:
48. Zāļu kvalitātes kontrole                                                                                                                                                                                                 48.19. nobirzuma noteikšana                                                                                                                                                                                                                                         </t>
  </si>
  <si>
    <t xml:space="preserve">Maksas pakalpojuma veids:
48. Zāļu kvalitātes kontrole                                                                                                                                                                                                 48.20. šķīšanas noteikšana (bez turpmākās attiecīgās kvantitatīvās analīzes)                                                                                                                                                                                                                          </t>
  </si>
  <si>
    <t xml:space="preserve">Maksas pakalpojuma veids:
48. Zāļu kvalitātes kontrole                                                                                                                                                                                                 48.21. cieto zāļu formu cietības noteikšana                                                                                                                                                                                                                    </t>
  </si>
  <si>
    <t>Plānotais pakalpojuma sniegšanas vienību skaits: 4</t>
  </si>
  <si>
    <t xml:space="preserve">Maksas pakalpojuma veids:
48. Zāļu kvalitātes kontrole                                                                                                                                                                                                 48.22. cieto zāļu formu izmēru noteikšana                                                                                                                                                                                                        </t>
  </si>
  <si>
    <t xml:space="preserve">Maksas pakalpojuma veids:
48. Zāļu kvalitātes kontrole                                                                                                                                                                                                 48.23. osmolalitātes noteikšana                                                                                                                                                                                                   </t>
  </si>
  <si>
    <t xml:space="preserve">Maksas pakalpojuma veids:
48. Zāļu kvalitātes kontrole                                                                                                                                                                                                 48.24. viskozitātes noteikšana                                                                                                                                                                                                 </t>
  </si>
  <si>
    <t xml:space="preserve">Maksas pakalpojuma veids:
48. Zāļu kvalitātes kontrole                                                                                                                                                                                                 48.25. aktīvās vielas satura viendabīguma noteikšana                                                                                                                                        48.25.1. izmantojot titrēšanu                                                                                                                                                                                   </t>
  </si>
  <si>
    <t xml:space="preserve">Maksas pakalpojuma veids:
48. Zāļu kvalitātes kontrole                                                                                                                                                                                                 48.25. aktīvās vielas satura viendabīguma noteikšana                                                                                                                                                 48.25.2. izmantojot spektrofotometriju                                                                                                                                                                             </t>
  </si>
  <si>
    <t xml:space="preserve">Maksas pakalpojuma veids:
48. Zāļu kvalitātes kontrole                                                                                                                                                                                                 48.25. aktīvās vielas satura viendabīguma noteikšana                                                                                                                       48.25.3.izmantojot polarimetriju                                                                                                                                                                       </t>
  </si>
  <si>
    <t xml:space="preserve">Maksas pakalpojuma veids:
48. Zāļu kvalitātes kontrole                                                                                                                                                                                                 48.25. aktīvās vielas satura viendabīguma noteikšana                                                                                                                                        48.25.4. izmantojot augsti efektīvo šķidruma hromatogrāfiju (AEŠH)                                                                                                                                                           </t>
  </si>
  <si>
    <t>Plānotais pakalpojuma sniegšanas vienību skaits: 5</t>
  </si>
  <si>
    <t xml:space="preserve">Maksas pakalpojuma veids:
48. Zāļu kvalitātes kontrole                                                                                                                                                                                                 48.26. kvantitatīvā satura noteikšana                                                                                                                                                                             48.26.1. izmantojot titrēšanu                                                                                                                                           </t>
  </si>
  <si>
    <t>Plānotais pakalpojuma sniegšanas vienību skaits: 21</t>
  </si>
  <si>
    <t xml:space="preserve">Maksas pakalpojuma veids:
48. Zāļu kvalitātes kontrole                                                                                                                                                                                                                                         48.26. kvantitatīvā satura noteikšana                                                                                                                                                                             48.26.2. izmantojot spektrofotometriju                                                                                                                                      </t>
  </si>
  <si>
    <t xml:space="preserve">Maksas pakalpojuma veids:
48. Zāļu kvalitātes kontrole                                                                                                                                                                                                 48.26. kvantitatīvā satura noteikšana                                                                                                                                                                            48.26.3. izmantojot polarimetriju                                                                                                                                </t>
  </si>
  <si>
    <t>Plānotais pakalpojuma sniegšanas vienību skaits: 66</t>
  </si>
  <si>
    <t xml:space="preserve">Maksas pakalpojuma veids:
48. Zāļu kvalitātes kontrole                                                                                                                                                                                                 48.26. kvantitatīvā satura noteikšana                                                                                                                                                                           48.26.4. izmantojot augsti efektīvo šķidruma hromatogrāfiju (AEŠH)                                                                                                                           </t>
  </si>
  <si>
    <t xml:space="preserve">Maksas pakalpojuma veids:
48. Zāļu kvalitātes kontrole                                                                                                                                                                                                 48.26. kvantitatīvā satura noteikšana                                                                                                                                                                             48.26.5. izmantojot gāzu hromatogrāfiju (GH)                                                                                                                  </t>
  </si>
  <si>
    <t xml:space="preserve">Maksas pakalpojuma veids:
48. Zāļu kvalitātes kontrole                                                                                                                                                                                                 48.27. elektrovadītspējas noteikšana                                                                                                                                                                                                                                    </t>
  </si>
  <si>
    <t xml:space="preserve">Maksas pakalpojuma veids:
48. Zāļu kvalitātes kontrole                                                                                                                                                                                                 48.28. atlikušo šķīdinātāju noteikšana                                                                                                                                                                                                                          </t>
  </si>
  <si>
    <t xml:space="preserve">Maksas pakalpojuma veids:
49. Zāļu kvalitātes kontroles analīzes protokola tulkojums un noformēšana angļu valodā                                                                                                                                                                                                                                                                                                                                                                                                                </t>
  </si>
  <si>
    <t>Plānotais pakalpojuma sniegšanas vienību skaits: 27</t>
  </si>
  <si>
    <t xml:space="preserve">Maksas pakalpojuma veids:
50. Ārstniecības augu drogu kvalitātes kontrole                                                                                                                                                       50.1. identitātes noteikšana izmantojot ārējās pazīmes (ārstniecības augu drogas) vai identitātes noteikšana izmantojot mikroskopiju (ārstniecības augu drogas), vai piemaisījumu noteikšana ārstniecības augu drogām                                                                                                                                                                                                                                                                                                                                                                                                  </t>
  </si>
  <si>
    <t xml:space="preserve">Maksas pakalpojuma veids:
50. Ārstniecības augu drogu kvalitātes kontrole                                                                                                                                                                50.2. kvantitatīvā satura noteikšana: ekstraktīvo vielu saturs ārstniecības augu drogās vai ēterisko vielu saturs ārstniecības augu drogās                                                                                                                                                                                                                                                                                                                                                               </t>
  </si>
  <si>
    <t xml:space="preserve">Maksas pakalpojuma veids:
51. Attīrītā ūdens kvalitātes kontrole (aptiekās)                                                                                                                                                                                                                                                                                                                                        </t>
  </si>
  <si>
    <t>Plānotais pakalpojuma sniegšanas vienību skaits: 69</t>
  </si>
  <si>
    <t xml:space="preserve">Maksas pakalpojuma veids:
52. Titrēto šķīdumu, indikatoru un reaktīvu pagatavošana aptiekām                                                                                                                                                                                                                                                                                                                                 </t>
  </si>
  <si>
    <t>Plānotais pakalpojuma sniegšanas vienību skaits: 170</t>
  </si>
  <si>
    <t>ZEL Vadītāja vietnieka atalgojums (stundas likme 15,40 euro x  0,1 stunda) x  pakalpojumu skaits</t>
  </si>
  <si>
    <t>ZEL Vadītāja vietnieka atalgojums (stundas likme 15,40 euro x  1 stunda) x  pakalpojumu skaits</t>
  </si>
  <si>
    <t>ZEL Vadītāja vietnieka atalgojums (stundas likme 15,40 euro x  0,1 stunda) x pakalpojumu skaits</t>
  </si>
  <si>
    <t>ZEL Vadītāja vietnieka atalgojums (stundas likme 18,607 euro x  0,1 stunda) x pakalpojumu skaits</t>
  </si>
  <si>
    <t>ZEL Vecākā eksperta  - analītiķa atalgojums (stundas likme 11,571 euro x 0,5 stunda) x pakalpojumu skaits</t>
  </si>
  <si>
    <t xml:space="preserve">Maksas pakalpojuma veids:
54. Medicīniskās ierīces brīvās tirdzniecības sertifikāta izsniegšana                                                                                                                                                                                                                                                                                                                         </t>
  </si>
  <si>
    <t>MINN Pārvaldes vecākā speciālista atalgojums (stundas likme 8,864 euro x 4 stundas) x  pakalpojumu skaits</t>
  </si>
  <si>
    <t>MINN eksperta atalgojums (stundas likme 11,100 euro x 4 stundas) x pakalpojumu skaits</t>
  </si>
  <si>
    <t>Darba devēja valsts sociālās apdrošināšanas obligātās iemaksas, sociāla rakstura pabalsti un kompensācijas (23,59%)</t>
  </si>
  <si>
    <t>Plānotais pakalpojuma sniegšanas vienību skaits: 140</t>
  </si>
  <si>
    <r>
      <t>Maksas pakalpojuma veids:
15.  Iesnieguma un dokumentācijas ekspertīze individuāli piešķirtu nereģistrētu zāļu izplatīšanai, ja  medikaments ir nepieciešams konkrēta pacienta vai dzīvnieka ārstēšana</t>
    </r>
    <r>
      <rPr>
        <b/>
        <vertAlign val="superscript"/>
        <sz val="12"/>
        <color indexed="8"/>
        <rFont val="Times New Roman"/>
        <family val="1"/>
        <charset val="186"/>
      </rPr>
      <t xml:space="preserve"> </t>
    </r>
    <r>
      <rPr>
        <b/>
        <sz val="12"/>
        <color indexed="8"/>
        <rFont val="Times New Roman"/>
        <family val="1"/>
      </rPr>
      <t xml:space="preserve">                                                                                                                                                                                    15.1. pirmais zāļu ieraksts dokumentā</t>
    </r>
  </si>
  <si>
    <t>Plānotais pakalpojuma sniegšanas vienību skaits: 550</t>
  </si>
  <si>
    <t>ZIID  Pārvaldes vecākā speciālista atalgojums (stundas likme 8,678 euro x 0,25 stunda) x  pakalpojumu skaits</t>
  </si>
  <si>
    <t>ZIID Vecākā eksperta atalgojums (stundas likme 11,335 euro x 0,25 stundas) x  pakalpojumu skaits</t>
  </si>
  <si>
    <t xml:space="preserve">Dažādi pakalpojumi gadā 127766,00 x izmaksu īpatsvara koeficients x pakalpojumu skaits </t>
  </si>
  <si>
    <t>Maksas pakalpojuma veids:
15.  Iesnieguma un dokumentācijas ekspertīze individuāli piešķirtu nereģistrētu zāļu izplatīšanai, ja  medikaments ir nepieciešams konkrēta pacienta vai dzīvnieka ārstēšana                                                                                                                                                                                    15.2. katrs nākamais zāļu ieraksts dokumentā</t>
  </si>
  <si>
    <t>ZIID  Pārvaldes vecākā speciālista atalgojums (stundas likme 8,678 euro x 0,166 stundas) x  pakalpojumu skaits</t>
  </si>
  <si>
    <t>ZIID Vecākā eksperta atalgojums (stundas likme 11,335 euro x 0,166 stundas) x  pakalpojumu skaits</t>
  </si>
  <si>
    <t>.</t>
  </si>
  <si>
    <t>ZRD Vadošā eksperta atalgojums (stundas likme 16,508 euro x 4 stundas) x 2 eksperti) x  pakalpojumu skaits</t>
  </si>
  <si>
    <t>PEPKN Vecākā eksperta atalgojums (stundas likme 11,807 euro x 3 stundas) x  pakalpojumu skaits</t>
  </si>
  <si>
    <t>PEPKN Vadītāja atalgojums (stundas likme 17,65 euro x 0,5 stundas) x  pakalpojumu skaits</t>
  </si>
  <si>
    <t>ZDN vadītāja vietnieces atalgojums (stundas likme 19,40 euro x 0,5 stundas) x  pakalpojumu skaits</t>
  </si>
  <si>
    <t>ZRD FIIN vadītāja atalgojums  (stundas likme 20,321 euro x 0,5 stundas) x  pakalpojumu skaits</t>
  </si>
  <si>
    <t>Maksas pakalpojuma veids:
5. Zāļu pēcreģistrācijas uzturēšanas gada maksa                                                                                                                                                       5.1. nacionālajā, savstarpējās atzīšanas, decentralizētajā reģistrācijas procedūrā reģistrētām zālēm</t>
  </si>
  <si>
    <t>Plānotais pakalpojuma sniegšanas vienību skaits: 3756</t>
  </si>
  <si>
    <t xml:space="preserve">Maksas pakalpojuma veids:
58. Produkta sertifikāta izsniegšana                                                                                                                                                                                                                                                                                                               </t>
  </si>
  <si>
    <t>Plānotais pakalpojuma sniegšanas vienību skaits: 200</t>
  </si>
  <si>
    <t>PEPKN Pārvaldes vecākā speciālista atalgojums (stundas likme 8,107 euro x 4 stundas) x  pakalpojumu skaits</t>
  </si>
  <si>
    <t>PEPKN darbinieka atalgojums (stundas likme 11,807 euro x 4 stundas) x pakalpojumu skaits</t>
  </si>
  <si>
    <t xml:space="preserve">Maksas pakalpojuma veids:
59. Produkta saīsinātā sertifikāta (farmaceitiskā produkta sertifikāta vai brīvās tirdzniecības sertifikāta) izsniegšana                                                                                                                                                                                                                                                                                                      </t>
  </si>
  <si>
    <t>PEPKN Pārvaldes vecākā speciālista atalgojums (stundas likme 8,107 euro x 2 stundas) x  pakalpojumu skaits</t>
  </si>
  <si>
    <t>PEPKN darbinieka atalgojums (stundas likme 11,807 euro x 2,25 stundas) x pakalpojumu skaits</t>
  </si>
  <si>
    <t xml:space="preserve">Maksas pakalpojuma veids:
43. Zāļu klīniskās izpētes iesnieguma un tam pievienotās dokumentācijas izskatīšana                                                                                                       43.1. Zāļu klīniskās pārbaudes iesnieguma un tam pievienotās I un II daļas dokumentācijas izskatīšana </t>
  </si>
  <si>
    <t>Plānotais pakalpojuma sniegšanas vienību skaits: 40</t>
  </si>
  <si>
    <t>KPN Pārvaldes vecākā speciālista atalgojums (stundas likme 9,05 euro x 1 stunda) x  pakalpojumu skaits</t>
  </si>
  <si>
    <t>KPN Vecākā eksperta atalgojums (stundas likme 10,628 euro x 40 stundas x 2 eksperti) x pakalpojumu skaits</t>
  </si>
  <si>
    <t>KPN Vadītāja vietnieka atalgojums (stundas likme 16,843 euro x  7 stundas) x  pakalpojumu skaits</t>
  </si>
  <si>
    <t>KPN Vadītāja atalgojums (stundas likme 19,400 euro x  7 stundas) x  pakalpojumu skaits</t>
  </si>
  <si>
    <t xml:space="preserve">Zāļu klīnisko pētījumu ētikas komitejas izdevumi par zāļu klīniskā pētījuma novērtēšanu 1400,00 x pakalpojumu skaits </t>
  </si>
  <si>
    <t>Maksas pakalpojuma veids:
43. Zāļu klīniskās izpētes iesnieguma un tam pievienotās dokumentācijas izskatīšana                                                                                              43.2. Zāļu klīniskās pārbaudes iesnieguma un tam pievienotās I daļas dokumentācijas izskatīšana</t>
  </si>
  <si>
    <t>KPN Vecākā eksperta atalgojums (stundas likme 10,628 euro x 32 stundas x 2 eksperti) x pakalpojumu skaits</t>
  </si>
  <si>
    <t>KPN Vadītāja vietnieka atalgojums (stundas likme 16,843 euro x  4,5 stundas) x  pakalpojumu skaits</t>
  </si>
  <si>
    <t>KPN Vadītāja atalgojums (stundas likme 19,400 euro x  4,5 stundas) x  pakalpojumu skaits</t>
  </si>
  <si>
    <t xml:space="preserve">Zāļu klīnisko pētījumu ētikas komitejas izdevumi par zāļu klīniskā pētījuma novērtēšanu 500,00 x pakalpojumu skaits </t>
  </si>
  <si>
    <t>Maksas pakalpojuma veids:
43. Zāļu klīniskās izpētes iesnieguma un tam pievienotās dokumentācijas izskatīšana                                                                                              43.3. Zāļu klīniskās pārbaudes iesnieguma un tam pievienotās II daļas dokumentācijas izskatīšana</t>
  </si>
  <si>
    <t>KPN Vecākā eksperta atalgojums (stundas likme 10,628 euro x 5 stundas) x pakalpojumu skaits</t>
  </si>
  <si>
    <t>KPN Vadītāja vietnieka atalgojums (stundas likme 16,843 euro x  1 stunda) x  pakalpojumu skaits</t>
  </si>
  <si>
    <t>KPN Vadītāja atalgojums (stundas likme 19,40 euro x  1 stunda) x  pakalpojumu skaits</t>
  </si>
  <si>
    <t xml:space="preserve">Zāļu klīnisko pētījumu ētikas komitejas izdevumi par zāļu klīniskā pētījuma novērtēšanu 1275,00 x pakalpojumu skaits </t>
  </si>
  <si>
    <t xml:space="preserve">Maksas pakalpojuma veids:
43. Zāļu klīniskās izpētes iesnieguma un tam pievienotās dokumentācijas izskatīšana                                                                                               43.4. Maziejaukšanās klīniskās pārbaudes iesnieguma un tam pievienotās  I un II daļas dokumentācijas izskatīšana </t>
  </si>
  <si>
    <t>KPN Vecākā eksperta atalgojums (stundas likme 10,628 euro x 24 stundas x 2 eksperti) x pakalpojumu skaits</t>
  </si>
  <si>
    <t>KPN Vadītāja vietnieka atalgojums (stundas likme 16,843 euro x  1,2 stundas) x  pakalpojumu skaits</t>
  </si>
  <si>
    <t>KPN Vadītāja atalgojums (stundas likme 19,40 euro x  1,2 stundas) x  pakalpojumu skaits</t>
  </si>
  <si>
    <t xml:space="preserve">Zāļu klīnisko pētījumu ētikas komitejas izdevumi par zāļu klīniskā pētījuma novērtēšanu 880,00 x pakalpojumu skaits </t>
  </si>
  <si>
    <t>Maksas pakalpojuma veids:
43. Zāļu klīniskās izpētes iesnieguma un tam pievienotās dokumentācijas izskatīšana                                                                                               43.5. Maziejaukšanās klīniskās pārbaudes iesnieguma un tam pievienotās I daļas dokumentācijas izskatīšana</t>
  </si>
  <si>
    <t>KPN Vecākā eksperta atalgojums (stundas likme 10,628 euro x 12 stundas x 2 eksperti) x pakalpojumu skaits</t>
  </si>
  <si>
    <t xml:space="preserve">Zāļu klīnisko pētījumu ētikas komitejas izdevumi par zāļu klīniskā pētījuma novērtēšanu 480,00 x pakalpojumu skaits </t>
  </si>
  <si>
    <t>Maksas pakalpojuma veids:
43. Zāļu klīniskās izpētes iesnieguma un tam pievienotās dokumentācijas izskatīšana                                                                                              43.6. Maziejaukšanās klīniskās pārbaudes iesnieguma un tam pievienotās  II daļas dokumentācijas izskatīšana</t>
  </si>
  <si>
    <t>KPN Vecākā eksperta atalgojums (stundas likme 10,628 euro x 3,5 stundas) x pakalpojumu skaits</t>
  </si>
  <si>
    <t>KPN Vadītāja atalgojums (stundas likme 19,40 euro x 1 stunda) x  pakalpojumu skaits</t>
  </si>
  <si>
    <t xml:space="preserve">Zāļu klīnisko pētījumu ētikas komitejas izdevumi par zāļu klīniskā pētījuma novērtēšanu 850,00 x pakalpojumu skaits </t>
  </si>
  <si>
    <t>Maksas pakalpojuma veids:
43. Zāļu klīniskās izpētes iesnieguma un tam pievienotās dokumentācijas izskatīšana                                                                                               43.7. Zāļu klīniskās pārbaudes iesnieguma un tam pievienotās I un II daļas dokumentācijas izskatīšana, ja Latvija ir ziņotāja dalībvalsts</t>
  </si>
  <si>
    <t>KPN Vadītāja atalgojums (stundas likme 19,40 euro x  7 stundas) x  pakalpojumu skaits</t>
  </si>
  <si>
    <t>Maksas pakalpojuma veids:
45. Zāļu klīniskās pārbaudes I daļas dokumentācijas būtiskie grozījumi                                                                                                                     45.1. protokola būtiska grozījuma vai pētnieka brošūras būtiska grozījuma izskatīšana</t>
  </si>
  <si>
    <t>KPN Vecākā eksperta atalgojums (stundas likme 10,628 euro x 7 stundas) x pakalpojumu skaits</t>
  </si>
  <si>
    <t>KPN Vadītāja vietnieka atalgojums (stundas likme 16,843 euro x  2 stundas) x  pakalpojumu skaits</t>
  </si>
  <si>
    <t>KPN Vadītāja atalgojums (stundas likme 19,40 euro x  2 stundas) x  pakalpojumu skaits</t>
  </si>
  <si>
    <t xml:space="preserve">Zāļu klīnisko pētījumu ētikas komitejas izdevumi par zāļu klīniskā pētījuma novērtēšanu 150,00 x pakalpojumu skaits </t>
  </si>
  <si>
    <t>Maksas pakalpojuma veids:
45. Zāļu klīniskās pārbaudes I daļas dokumentācijas būtiskie grozījumi                                                                                                                      45.2. protokola būtiska grozījuma izskatīšana vai pētnieka brošūras būtiska grozījuma izskatīšana, ja Latvija ir ziņotāja dalībvalsts</t>
  </si>
  <si>
    <t>Plānotais pakalpojuma sniegšanas vienību skaits: 13</t>
  </si>
  <si>
    <t>KPN Vecākā eksperta atalgojums (stundas likme 10,628 euro x 10 stundas) x pakalpojumu skaits</t>
  </si>
  <si>
    <t>KPN Vadītāja atalgojums (stundas likme 19,40 euro x 2 stundas) x  pakalpojumu skaits</t>
  </si>
  <si>
    <t xml:space="preserve">Zāļu klīnisko pētījumu ētikas komitejas izdevumi par zāļu klīniskā pētījuma novērtēšanu 177,00 x pakalpojumu skaits </t>
  </si>
  <si>
    <t>KPN Vecākā eksperta atalgojums (stundas likme 10,628 euro x 4 stundas) x pakalpojumu skaits</t>
  </si>
  <si>
    <t>Maksas pakalpojuma veids:
46. Zāļu klīniskās pārbaudes II daļas dokumentācijas būtiskie grozījumi                                                                                                                    46.1.  informētās piekrišanas grozījuma izskatīšana</t>
  </si>
  <si>
    <t>Plānotais pakalpojuma sniegšanas vienību skaits: 80</t>
  </si>
  <si>
    <t>KPN Vecākā eksperta atalgojums (stundas likme 10,628 euro x 1 stunda) x pakalpojumu skaits</t>
  </si>
  <si>
    <t xml:space="preserve">Zāļu klīnisko pētījumu ētikas komitejas izdevumi par zāļu klīniskā pētījuma novērtēšanu 360,00 x pakalpojumu skaits </t>
  </si>
  <si>
    <t>Maksas pakalpojuma veids:
46. Zāļu klīniskās pārbaudes II daļas dokumentācijas būtiskie grozījumi                                                                                                                      46.2.  ar klīniskās pārbaudes norises vietu saistītas dokumentācijas grozījuma izskatīšana</t>
  </si>
  <si>
    <t xml:space="preserve">Maksas pakalpojuma veids:
47. Ikgadējā pētāmo zāļu drošuma ziņojuma izskatīšana, ja Latvija ir drošuma ziņotāja dalībvalsts                     </t>
  </si>
  <si>
    <t>KPN Vecākā eksperta atalgojums (stundas likme 10,628 euro x 13 stundas) x pakalpojumu skaits</t>
  </si>
  <si>
    <t>Maksas pakalpojuma veids:
35. Labas ražošanas prakses nodrošinājuma pārbaude zāļu vai aktīvo vielu, vai palīgvielu ražošanas vai importēšanas uzņēmumā vai laboratorijā Latvijā, kas zāļu vai izejvielu kvalitātes kontroli veic, pamatojoties uz līgumu                                                                                                                                                      35.1. pirmā pārbaudes diena</t>
  </si>
  <si>
    <t>Plānotais pakalpojuma sniegšanas vienību skaits: 12</t>
  </si>
  <si>
    <t>ANN  Pārvaldes vecākā speciālista atalgojums (stundas likme 9,05 euro x 6 stundas) x  pakalpojumu skaits</t>
  </si>
  <si>
    <t>ANN Vecākā eksperta atalgojums ((stundas likme 13,564 euro x 24 stundas) x 3 eksperti) x pakalpojumu skaits</t>
  </si>
  <si>
    <t>ANN Vadītāja vietnieka atalgojums (stundas likme 16,171 euro x 6 stundas) x  pakalpojumu skaits</t>
  </si>
  <si>
    <t>ANN Vadītāja atalgojums (stundas likme 20,321 euro x 6 stundas) x  pakalpojumu skaits</t>
  </si>
  <si>
    <t xml:space="preserve">Dažadu pakalpojumu izdevumi gadā 127766,00 x izmaksu īpatsvara koeficients x pakalpojumu skaits </t>
  </si>
  <si>
    <t>Maksas pakalpojuma veids:
35. Labas ražošanas prakses nodrošinājuma pārbaude zāļu vai aktīvo vielu, vai palīgvielu ražošanas vai importēšanas uzņēmumā vai laboratorijā Latvijā, kas zāļu vai izejvielu kvalitātes kontroli veic, pamatojoties uz līgumu                                                                                                                                                    35.2. katra pārbaudes nākamā diena</t>
  </si>
  <si>
    <t>ANN  Pārvaldes vecākā speciālista atalgojums (stundas likme 9,05 euro x 8 stundas) x  pakalpojumu skaits</t>
  </si>
  <si>
    <t>ANN Vecākā eksperta atalgojums ((stundas likme 13,564 euro x 8 stundas) x 3 eksperti) x pakalpojumu skaits</t>
  </si>
  <si>
    <t xml:space="preserve">Izdevumi par sakaru pakalpojumiem gadā 76039,00 x izmaksu īpatsvara koeficients x pakalpojumu skaits </t>
  </si>
  <si>
    <t>Maksas pakalpojuma veids:
36. Labas ražošanas prakses nodrošinājuma pārbaude valstī, kas nav Eiropas Ekonomikas zonas dalībvalsts, zāļu vai aktīvo vielu, vai palīgvielu ražošanas uzņēmumā vai laboratorijā, kas kvalitātes kontroli veic, pamatojoties uz līgumu                                                                                                                  36.1. pirmā pārbaudes diena</t>
  </si>
  <si>
    <t>ANN  Pārvaldes vecākā speciālista atalgojums (stundas likme 9,05 euro x 16 stundas) x  pakalpojumu skaits</t>
  </si>
  <si>
    <t>ANN Vecākā eksperta atalgojums ((stundas likme 13,564 euro x 40 stundas) x 3 eksperti) x pakalpojumu skaits</t>
  </si>
  <si>
    <t>ANN Vadītāja vietnieka atalgojums (stundas likme 16,171 euro x 20 stundas) x  pakalpojumu skaits</t>
  </si>
  <si>
    <t>ANN Vadītāja atalgojums (stundas likme 20,321 euro x 20 stundas) x  pakalpojumu skaits</t>
  </si>
  <si>
    <t>Maksas pakalpojuma veids:
36. Labas ražošanas prakses nodrošinājuma pārbaude valstī, kas nav Eiropas Ekonomikas zonas dalībvalsts, zāļu vai aktīvo vielu, vai palīgvielu ražošanas uzņēmumā vai laboratorijā, kas kvalitātes kontroli veic, pamatojoties uz līgumu                                                                                                                 36.2. katra pārbaudes nākamā diena</t>
  </si>
  <si>
    <t>ANN  Pārvaldes vecākā speciālista atalgojums (stundas likme 9,05 euro x 8 stundasx 2 specialisti) x  pakalpojumu skaits</t>
  </si>
  <si>
    <t>ANN Vadošā eksperta atalgojums (stundas likme 16,171 euro x 8 stundas) x  pakalpojumu skaits</t>
  </si>
  <si>
    <t>ANN Vadītāja vietnieka atalgojums (stundas likme 16,171 euro x 8 stundas) x  pakalpojumu skaits</t>
  </si>
  <si>
    <t>ANN Vadītāja atalgojums (stundas likme 20,321 euro x 8 stundas) x  pakalpojumu skaits</t>
  </si>
  <si>
    <t>Maksas pakalpojuma veids:
38. Labas izplatīšanas prakses nodrošinājuma pārbaude zāļu lieltirgotavā vai pie aktīvo vielu ražotāja, importētāja un izplatītāja vai starpniecības darījumu ar zālēm veicēja                                                                                                                                                                         38.1. pirmā pārbaudes diena</t>
  </si>
  <si>
    <t>Plānotais pakalpojuma sniegšanas vienību skaits: 28</t>
  </si>
  <si>
    <t>ANN  Pārvaldes vecākā speciālista atalgojums (stundas likme 9,05 euro x 5 stundas) x  pakalpojumu skaits</t>
  </si>
  <si>
    <t>ANN Vecākā eksperta atalgojums ((stundas likme 13,564 euro x 16 stundas) x 2 eksperti) x pakalpojumu skaits</t>
  </si>
  <si>
    <t>ANN Vadītāja vietnieka atalgojums (stundas likme 16,171 euro x 4 stundas) x  pakalpojumu skaits</t>
  </si>
  <si>
    <t>ANN Vadītāja atalgojums (stundas likme 20,321 euro x 4 stundas) x  pakalpojumu skaits</t>
  </si>
  <si>
    <t>Maksas pakalpojuma veids:
38. Labas izplatīšanas prakses nodrošinājuma pārbaude zāļu lieltirgotavā vai pie aktīvo vielu ražotāja, importētāja un izplatītāja vai starpniecības darījumu ar zālēm veicēja                                                                                                                                                                          38.2. katra pārbaudes nākamā diena</t>
  </si>
  <si>
    <t>ANN  Pārvaldes vecākā speciālista atalgojums (stundas likme 9,05 euro x 6 stundasx) x  pakalpojumu skaits</t>
  </si>
  <si>
    <t>ANN Vecākā eksperta atalgojums ((stundas likme 13,564 euro x 8 stundas) x 2 eksperti)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</si>
  <si>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39.1. asins donoru centra, audu, šūnu izmantošanas vietas, organu izmantošanas vietas atbilstības novērtēšana</t>
  </si>
  <si>
    <t>ANN  Pārvaldes vecākā speciālista atalgojums (stundas likme 9,05 euro x 1 stunda) x  pakalpojumu skaits</t>
  </si>
  <si>
    <t>ANN Vecākā eksperta atalgojums (stundas likme 13,564 euro x 12 stundas) x  x pakalpojumu skaits</t>
  </si>
  <si>
    <t>ANN Vadītāja vietnieka atalgojums (stundas likme 16,171 euro x 1 stunda) x  pakalpojumu skaits</t>
  </si>
  <si>
    <t>ANN Vadītāja atalgojums (stundas likme 20,321 euro x 1 stunda)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</si>
  <si>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39.2. asins donoru centra atbilstības novērtēšanas vai darbības atbilstības uzraudzības pārbaude ārstniecības iestādē</t>
  </si>
  <si>
    <t>ANN Vadītāja vietnieka atalgojums (stundas likme 16,171 euro x 5 stundas) x  pakalpojumu skaits</t>
  </si>
  <si>
    <t>ANN Vadītāja atalgojums (stundas likme 20,321 euro x 5 stundas)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</si>
  <si>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39.3. asins sagatavošanas nodaļas atbilstības novērtēšana</t>
  </si>
  <si>
    <t>ANN Vecākā eksperta atalgojums (stundas likme 13,564 euro x 12 stundas)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</si>
  <si>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39.4. asins sagatavošanas nodaļas atbilstības  pārbaude vai darbības atbilstības uzraudzības pārbaude ārstniecības iestādē</t>
  </si>
  <si>
    <t>ANN Vecākā eksperta atalgojums ((stundas likme 13,564 euro x 7.5 stundas) x 2 eksperti)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</si>
  <si>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39.5. asins kabineta atbilstības novērtēšana</t>
  </si>
  <si>
    <t>ANN Vecākā eksperta atalgojums (stundas likme 13,564 euro x 8 stundas)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</si>
  <si>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39.6. asins kabineta atbilstības  novērtēšanas vai darbības atbilstības uzraudzības pārbaude ārstniecības iestādē</t>
  </si>
  <si>
    <t>Plānotais pakalpojuma sniegšanas vienību skaits: 14</t>
  </si>
  <si>
    <t>Maksas pakalpojuma veids:
39. Cilvēka asiņu un asins komponentu savākšanas, testēšanas, apstrādes, uzglabāšanas un izplatīšanas vietas un audu, šūnu un orgānu izmantošanas vietas atbilstības novērtēšana un darbības atbilstības uzraudzība                                                                                                         39.7. asiņu, audu, šūnu un orgānu izmantošanas vietas darbības un darbību standartprocedūru izmaiņu dokumentācijas izvērtēšana (ja nav nepieciešama jauna atbilstības novērtēšana)</t>
  </si>
  <si>
    <t>ANN Vecākā eksperta atalgojums (stundas likme 13,564 euro x 4 stundas) x pakalpojumu skaits</t>
  </si>
  <si>
    <t>ANN Vadītāja vietnieka atalgojums (stundas likme 16,171 euro x 0,5 stundas) x  pakalpojumu skaits</t>
  </si>
  <si>
    <t>ANN Vadītāja atalgojums (stundas likme 20,321 euro x 0,5 stundas)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</si>
  <si>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39.8. Cilvēka audu, šūnu un orgānu izmantošanas vietas atbilstības novērtēšana un darbības atbilstības uzraudzība</t>
  </si>
  <si>
    <t>Plānotais pakalpojuma sniegšanas vienību skaits: 7</t>
  </si>
  <si>
    <t>ANN Vecākā eksperta atalgojums ((stundas likme 13,564 euro x 10 stundas) x 2 eksperti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</si>
  <si>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39.9. katra nākamā darbības vieta (valsts asinsdonoru centram vai cilvēka audu, šūnu un orgānu izmantošanas vietai)</t>
  </si>
  <si>
    <t>ANN Vecākā eksperta atalgojums ((stundas likme 13,564 euro x 6 stundas) x 2 eksperti x pakalpojumu skaits</t>
  </si>
  <si>
    <t>Maksas pakalpojuma veids:
39. Cilvēka asiņu un asins komponentu savākšanas, testēšanas, apstrādes, uzglabāšanas un izplatīšanas vietas un audu, šūnu un orgānu izmantošanas vietas atbilstības novērtēšana un darbības atbilstības uzraudzība                                                                                                       39.10. audu, šūnu un asiņu izmantošanas vietas atbilstības novērtēšana vai darbības atbilstības uzraudzības pārbaude valstī, kas nav Eiropas Ekonomikas zonas valsts</t>
  </si>
  <si>
    <t>ANN  Pārvaldes vecākā speciālista atalgojums (stundas likme 9,05 euro x 2 stundas) x  pakalpojumu skaits</t>
  </si>
  <si>
    <t>ANN Vecākā eksperta atalgojums ((stundas likme 13,564 euro x 40 stundas) x 3 eksperti x pakalpojumu skaits</t>
  </si>
  <si>
    <t>ANN Vadītāja vietnieka atalgojums (stundas likme 16,171 euro x 12 stundas) x  pakalpojumu skaits</t>
  </si>
  <si>
    <t>ANN Vadītāja atalgojums (stundas likme 20,321 euro x 12 stundas) x  pakalpojumu skaits</t>
  </si>
  <si>
    <t>Maksas pakalpojuma veids:
40. Audu, šūnu, orgānu un miruša cilvēka ķermeņa izmantošanas vietas atbilstības novērtēšana un darbības atbilstības uzraudzība akreditētas medicīnas studiju programmas īstenošanai augstskolā                                                                                                                                                    40.1. audu, šūnu, orgānu un miruša cilvēka ķermeņa izmantošanas vietas atbilstības novērtēšana</t>
  </si>
  <si>
    <t>ANN  Pārvaldes vecākā speciālista atalgojums (stundas likme 9,050 euro x 1 stunda) x  pakalpojumu skaits</t>
  </si>
  <si>
    <t>Maksas pakalpojuma veids:
40. Audu, šūnu, orgānu un miruša cilvēka ķermeņa izmantošanas vietas atbilstības novērtēšana un darbības atbilstības uzraudzība akreditētas medicīnas studiju programmas īstenošanai augstskolā                                                                                                                                                   40.2. audu, šūnu, orgānu un miruša cilvēka ķermeņa izmantošanas vietas atbilstības  novērtēšanas vai darbības uzraudzības pārbaude augstskolā</t>
  </si>
  <si>
    <t>Maksas pakalpojuma veids:
40. Audu, šūnu, orgānu un miruša cilvēka ķermeņa izmantošanas vietas atbilstības novērtēšana un darbības atbilstības uzraudzība akreditētas medicīnas studiju programmas īstenošanai augstskolā                                                                                                                                                   40.3. audu, šūnu, orgānu un miruša cilvēka ķermeņa izmantošanas vietas darbības un darbību standartprocedūru izmaiņu dokumentācijas izvērtēšana (ja nav nepieciešama jauna atbilstības novērtēšana)</t>
  </si>
  <si>
    <t>ANN  Pārvaldes vecākā speciālista atalgojums (stundas likme 9,05 euro x 0,5 stunda) x  pakalpojumu skaits</t>
  </si>
  <si>
    <t>ANN Vecākā eksperta atalgojums (stundas likme 13,564 euro x 3 stundas) x pakalpojumu skaits</t>
  </si>
  <si>
    <t>Maksas pakalpojuma veids:
4. Savstarpējās atzīšanas vai decentralizētās procedūras norises nodrošināšana, ja Latvija ir atsauces (references) valsts (papildus šo noteikumu 1. un 3. punktam)1 apakšpunktu)                                                                                                                                          
4.6. IA tipa izmaiņas</t>
  </si>
  <si>
    <t xml:space="preserve">
Ministru kabineta noteikumu projekta 
„Zāļu valsts aģentūras cenrādis” 
sākotnējās ietekmes novērtējuma ziņojuma (anotācijas) 1. pielikums</t>
  </si>
  <si>
    <t>PEPKN Vecākā eksperta atalgojums (stundas likme 11,805 euro x 5,5 stundas x 2 eksperti) x  pakalpojumu skaits</t>
  </si>
  <si>
    <t>ZRD Vadošā eksperta atalgojums (stundas likme 16,507 euro x 5,5 stundas x 2 eksperti) x  pakalpojumu skaits</t>
  </si>
  <si>
    <t>PEPKN Vadītāja atalgojums (stundas likme 17,65 euro x 1,75 stundas) x  pakalpojumu skaits</t>
  </si>
  <si>
    <t>ZDN vadītāja vietnieces atalgojums (stundas likme 19,40 euro x 1,75 stundas) x  pakalpojumu skaits</t>
  </si>
  <si>
    <t>ZRD FIIN vadītāja atalgojums  (stundas likme 20,30 euro x 1,25 stundas) x  pakalpojumu skaits</t>
  </si>
  <si>
    <t>ZRD vadītāja atalgojums  (stundas likme 24,05 euro x 0,25 stunda) x  pakalpojumu skaits</t>
  </si>
  <si>
    <r>
      <t xml:space="preserve">Maksas pakalpojuma veids:
</t>
    </r>
    <r>
      <rPr>
        <b/>
        <sz val="12"/>
        <rFont val="Times New Roman"/>
        <family val="1"/>
        <charset val="186"/>
      </rPr>
      <t>64. Iesnieguma un dokumentācijas ekspertīze zāļu piegādei uz citu Eiropas Savienības dalībvalsti vai zāļu eksportam</t>
    </r>
    <r>
      <rPr>
        <b/>
        <sz val="12"/>
        <rFont val="Aptos Narrow"/>
        <family val="2"/>
      </rPr>
      <t>¹</t>
    </r>
    <r>
      <rPr>
        <b/>
        <sz val="12"/>
        <rFont val="Times New Roman"/>
        <family val="1"/>
        <charset val="186"/>
      </rPr>
      <t xml:space="preserve">
64.1. pirmais zāļu ieraksts dokumentā</t>
    </r>
  </si>
  <si>
    <t>Plānotais pakalpojuma sniegšanas vienību skaits: 800</t>
  </si>
  <si>
    <t>ZIID Pārvaldes vecākā speciālista atalgojums (stundas likme 8,678 euro x 0,25 stundasx) x  pakalpojumu skaits</t>
  </si>
  <si>
    <t>ZIID Vecākā eksperta atalgojums ((stundas likme 11,335 euro x 1 stundas) x pakalpojumu skaits</t>
  </si>
  <si>
    <t>ZIID Vadītāja atalgojums (stundas likme 18,607 euro x 0,25 stundas) x  pakalpojumu skaits</t>
  </si>
  <si>
    <r>
      <t xml:space="preserve">Maksas pakalpojuma veids:
</t>
    </r>
    <r>
      <rPr>
        <b/>
        <sz val="12"/>
        <rFont val="Times New Roman"/>
        <family val="1"/>
        <charset val="186"/>
      </rPr>
      <t>64. Iesnieguma un dokumentācijas ekspertīze zāļu piegādei uz citu Eiropas Savienības dalībvalsti vai zāļu eksportam¹
64.2. katrs nākamais zāļu ieraksts dokumentā</t>
    </r>
  </si>
  <si>
    <t>ZIID Vecākā eksperta atalgojums ((stundas likme 11,335 euro x 0,75 stundas) x pakalpojumu skaits</t>
  </si>
  <si>
    <t>ZRD vadītāja atalgojums  (stundas likme 24,057 euro x 1 stunda) x  pakalpojumu skaits</t>
  </si>
  <si>
    <t xml:space="preserve">Maksas pakalpojuma veids:
48. Zāļu kvalitātes kontrole                                                                                                                                                                                                 48.25. aktīvās vielas satura viendabīguma noteikšana                                                                                                                           
48.25.5. izmantojot gāzu hromatogrāfiju (GH)                                                                                                                                                     </t>
  </si>
  <si>
    <t>EKK 2512</t>
  </si>
  <si>
    <t>Budžeta iestāžu pievienotās vērtības nodokļa maksājumi (PVN) (39.82 x 21%)</t>
  </si>
  <si>
    <t>Maksas pakalpojuma veids:
45. Zāļu klīniskās pārbaudes I daļas dokumentācijas būtiskie grozījumi                                                                                                                      45.3. pētāmo zāļu dokumentācijas būtiska grozījuma izskatīšana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</si>
</sst>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00000"/>
  </numFmts>
  <fonts count="28">
    <font>
      <sz val="10"/>
      <name val="Arial"/>
      <family val="2"/>
      <charset val="186"/>
    </font>
    <font>
      <sz val="11"/>
      <color theme="1"/>
      <name val="Aptos Narrow"/>
      <family val="2"/>
      <charset val="186"/>
      <scheme val="minor"/>
    </font>
    <font>
      <sz val="10"/>
      <name val="BaltHelvetica"/>
    </font>
    <font>
      <sz val="10"/>
      <name val="Arial"/>
      <family val="2"/>
    </font>
    <font>
      <sz val="10"/>
      <name val="BaltGaramond"/>
      <family val="2"/>
      <charset val="186"/>
    </font>
    <font>
      <sz val="12"/>
      <name val="Times New Roman"/>
      <family val="1"/>
      <charset val="186"/>
    </font>
    <font>
      <sz val="10"/>
      <name val="Times New Roman"/>
      <family val="1"/>
      <charset val="186"/>
    </font>
    <font>
      <b/>
      <sz val="10"/>
      <name val="Times New Roman"/>
      <family val="1"/>
      <charset val="186"/>
    </font>
    <font>
      <b/>
      <sz val="12"/>
      <name val="Times New Roman"/>
      <family val="1"/>
      <charset val="186"/>
    </font>
    <font>
      <sz val="10"/>
      <name val="Arial"/>
      <family val="2"/>
      <charset val="186"/>
    </font>
    <font>
      <b/>
      <sz val="10"/>
      <name val="Arial"/>
      <family val="2"/>
      <charset val="186"/>
    </font>
    <font>
      <i/>
      <sz val="10"/>
      <name val="Times New Roman"/>
      <family val="1"/>
      <charset val="186"/>
    </font>
    <font>
      <i/>
      <sz val="12"/>
      <name val="Times New Roman"/>
      <family val="1"/>
      <charset val="186"/>
    </font>
    <font>
      <sz val="12"/>
      <color indexed="8"/>
      <name val="Times New Roman"/>
      <family val="1"/>
      <charset val="186"/>
    </font>
    <font>
      <b/>
      <sz val="12"/>
      <color indexed="8"/>
      <name val="Times New Roman"/>
      <family val="1"/>
      <charset val="186"/>
    </font>
    <font>
      <b/>
      <sz val="12"/>
      <color indexed="8"/>
      <name val="Times New Roman"/>
      <family val="1"/>
    </font>
    <font>
      <sz val="11"/>
      <color theme="1"/>
      <name val="Aptos Narrow"/>
      <family val="2"/>
      <charset val="186"/>
      <scheme val="minor"/>
    </font>
    <font>
      <sz val="10"/>
      <color rgb="FFFF0000"/>
      <name val="Arial"/>
      <family val="2"/>
      <charset val="186"/>
    </font>
    <font>
      <b/>
      <sz val="10"/>
      <color theme="1"/>
      <name val="Arial"/>
      <family val="2"/>
      <charset val="186"/>
    </font>
    <font>
      <sz val="10"/>
      <color theme="1"/>
      <name val="Times New Roman"/>
      <family val="1"/>
      <charset val="186"/>
    </font>
    <font>
      <i/>
      <sz val="12"/>
      <color theme="1"/>
      <name val="Times New Roman"/>
      <family val="1"/>
      <charset val="186"/>
    </font>
    <font>
      <sz val="12"/>
      <color theme="1"/>
      <name val="Times New Roman"/>
      <family val="1"/>
      <charset val="186"/>
    </font>
    <font>
      <b/>
      <sz val="12"/>
      <color rgb="FF000000"/>
      <name val="Times New Roman"/>
      <family val="1"/>
      <charset val="186"/>
    </font>
    <font>
      <b/>
      <sz val="12"/>
      <color theme="1"/>
      <name val="Times New Roman"/>
      <family val="1"/>
      <charset val="186"/>
    </font>
    <font>
      <b/>
      <sz val="12"/>
      <color theme="1"/>
      <name val="Times New Roman"/>
      <family val="1"/>
    </font>
    <font>
      <b/>
      <vertAlign val="superscript"/>
      <sz val="12"/>
      <color indexed="8"/>
      <name val="Times New Roman"/>
      <family val="1"/>
      <charset val="186"/>
    </font>
    <font>
      <sz val="12"/>
      <color rgb="FFFF0000"/>
      <name val="Times New Roman"/>
      <family val="1"/>
      <charset val="186"/>
    </font>
    <font>
      <b/>
      <sz val="12"/>
      <name val="Aptos Narrow"/>
      <family val="2"/>
    </font>
  </fonts>
  <fills count="5">
    <fill>
      <patternFill patternType="none"/>
    </fill>
    <fill>
      <patternFill patternType="gray125"/>
    </fill>
    <fill>
      <patternFill patternType="solid">
        <fgColor indexed="22"/>
        <bgColor indexed="31"/>
      </patternFill>
    </fill>
    <fill>
      <patternFill patternType="solid">
        <fgColor theme="2"/>
        <bgColor indexed="64"/>
      </patternFill>
    </fill>
    <fill>
      <patternFill patternType="solid">
        <fgColor theme="0"/>
        <bgColor indexed="64"/>
      </patternFill>
    </fill>
  </fills>
  <borders count="44">
    <border>
      <left/>
      <right/>
      <top/>
      <bottom/>
      <diagonal/>
    </border>
    <border>
      <left style="hair">
        <color indexed="8"/>
      </left>
      <right/>
      <top style="hair">
        <color indexed="8"/>
      </top>
      <bottom style="hair">
        <color indexed="8"/>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diagonal/>
    </border>
    <border>
      <left/>
      <right style="thin">
        <color indexed="64"/>
      </right>
      <top style="thin">
        <color rgb="FF000000"/>
      </top>
      <bottom/>
      <diagonal/>
    </border>
    <border>
      <left style="thin">
        <color rgb="FF000000"/>
      </left>
      <right style="thin">
        <color indexed="64"/>
      </right>
      <top style="thin">
        <color indexed="64"/>
      </top>
      <bottom style="thin">
        <color indexed="64"/>
      </bottom>
      <diagonal/>
    </border>
    <border>
      <left style="thin">
        <color indexed="64"/>
      </left>
      <right/>
      <top/>
      <bottom style="thin">
        <color rgb="FF000000"/>
      </bottom>
      <diagonal/>
    </border>
    <border>
      <left style="medium">
        <color indexed="64"/>
      </left>
      <right style="medium">
        <color indexed="64"/>
      </right>
      <top/>
      <bottom style="medium">
        <color rgb="FF000000"/>
      </bottom>
      <diagonal/>
    </border>
    <border>
      <left/>
      <right style="thin">
        <color indexed="64"/>
      </right>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style="thin">
        <color indexed="64"/>
      </bottom>
      <diagonal/>
    </border>
    <border>
      <left style="thin">
        <color indexed="64"/>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indexed="64"/>
      </top>
      <bottom style="thin">
        <color indexed="64"/>
      </bottom>
      <diagonal/>
    </border>
    <border>
      <left/>
      <right style="thin">
        <color rgb="FF000000"/>
      </right>
      <top/>
      <bottom style="thin">
        <color rgb="FF000000"/>
      </bottom>
      <diagonal/>
    </border>
    <border>
      <left style="thin">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medium">
        <color indexed="64"/>
      </right>
      <top/>
      <bottom style="thin">
        <color rgb="FF000000"/>
      </bottom>
      <diagonal/>
    </border>
    <border>
      <left style="medium">
        <color indexed="64"/>
      </left>
      <right style="medium">
        <color indexed="64"/>
      </right>
      <top/>
      <bottom/>
      <diagonal/>
    </border>
    <border>
      <left style="thin">
        <color indexed="64"/>
      </left>
      <right/>
      <top/>
      <bottom/>
      <diagonal/>
    </border>
    <border>
      <left style="thin">
        <color rgb="FF000000"/>
      </left>
      <right style="thin">
        <color indexed="64"/>
      </right>
      <top style="thin">
        <color rgb="FF000000"/>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s>
  <cellStyleXfs count="37">
    <xf numFmtId="0" fontId="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9" fillId="0" borderId="0"/>
    <xf numFmtId="0" fontId="9" fillId="0" borderId="0"/>
    <xf numFmtId="0" fontId="9" fillId="0" borderId="0"/>
    <xf numFmtId="0" fontId="9" fillId="0" borderId="0"/>
    <xf numFmtId="0" fontId="3" fillId="0" borderId="0"/>
    <xf numFmtId="0" fontId="3" fillId="0" borderId="0"/>
    <xf numFmtId="0" fontId="9" fillId="0" borderId="0"/>
    <xf numFmtId="0" fontId="9" fillId="0" borderId="0"/>
    <xf numFmtId="0" fontId="16" fillId="0" borderId="0"/>
    <xf numFmtId="0" fontId="9" fillId="0" borderId="0"/>
    <xf numFmtId="0" fontId="9" fillId="0" borderId="0"/>
    <xf numFmtId="0" fontId="9" fillId="0" borderId="0"/>
    <xf numFmtId="0" fontId="9" fillId="0" borderId="0"/>
    <xf numFmtId="0" fontId="2" fillId="0" borderId="0"/>
    <xf numFmtId="0" fontId="3" fillId="0" borderId="0"/>
    <xf numFmtId="164" fontId="4" fillId="2" borderId="0" applyBorder="0" applyProtection="0"/>
    <xf numFmtId="0" fontId="1" fillId="0" borderId="0"/>
    <xf numFmtId="0" fontId="1" fillId="0" borderId="0"/>
  </cellStyleXfs>
  <cellXfs count="145">
    <xf numFmtId="0" fontId="0" fillId="0" borderId="0" xfId="0"/>
    <xf numFmtId="0" fontId="5" fillId="0" borderId="0" xfId="0" applyFont="1"/>
    <xf numFmtId="0" fontId="17" fillId="0" borderId="0" xfId="0" applyFont="1"/>
    <xf numFmtId="0" fontId="18" fillId="3" borderId="0" xfId="0" applyFont="1" applyFill="1"/>
    <xf numFmtId="49" fontId="7" fillId="3" borderId="1" xfId="0" applyNumberFormat="1" applyFont="1" applyFill="1" applyBorder="1" applyAlignment="1">
      <alignment horizontal="left" vertical="center" wrapText="1"/>
    </xf>
    <xf numFmtId="0" fontId="19" fillId="0" borderId="0" xfId="0" applyFont="1" applyAlignment="1">
      <alignment horizontal="center" vertical="center" wrapText="1"/>
    </xf>
    <xf numFmtId="0" fontId="20" fillId="0" borderId="0" xfId="0" applyFont="1" applyAlignment="1">
      <alignment horizontal="left" vertical="center"/>
    </xf>
    <xf numFmtId="0" fontId="0" fillId="0" borderId="0" xfId="0" applyAlignment="1">
      <alignment horizontal="left"/>
    </xf>
    <xf numFmtId="0" fontId="10" fillId="0" borderId="0" xfId="0" applyFont="1" applyAlignment="1">
      <alignment horizontal="left"/>
    </xf>
    <xf numFmtId="0" fontId="16" fillId="0" borderId="0" xfId="0" applyFont="1" applyAlignment="1">
      <alignment horizontal="left"/>
    </xf>
    <xf numFmtId="0" fontId="16" fillId="3" borderId="0" xfId="0" applyFont="1" applyFill="1"/>
    <xf numFmtId="0" fontId="6" fillId="0" borderId="0" xfId="0" applyFont="1" applyAlignment="1">
      <alignment horizontal="left" vertical="center" wrapText="1"/>
    </xf>
    <xf numFmtId="49" fontId="7" fillId="3" borderId="0" xfId="0" applyNumberFormat="1" applyFont="1" applyFill="1" applyAlignment="1">
      <alignment horizontal="left" vertical="center" wrapText="1"/>
    </xf>
    <xf numFmtId="49" fontId="6" fillId="0" borderId="1" xfId="0" applyNumberFormat="1" applyFont="1" applyBorder="1" applyAlignment="1">
      <alignment horizontal="left" vertical="center" wrapText="1"/>
    </xf>
    <xf numFmtId="0" fontId="21" fillId="0" borderId="15" xfId="0" applyFont="1" applyBorder="1" applyAlignment="1">
      <alignment horizontal="center" vertical="center" wrapText="1"/>
    </xf>
    <xf numFmtId="0" fontId="21" fillId="0" borderId="16" xfId="0" applyFont="1" applyBorder="1" applyAlignment="1">
      <alignment horizontal="center" vertical="center"/>
    </xf>
    <xf numFmtId="0" fontId="21" fillId="0" borderId="17" xfId="0" applyFont="1" applyBorder="1" applyAlignment="1">
      <alignment horizontal="center" vertical="center" wrapText="1"/>
    </xf>
    <xf numFmtId="0" fontId="21" fillId="0" borderId="3" xfId="0" applyFont="1" applyBorder="1" applyAlignment="1">
      <alignment horizontal="left" vertical="center" wrapText="1"/>
    </xf>
    <xf numFmtId="2" fontId="21" fillId="0" borderId="18" xfId="0" applyNumberFormat="1" applyFont="1" applyBorder="1" applyAlignment="1">
      <alignment horizontal="center" vertical="center" wrapText="1"/>
    </xf>
    <xf numFmtId="0" fontId="21" fillId="0" borderId="4" xfId="0" applyFont="1" applyBorder="1" applyAlignment="1">
      <alignment horizontal="left" vertical="center" wrapText="1"/>
    </xf>
    <xf numFmtId="0" fontId="21" fillId="0" borderId="5" xfId="0" applyFont="1" applyBorder="1" applyAlignment="1">
      <alignment horizontal="left" vertical="center" wrapText="1"/>
    </xf>
    <xf numFmtId="0" fontId="21" fillId="0" borderId="19" xfId="0" applyFont="1" applyBorder="1" applyAlignment="1">
      <alignment horizontal="center" vertical="center" wrapText="1"/>
    </xf>
    <xf numFmtId="0" fontId="21" fillId="0" borderId="6" xfId="0" applyFont="1" applyBorder="1" applyAlignment="1">
      <alignment horizontal="justify" vertical="top"/>
    </xf>
    <xf numFmtId="4" fontId="21" fillId="0" borderId="20" xfId="0" applyNumberFormat="1" applyFont="1" applyBorder="1" applyAlignment="1">
      <alignment horizontal="center" vertical="center" wrapText="1"/>
    </xf>
    <xf numFmtId="4" fontId="8" fillId="0" borderId="21" xfId="0" applyNumberFormat="1" applyFont="1" applyBorder="1" applyAlignment="1">
      <alignment horizontal="center" vertical="center" wrapText="1"/>
    </xf>
    <xf numFmtId="0" fontId="8" fillId="0" borderId="7" xfId="0" applyFont="1" applyBorder="1" applyAlignment="1">
      <alignment horizontal="center" vertical="top"/>
    </xf>
    <xf numFmtId="0" fontId="11" fillId="0" borderId="3" xfId="0" applyFont="1" applyBorder="1" applyAlignment="1">
      <alignment horizontal="center" vertical="top"/>
    </xf>
    <xf numFmtId="165" fontId="11" fillId="0" borderId="8" xfId="0" applyNumberFormat="1" applyFont="1" applyBorder="1" applyAlignment="1">
      <alignment horizontal="center" vertical="top"/>
    </xf>
    <xf numFmtId="0" fontId="5" fillId="0" borderId="22" xfId="0" applyFont="1" applyBorder="1" applyAlignment="1">
      <alignment horizontal="center" vertical="center" wrapText="1"/>
    </xf>
    <xf numFmtId="0" fontId="5" fillId="0" borderId="23" xfId="0" applyFont="1" applyBorder="1" applyAlignment="1">
      <alignment horizontal="left" vertical="top"/>
    </xf>
    <xf numFmtId="4" fontId="5" fillId="0" borderId="24" xfId="0" applyNumberFormat="1" applyFont="1" applyBorder="1" applyAlignment="1">
      <alignment horizontal="center" vertical="center" wrapText="1"/>
    </xf>
    <xf numFmtId="0" fontId="5" fillId="0" borderId="25" xfId="0" applyFont="1" applyBorder="1" applyAlignment="1">
      <alignment horizontal="center" vertical="center" wrapText="1"/>
    </xf>
    <xf numFmtId="0" fontId="5" fillId="0" borderId="23" xfId="0" applyFont="1" applyBorder="1" applyAlignment="1">
      <alignment horizontal="justify" vertical="top"/>
    </xf>
    <xf numFmtId="4" fontId="5" fillId="0" borderId="18" xfId="0" applyNumberFormat="1" applyFont="1" applyBorder="1" applyAlignment="1">
      <alignment horizontal="center" vertical="center" wrapText="1"/>
    </xf>
    <xf numFmtId="0" fontId="5" fillId="0" borderId="6" xfId="0" applyFont="1" applyBorder="1" applyAlignment="1">
      <alignment horizontal="justify" vertical="top"/>
    </xf>
    <xf numFmtId="4" fontId="8" fillId="0" borderId="26" xfId="0" applyNumberFormat="1" applyFont="1" applyBorder="1" applyAlignment="1">
      <alignment horizontal="center" vertical="center" wrapText="1"/>
    </xf>
    <xf numFmtId="4" fontId="8" fillId="0" borderId="27" xfId="0" applyNumberFormat="1" applyFont="1" applyBorder="1" applyAlignment="1">
      <alignment horizontal="center" vertical="center" wrapText="1"/>
    </xf>
    <xf numFmtId="2" fontId="5" fillId="0" borderId="0" xfId="0" applyNumberFormat="1" applyFont="1"/>
    <xf numFmtId="0" fontId="5" fillId="0" borderId="2" xfId="0" applyFont="1" applyBorder="1" applyAlignment="1">
      <alignment horizontal="center" vertical="center"/>
    </xf>
    <xf numFmtId="2" fontId="8" fillId="0" borderId="2" xfId="0" applyNumberFormat="1" applyFont="1" applyBorder="1" applyAlignment="1">
      <alignment horizontal="center" vertical="center"/>
    </xf>
    <xf numFmtId="0" fontId="21" fillId="0" borderId="0" xfId="0" applyFont="1"/>
    <xf numFmtId="0" fontId="21" fillId="0" borderId="9" xfId="0" applyFont="1" applyBorder="1" applyAlignment="1">
      <alignment horizontal="center" vertical="center" wrapText="1"/>
    </xf>
    <xf numFmtId="0" fontId="21" fillId="0" borderId="0" xfId="0" applyFont="1" applyAlignment="1">
      <alignment horizontal="right" vertical="top" wrapText="1"/>
    </xf>
    <xf numFmtId="0" fontId="22" fillId="0" borderId="0" xfId="0" applyFont="1" applyAlignment="1">
      <alignment horizontal="left"/>
    </xf>
    <xf numFmtId="4" fontId="10" fillId="0" borderId="0" xfId="0" applyNumberFormat="1" applyFont="1"/>
    <xf numFmtId="4" fontId="0" fillId="0" borderId="0" xfId="0" applyNumberFormat="1"/>
    <xf numFmtId="0" fontId="21" fillId="0" borderId="3" xfId="27" applyFont="1" applyBorder="1" applyAlignment="1">
      <alignment horizontal="left" vertical="center" wrapText="1"/>
    </xf>
    <xf numFmtId="0" fontId="5" fillId="0" borderId="5" xfId="27" applyFont="1" applyBorder="1" applyAlignment="1">
      <alignment horizontal="left" vertical="center" wrapText="1"/>
    </xf>
    <xf numFmtId="0" fontId="21" fillId="0" borderId="6" xfId="27" applyFont="1" applyBorder="1" applyAlignment="1">
      <alignment horizontal="justify" vertical="top"/>
    </xf>
    <xf numFmtId="4" fontId="21" fillId="0" borderId="18" xfId="0" applyNumberFormat="1" applyFont="1" applyBorder="1" applyAlignment="1">
      <alignment horizontal="center" vertical="center" wrapText="1"/>
    </xf>
    <xf numFmtId="0" fontId="21" fillId="0" borderId="4" xfId="27" applyFont="1" applyBorder="1" applyAlignment="1">
      <alignment horizontal="left" vertical="center" wrapText="1"/>
    </xf>
    <xf numFmtId="0" fontId="5" fillId="0" borderId="4" xfId="27" applyFont="1" applyBorder="1" applyAlignment="1">
      <alignment horizontal="left" vertical="center" wrapText="1"/>
    </xf>
    <xf numFmtId="0" fontId="21" fillId="0" borderId="5" xfId="27" applyFont="1" applyBorder="1" applyAlignment="1">
      <alignment horizontal="left" vertical="center" wrapText="1"/>
    </xf>
    <xf numFmtId="0" fontId="5" fillId="0" borderId="23" xfId="0" applyFont="1" applyBorder="1" applyAlignment="1">
      <alignment horizontal="left" vertical="top" wrapText="1"/>
    </xf>
    <xf numFmtId="0" fontId="26" fillId="0" borderId="0" xfId="0" applyFont="1"/>
    <xf numFmtId="0" fontId="21" fillId="0" borderId="3" xfId="0" applyFont="1" applyBorder="1" applyAlignment="1">
      <alignment horizontal="left" vertical="center"/>
    </xf>
    <xf numFmtId="0" fontId="21" fillId="0" borderId="4" xfId="0" applyFont="1" applyBorder="1" applyAlignment="1">
      <alignment horizontal="left" vertical="center"/>
    </xf>
    <xf numFmtId="0" fontId="21" fillId="0" borderId="5" xfId="0" applyFont="1" applyBorder="1" applyAlignment="1">
      <alignment horizontal="left" vertical="center"/>
    </xf>
    <xf numFmtId="0" fontId="21" fillId="0" borderId="35" xfId="0" applyFont="1" applyBorder="1" applyAlignment="1">
      <alignment horizontal="justify" vertical="center"/>
    </xf>
    <xf numFmtId="0" fontId="21" fillId="0" borderId="36" xfId="0" applyFont="1" applyBorder="1" applyAlignment="1">
      <alignment horizontal="center" vertical="center" wrapText="1"/>
    </xf>
    <xf numFmtId="3" fontId="5" fillId="0" borderId="24" xfId="0" applyNumberFormat="1" applyFont="1" applyBorder="1" applyAlignment="1">
      <alignment horizontal="center" vertical="center" wrapText="1"/>
    </xf>
    <xf numFmtId="0" fontId="21" fillId="0" borderId="0" xfId="35" applyFont="1"/>
    <xf numFmtId="0" fontId="1" fillId="0" borderId="0" xfId="35"/>
    <xf numFmtId="0" fontId="21" fillId="0" borderId="15" xfId="35" applyFont="1" applyBorder="1" applyAlignment="1">
      <alignment horizontal="center" vertical="center" wrapText="1"/>
    </xf>
    <xf numFmtId="0" fontId="21" fillId="0" borderId="16" xfId="35" applyFont="1" applyBorder="1" applyAlignment="1">
      <alignment horizontal="center" vertical="center"/>
    </xf>
    <xf numFmtId="0" fontId="21" fillId="0" borderId="17" xfId="35" applyFont="1" applyBorder="1" applyAlignment="1">
      <alignment horizontal="center" vertical="center" wrapText="1"/>
    </xf>
    <xf numFmtId="0" fontId="21" fillId="0" borderId="38" xfId="36" applyFont="1" applyBorder="1" applyAlignment="1">
      <alignment horizontal="left" vertical="center" wrapText="1"/>
    </xf>
    <xf numFmtId="4" fontId="5" fillId="0" borderId="2" xfId="35" applyNumberFormat="1" applyFont="1" applyBorder="1" applyAlignment="1">
      <alignment horizontal="center"/>
    </xf>
    <xf numFmtId="0" fontId="21" fillId="0" borderId="39" xfId="36" applyFont="1" applyBorder="1" applyAlignment="1">
      <alignment horizontal="left" vertical="center" wrapText="1"/>
    </xf>
    <xf numFmtId="0" fontId="5" fillId="0" borderId="39" xfId="36" applyFont="1" applyBorder="1" applyAlignment="1">
      <alignment horizontal="left" vertical="center" wrapText="1"/>
    </xf>
    <xf numFmtId="0" fontId="21" fillId="0" borderId="40" xfId="36" applyFont="1" applyBorder="1" applyAlignment="1">
      <alignment horizontal="left" vertical="center" wrapText="1"/>
    </xf>
    <xf numFmtId="0" fontId="21" fillId="0" borderId="19" xfId="35" applyFont="1" applyBorder="1" applyAlignment="1">
      <alignment horizontal="center" vertical="center" wrapText="1"/>
    </xf>
    <xf numFmtId="0" fontId="21" fillId="0" borderId="6" xfId="35" applyFont="1" applyBorder="1" applyAlignment="1">
      <alignment horizontal="justify" vertical="top"/>
    </xf>
    <xf numFmtId="4" fontId="21" fillId="0" borderId="10" xfId="35" applyNumberFormat="1" applyFont="1" applyBorder="1" applyAlignment="1">
      <alignment horizontal="center" vertical="center" wrapText="1"/>
    </xf>
    <xf numFmtId="4" fontId="8" fillId="0" borderId="21" xfId="35" applyNumberFormat="1" applyFont="1" applyBorder="1" applyAlignment="1">
      <alignment horizontal="center" vertical="center" wrapText="1"/>
    </xf>
    <xf numFmtId="0" fontId="8" fillId="0" borderId="7" xfId="35" applyFont="1" applyBorder="1" applyAlignment="1">
      <alignment horizontal="center" vertical="top"/>
    </xf>
    <xf numFmtId="0" fontId="11" fillId="0" borderId="3" xfId="35" applyFont="1" applyBorder="1" applyAlignment="1">
      <alignment horizontal="center" vertical="top"/>
    </xf>
    <xf numFmtId="165" fontId="11" fillId="0" borderId="8" xfId="35" applyNumberFormat="1" applyFont="1" applyBorder="1" applyAlignment="1">
      <alignment horizontal="center" vertical="top"/>
    </xf>
    <xf numFmtId="0" fontId="5" fillId="0" borderId="22" xfId="35" applyFont="1" applyBorder="1" applyAlignment="1">
      <alignment horizontal="center" vertical="center" wrapText="1"/>
    </xf>
    <xf numFmtId="0" fontId="5" fillId="0" borderId="23" xfId="35" applyFont="1" applyBorder="1" applyAlignment="1">
      <alignment horizontal="left" vertical="top" wrapText="1"/>
    </xf>
    <xf numFmtId="4" fontId="5" fillId="0" borderId="24" xfId="35" applyNumberFormat="1" applyFont="1" applyBorder="1" applyAlignment="1">
      <alignment horizontal="center" vertical="center" wrapText="1"/>
    </xf>
    <xf numFmtId="4" fontId="1" fillId="0" borderId="0" xfId="35" applyNumberFormat="1"/>
    <xf numFmtId="0" fontId="5" fillId="0" borderId="25" xfId="35" applyFont="1" applyBorder="1" applyAlignment="1">
      <alignment horizontal="center" vertical="center" wrapText="1"/>
    </xf>
    <xf numFmtId="0" fontId="5" fillId="0" borderId="23" xfId="35" applyFont="1" applyBorder="1" applyAlignment="1">
      <alignment horizontal="justify" vertical="top"/>
    </xf>
    <xf numFmtId="4" fontId="8" fillId="0" borderId="26" xfId="35" applyNumberFormat="1" applyFont="1" applyBorder="1" applyAlignment="1">
      <alignment horizontal="center" vertical="center" wrapText="1"/>
    </xf>
    <xf numFmtId="4" fontId="8" fillId="0" borderId="27" xfId="35" applyNumberFormat="1" applyFont="1" applyBorder="1" applyAlignment="1">
      <alignment horizontal="center" vertical="center" wrapText="1"/>
    </xf>
    <xf numFmtId="0" fontId="5" fillId="0" borderId="0" xfId="35" applyFont="1"/>
    <xf numFmtId="2" fontId="5" fillId="0" borderId="0" xfId="35" applyNumberFormat="1" applyFont="1"/>
    <xf numFmtId="0" fontId="5" fillId="0" borderId="2" xfId="35" applyFont="1" applyBorder="1" applyAlignment="1">
      <alignment horizontal="center" vertical="center"/>
    </xf>
    <xf numFmtId="2" fontId="8" fillId="0" borderId="2" xfId="35" applyNumberFormat="1" applyFont="1" applyBorder="1" applyAlignment="1">
      <alignment horizontal="center" vertical="center"/>
    </xf>
    <xf numFmtId="4" fontId="8" fillId="0" borderId="0" xfId="35" applyNumberFormat="1" applyFont="1" applyAlignment="1">
      <alignment horizontal="center" vertical="center" wrapText="1"/>
    </xf>
    <xf numFmtId="0" fontId="21" fillId="0" borderId="11" xfId="0" applyFont="1" applyBorder="1" applyAlignment="1">
      <alignment horizontal="center" vertical="center" wrapText="1"/>
    </xf>
    <xf numFmtId="0" fontId="5" fillId="4" borderId="23" xfId="0" applyFont="1" applyFill="1" applyBorder="1" applyAlignment="1">
      <alignment horizontal="justify" vertical="top"/>
    </xf>
    <xf numFmtId="4" fontId="8" fillId="0" borderId="37" xfId="0" applyNumberFormat="1" applyFont="1" applyBorder="1" applyAlignment="1">
      <alignment horizontal="center" vertical="center" wrapText="1"/>
    </xf>
    <xf numFmtId="0" fontId="5" fillId="0" borderId="43" xfId="0" applyFont="1" applyBorder="1" applyAlignment="1">
      <alignment horizontal="center" vertical="center"/>
    </xf>
    <xf numFmtId="0" fontId="8" fillId="0" borderId="25" xfId="0" applyFont="1" applyBorder="1" applyAlignment="1">
      <alignment horizontal="center"/>
    </xf>
    <xf numFmtId="0" fontId="8" fillId="0" borderId="41" xfId="0" applyFont="1" applyBorder="1" applyAlignment="1">
      <alignment horizontal="justify"/>
    </xf>
    <xf numFmtId="4" fontId="8" fillId="0" borderId="41" xfId="0" applyNumberFormat="1" applyFont="1" applyBorder="1" applyAlignment="1">
      <alignment horizontal="center" vertical="center"/>
    </xf>
    <xf numFmtId="0" fontId="22" fillId="0" borderId="0" xfId="0" applyFont="1" applyAlignment="1">
      <alignment horizontal="left"/>
    </xf>
    <xf numFmtId="0" fontId="21" fillId="0" borderId="0" xfId="0" applyFont="1" applyAlignment="1">
      <alignment horizontal="right" vertical="top" wrapText="1"/>
    </xf>
    <xf numFmtId="0" fontId="23" fillId="0" borderId="0" xfId="0" applyFont="1" applyAlignment="1">
      <alignment horizontal="center"/>
    </xf>
    <xf numFmtId="0" fontId="21" fillId="0" borderId="0" xfId="0" applyFont="1" applyAlignment="1">
      <alignment horizontal="left" vertical="center" wrapText="1"/>
    </xf>
    <xf numFmtId="0" fontId="24" fillId="0" borderId="0" xfId="0" applyFont="1" applyAlignment="1">
      <alignment horizontal="left" vertical="center" wrapText="1"/>
    </xf>
    <xf numFmtId="0" fontId="5" fillId="0" borderId="0" xfId="0" applyFont="1" applyAlignment="1">
      <alignment horizontal="left" vertical="center" wrapText="1"/>
    </xf>
    <xf numFmtId="0" fontId="5" fillId="0" borderId="10" xfId="0" applyFont="1" applyBorder="1" applyAlignment="1">
      <alignment horizontal="left" vertical="center" wrapText="1"/>
    </xf>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26"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34" xfId="0" applyFont="1" applyBorder="1" applyAlignment="1">
      <alignment horizontal="center" vertical="center" wrapText="1"/>
    </xf>
    <xf numFmtId="0" fontId="8" fillId="0" borderId="7" xfId="0" applyFont="1" applyBorder="1" applyAlignment="1">
      <alignment horizontal="center" vertical="center"/>
    </xf>
    <xf numFmtId="0" fontId="8" fillId="0" borderId="30"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22" xfId="0" applyFont="1" applyBorder="1" applyAlignment="1">
      <alignment horizontal="center" vertical="top"/>
    </xf>
    <xf numFmtId="0" fontId="8" fillId="0" borderId="31" xfId="0" applyFont="1" applyBorder="1" applyAlignment="1">
      <alignment horizontal="center" vertical="top"/>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5" fillId="0" borderId="0" xfId="35" applyFont="1" applyAlignment="1">
      <alignment horizontal="left" vertical="center" wrapText="1"/>
    </xf>
    <xf numFmtId="0" fontId="5" fillId="0" borderId="10" xfId="35" applyFont="1" applyBorder="1" applyAlignment="1">
      <alignment horizontal="left" vertical="center" wrapText="1"/>
    </xf>
    <xf numFmtId="0" fontId="23" fillId="0" borderId="28" xfId="35" applyFont="1" applyBorder="1" applyAlignment="1">
      <alignment horizontal="center" vertical="center" wrapText="1"/>
    </xf>
    <xf numFmtId="0" fontId="23" fillId="0" borderId="29" xfId="35" applyFont="1" applyBorder="1" applyAlignment="1">
      <alignment horizontal="center" vertical="center" wrapText="1"/>
    </xf>
    <xf numFmtId="0" fontId="23" fillId="0" borderId="37" xfId="35" applyFont="1" applyBorder="1" applyAlignment="1">
      <alignment horizontal="center" vertical="center" wrapText="1"/>
    </xf>
    <xf numFmtId="0" fontId="21" fillId="0" borderId="9" xfId="35" applyFont="1" applyBorder="1" applyAlignment="1">
      <alignment horizontal="center" vertical="center" wrapText="1"/>
    </xf>
    <xf numFmtId="0" fontId="21" fillId="0" borderId="11" xfId="35" applyFont="1" applyBorder="1" applyAlignment="1">
      <alignment horizontal="center" vertical="center" wrapText="1"/>
    </xf>
    <xf numFmtId="0" fontId="21" fillId="0" borderId="34" xfId="35" applyFont="1" applyBorder="1" applyAlignment="1">
      <alignment horizontal="center" vertical="center" wrapText="1"/>
    </xf>
    <xf numFmtId="0" fontId="8" fillId="0" borderId="7" xfId="35" applyFont="1" applyBorder="1" applyAlignment="1">
      <alignment horizontal="center" vertical="center"/>
    </xf>
    <xf numFmtId="0" fontId="8" fillId="0" borderId="30" xfId="35" applyFont="1" applyBorder="1" applyAlignment="1">
      <alignment horizontal="center" vertical="center"/>
    </xf>
    <xf numFmtId="0" fontId="8" fillId="0" borderId="12" xfId="35" applyFont="1" applyBorder="1" applyAlignment="1">
      <alignment horizontal="center" vertical="center"/>
    </xf>
    <xf numFmtId="0" fontId="8" fillId="0" borderId="13" xfId="35" applyFont="1" applyBorder="1" applyAlignment="1">
      <alignment horizontal="center" vertical="center"/>
    </xf>
    <xf numFmtId="0" fontId="8" fillId="0" borderId="14" xfId="35" applyFont="1" applyBorder="1" applyAlignment="1">
      <alignment horizontal="center" vertical="center"/>
    </xf>
    <xf numFmtId="0" fontId="8" fillId="0" borderId="22" xfId="35" applyFont="1" applyBorder="1" applyAlignment="1">
      <alignment horizontal="center" vertical="top"/>
    </xf>
    <xf numFmtId="0" fontId="8" fillId="0" borderId="31" xfId="35" applyFont="1" applyBorder="1" applyAlignment="1">
      <alignment horizontal="center" vertical="top"/>
    </xf>
    <xf numFmtId="0" fontId="8" fillId="0" borderId="32" xfId="35" applyFont="1" applyBorder="1" applyAlignment="1">
      <alignment horizontal="center" vertical="center" wrapText="1"/>
    </xf>
    <xf numFmtId="0" fontId="8" fillId="0" borderId="33" xfId="35" applyFont="1" applyBorder="1" applyAlignment="1">
      <alignment horizontal="center" vertical="center" wrapText="1"/>
    </xf>
    <xf numFmtId="0" fontId="22" fillId="0" borderId="0" xfId="35" applyFont="1" applyAlignment="1">
      <alignment horizontal="left"/>
    </xf>
    <xf numFmtId="0" fontId="21" fillId="0" borderId="0" xfId="35" applyFont="1" applyAlignment="1">
      <alignment horizontal="right" vertical="top" wrapText="1"/>
    </xf>
    <xf numFmtId="0" fontId="23" fillId="0" borderId="0" xfId="35" applyFont="1" applyAlignment="1">
      <alignment horizontal="center"/>
    </xf>
    <xf numFmtId="0" fontId="21" fillId="0" borderId="0" xfId="35" applyFont="1" applyAlignment="1">
      <alignment horizontal="left" vertical="center" wrapText="1"/>
    </xf>
    <xf numFmtId="0" fontId="24" fillId="0" borderId="0" xfId="35" applyFont="1" applyAlignment="1">
      <alignment horizontal="left" vertical="center" wrapText="1"/>
    </xf>
    <xf numFmtId="0" fontId="21" fillId="0" borderId="9" xfId="0" applyFont="1" applyBorder="1" applyAlignment="1">
      <alignment horizontal="center" vertical="center"/>
    </xf>
    <xf numFmtId="0" fontId="21" fillId="0" borderId="34" xfId="0" applyFont="1" applyBorder="1" applyAlignment="1">
      <alignment horizontal="center" vertical="center"/>
    </xf>
    <xf numFmtId="0" fontId="8" fillId="0" borderId="42" xfId="0" applyFont="1" applyBorder="1" applyAlignment="1">
      <alignment horizontal="center" vertical="center" wrapText="1"/>
    </xf>
  </cellXfs>
  <cellStyles count="37">
    <cellStyle name="Normal" xfId="0" builtinId="0"/>
    <cellStyle name="Normal 10" xfId="1" xr:uid="{2E34F619-F59D-4FD6-BE72-2C71E408350C}"/>
    <cellStyle name="Normal 10 2" xfId="2" xr:uid="{E866BADE-5542-423A-839A-899CA4B14483}"/>
    <cellStyle name="Normal 11" xfId="3" xr:uid="{CA9FCC9F-3519-4375-871C-B0B83DF4584C}"/>
    <cellStyle name="Normal 11 2" xfId="4" xr:uid="{412E0A58-D1B5-4EA3-A997-D13B41B7168F}"/>
    <cellStyle name="Normal 12" xfId="5" xr:uid="{B55CEBB6-4092-46E6-825B-3A4E666CB442}"/>
    <cellStyle name="Normal 12 2" xfId="6" xr:uid="{14AE1E2E-0446-4D69-9ABB-FB5956CC0691}"/>
    <cellStyle name="Normal 13" xfId="7" xr:uid="{B60B1FCA-3ACF-43D1-B698-972171B76FAF}"/>
    <cellStyle name="Normal 13 2" xfId="8" xr:uid="{03DAA6AF-AB69-4CFE-B905-193BBC98B6E5}"/>
    <cellStyle name="Normal 14" xfId="9" xr:uid="{3BB4ACA9-D165-40A8-85EA-D8FD2F3129C9}"/>
    <cellStyle name="Normal 14 2" xfId="10" xr:uid="{EA536072-A486-455B-9014-E971C731EC14}"/>
    <cellStyle name="Normal 15" xfId="11" xr:uid="{47E1FDF2-6792-44E2-9C30-AB2F3C0F1EF2}"/>
    <cellStyle name="Normal 15 2" xfId="12" xr:uid="{7331CA00-8D3E-419F-9972-ADD1808A2D9B}"/>
    <cellStyle name="Normal 16" xfId="13" xr:uid="{6D186185-CEB2-4214-A560-B7FA87FF03BA}"/>
    <cellStyle name="Normal 16 2" xfId="14" xr:uid="{0284088E-3292-4C81-A545-BCBB3A21B614}"/>
    <cellStyle name="Normal 18" xfId="15" xr:uid="{B70D9722-6D6F-4D50-97E4-7AC883F4899E}"/>
    <cellStyle name="Normal 2" xfId="16" xr:uid="{4B25C009-D931-41C8-9284-738D662D662D}"/>
    <cellStyle name="Normal 2 2" xfId="17" xr:uid="{C0C52112-4DFB-49FD-AEA4-A11B57A7F994}"/>
    <cellStyle name="Normal 2 2 2" xfId="18" xr:uid="{3639FFB3-7D48-409A-9347-DC1880486501}"/>
    <cellStyle name="Normal 20" xfId="19" xr:uid="{18530222-6FEB-483C-8946-5C2C4E5E100A}"/>
    <cellStyle name="Normal 20 2" xfId="20" xr:uid="{03690488-EA23-4FAA-BCE8-25EE658C85EF}"/>
    <cellStyle name="Normal 21" xfId="21" xr:uid="{143B461E-70C1-4EFA-BC66-BC179B57C043}"/>
    <cellStyle name="Normal 21 2" xfId="22" xr:uid="{D67704F1-CF5D-44B2-80D9-31A196F17371}"/>
    <cellStyle name="Normal 3" xfId="23" xr:uid="{12D69BBC-64EC-48D0-BFDF-B53AF4A4D916}"/>
    <cellStyle name="Normal 4" xfId="24" xr:uid="{5B7B0763-0645-4D4C-AA34-93028245AD7A}"/>
    <cellStyle name="Normal 5" xfId="25" xr:uid="{75831E1F-6315-4571-983B-6429F62A48BF}"/>
    <cellStyle name="Normal 5 2" xfId="26" xr:uid="{F7BEE4B0-5B1A-4D2D-9675-58754DBF084B}"/>
    <cellStyle name="Normal 6" xfId="27" xr:uid="{411D8669-6570-41C0-B8C9-6A77C6D7BA58}"/>
    <cellStyle name="Normal 6 2" xfId="36" xr:uid="{F971E7F8-5950-425C-9711-388E495BC6A5}"/>
    <cellStyle name="Normal 7" xfId="35" xr:uid="{F86D083B-34E9-472C-B94B-575B67DF3B11}"/>
    <cellStyle name="Normal 8" xfId="28" xr:uid="{4B9E0D25-4EDE-41D0-9310-B6B3A4A54264}"/>
    <cellStyle name="Normal 8 2" xfId="29" xr:uid="{66217881-FB8E-408A-B6BC-9BBF7947DFD0}"/>
    <cellStyle name="Normal 9" xfId="30" xr:uid="{06DC3B05-8C74-4BB0-9AAC-AFCC97A914D3}"/>
    <cellStyle name="Normal 9 2" xfId="31" xr:uid="{A6DB2CEA-FF9A-4920-AB41-9452331822F9}"/>
    <cellStyle name="Parastais_FMLikp01_p05_221205_pap_afp_makp" xfId="32" xr:uid="{FDE08056-A28F-4D61-BA4D-D47EAC3420E8}"/>
    <cellStyle name="Style 1" xfId="33" xr:uid="{B7BEC3DF-2B39-485D-B123-5957E95A5469}"/>
    <cellStyle name="V?st." xfId="34" xr:uid="{4FE739CF-D636-40C5-BBFB-1F5D98AD9A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calcChain" Target="calcChain.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tyles" Target="style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873F-26F9-4100-A1AF-D8446F27B678}">
  <sheetPr>
    <tabColor theme="2" tint="-9.9978637043366805E-2"/>
  </sheetPr>
  <dimension ref="A1:G46"/>
  <sheetViews>
    <sheetView tabSelected="1" zoomScaleNormal="100" workbookViewId="0">
      <selection activeCell="J8" sqref="J8"/>
    </sheetView>
  </sheetViews>
  <sheetFormatPr defaultRowHeight="12.75"/>
  <cols>
    <col min="1" max="1" width="10.7109375" customWidth="1"/>
    <col min="2" max="2" width="98.85546875" customWidth="1"/>
    <col min="3" max="3" width="25.5703125" customWidth="1"/>
    <col min="4" max="4" width="13.42578125" customWidth="1"/>
  </cols>
  <sheetData>
    <row r="1" spans="1:7" ht="76.5" customHeight="1">
      <c r="A1" s="40"/>
      <c r="B1" s="99" t="s">
        <v>308</v>
      </c>
      <c r="C1" s="99"/>
    </row>
    <row r="2" spans="1:7" ht="15.75">
      <c r="A2" s="40"/>
      <c r="B2" s="40"/>
      <c r="C2" s="40"/>
    </row>
    <row r="3" spans="1:7" ht="15.75">
      <c r="A3" s="100" t="s">
        <v>91</v>
      </c>
      <c r="B3" s="100"/>
      <c r="C3" s="100"/>
    </row>
    <row r="4" spans="1:7" ht="15.75">
      <c r="A4" s="40"/>
      <c r="B4" s="40"/>
      <c r="C4" s="40"/>
    </row>
    <row r="5" spans="1:7" ht="15.75">
      <c r="A5" s="101" t="s">
        <v>92</v>
      </c>
      <c r="B5" s="101"/>
      <c r="C5" s="101"/>
    </row>
    <row r="6" spans="1:7" ht="70.5" customHeight="1">
      <c r="A6" s="102" t="s">
        <v>307</v>
      </c>
      <c r="B6" s="102"/>
      <c r="C6" s="102"/>
    </row>
    <row r="7" spans="1:7" ht="15.75">
      <c r="A7" s="101" t="s">
        <v>94</v>
      </c>
      <c r="B7" s="101"/>
      <c r="C7" s="101"/>
    </row>
    <row r="8" spans="1:7" ht="15.75">
      <c r="A8" s="98" t="s">
        <v>95</v>
      </c>
      <c r="B8" s="98"/>
      <c r="C8" s="40"/>
    </row>
    <row r="9" spans="1:7" ht="15.75">
      <c r="A9" s="43"/>
      <c r="B9" s="43"/>
      <c r="C9" s="40"/>
    </row>
    <row r="10" spans="1:7" ht="63">
      <c r="A10" s="14" t="s">
        <v>24</v>
      </c>
      <c r="B10" s="15" t="s">
        <v>25</v>
      </c>
      <c r="C10" s="16" t="s">
        <v>30</v>
      </c>
      <c r="D10" s="1"/>
    </row>
    <row r="11" spans="1:7" ht="16.5" thickBot="1">
      <c r="A11" s="105" t="s">
        <v>26</v>
      </c>
      <c r="B11" s="106"/>
      <c r="C11" s="107"/>
      <c r="D11" s="1"/>
    </row>
    <row r="12" spans="1:7" ht="15.75" customHeight="1">
      <c r="A12" s="108" t="s">
        <v>31</v>
      </c>
      <c r="B12" s="46" t="s">
        <v>178</v>
      </c>
      <c r="C12" s="49">
        <f>(16.508*4*2)*50</f>
        <v>6603.2</v>
      </c>
      <c r="D12" s="1"/>
      <c r="E12" s="45">
        <f>C12+C13+C14+C15+C16+C17+C18+C22+C23</f>
        <v>18600.702189501197</v>
      </c>
      <c r="G12" s="45"/>
    </row>
    <row r="13" spans="1:7" ht="15.75">
      <c r="A13" s="109"/>
      <c r="B13" s="50" t="s">
        <v>179</v>
      </c>
      <c r="C13" s="49">
        <f>(11.807*3)*50</f>
        <v>1771.05</v>
      </c>
      <c r="D13" s="1"/>
      <c r="E13" s="45">
        <f>C24+C25+C26+C27+C28+C29+C30+C31+C32+C33+C34+C35</f>
        <v>4194.624264</v>
      </c>
    </row>
    <row r="14" spans="1:7" ht="15.75">
      <c r="A14" s="109"/>
      <c r="B14" s="50" t="s">
        <v>180</v>
      </c>
      <c r="C14" s="49">
        <f>(17.65*0.5)*50</f>
        <v>441.24999999999994</v>
      </c>
      <c r="D14" s="1"/>
      <c r="E14" s="45">
        <f>C36+C37</f>
        <v>2895.3309420000001</v>
      </c>
    </row>
    <row r="15" spans="1:7" ht="15.75">
      <c r="A15" s="109"/>
      <c r="B15" s="51" t="s">
        <v>181</v>
      </c>
      <c r="C15" s="49">
        <f>(19.4*0.5)*50</f>
        <v>484.99999999999994</v>
      </c>
      <c r="D15" s="1"/>
    </row>
    <row r="16" spans="1:7" ht="15.75">
      <c r="A16" s="109"/>
      <c r="B16" s="51" t="s">
        <v>182</v>
      </c>
      <c r="C16" s="49">
        <f>(20.321*0.5)*50</f>
        <v>508.02500000000003</v>
      </c>
      <c r="D16" s="1"/>
    </row>
    <row r="17" spans="1:4" ht="16.5" thickBot="1">
      <c r="A17" s="110"/>
      <c r="B17" s="52" t="s">
        <v>322</v>
      </c>
      <c r="C17" s="49">
        <f>(24.057*1)*50</f>
        <v>1202.8499999999999</v>
      </c>
      <c r="D17" s="1"/>
    </row>
    <row r="18" spans="1:4" ht="32.25" thickBot="1">
      <c r="A18" s="21" t="s">
        <v>32</v>
      </c>
      <c r="B18" s="22" t="s">
        <v>33</v>
      </c>
      <c r="C18" s="23">
        <f>SUM(C12:C17)*0.2359</f>
        <v>2597.5833625</v>
      </c>
      <c r="D18" s="1"/>
    </row>
    <row r="19" spans="1:4" ht="15.75">
      <c r="A19" s="111" t="s">
        <v>27</v>
      </c>
      <c r="B19" s="112"/>
      <c r="C19" s="24">
        <f>SUM(C12:C18)</f>
        <v>13608.9583625</v>
      </c>
      <c r="D19" s="1"/>
    </row>
    <row r="20" spans="1:4" ht="16.5" thickBot="1">
      <c r="A20" s="113" t="s">
        <v>28</v>
      </c>
      <c r="B20" s="114"/>
      <c r="C20" s="115"/>
      <c r="D20" s="1"/>
    </row>
    <row r="21" spans="1:4" ht="15.75">
      <c r="A21" s="25"/>
      <c r="B21" s="26" t="s">
        <v>34</v>
      </c>
      <c r="C21" s="27">
        <v>8.0039999999999999E-5</v>
      </c>
      <c r="D21" s="1"/>
    </row>
    <row r="22" spans="1:4" ht="30.75" customHeight="1" thickBot="1">
      <c r="A22" s="28" t="s">
        <v>35</v>
      </c>
      <c r="B22" s="53" t="s">
        <v>36</v>
      </c>
      <c r="C22" s="30">
        <f>1009234*$C$21*50</f>
        <v>4038.9544679999999</v>
      </c>
      <c r="D22" s="1"/>
    </row>
    <row r="23" spans="1:4" ht="32.25" thickBot="1">
      <c r="A23" s="31" t="s">
        <v>32</v>
      </c>
      <c r="B23" s="32" t="s">
        <v>33</v>
      </c>
      <c r="C23" s="30">
        <f>C22*0.2359</f>
        <v>952.78935900119995</v>
      </c>
      <c r="D23" s="1"/>
    </row>
    <row r="24" spans="1:4" ht="32.25" thickBot="1">
      <c r="A24" s="31" t="s">
        <v>37</v>
      </c>
      <c r="B24" s="32" t="s">
        <v>38</v>
      </c>
      <c r="C24" s="30">
        <f>93709*$C$21*50</f>
        <v>375.02341799999999</v>
      </c>
      <c r="D24" s="1"/>
    </row>
    <row r="25" spans="1:4" ht="16.5" customHeight="1" thickBot="1">
      <c r="A25" s="31" t="s">
        <v>39</v>
      </c>
      <c r="B25" s="32" t="s">
        <v>40</v>
      </c>
      <c r="C25" s="30">
        <f>76039*$C$21*50</f>
        <v>304.30807799999997</v>
      </c>
      <c r="D25" s="1"/>
    </row>
    <row r="26" spans="1:4" ht="22.5" customHeight="1" thickBot="1">
      <c r="A26" s="31" t="s">
        <v>41</v>
      </c>
      <c r="B26" s="32" t="s">
        <v>42</v>
      </c>
      <c r="C26" s="30">
        <f>84854*$C$21*50</f>
        <v>339.58570800000001</v>
      </c>
      <c r="D26" s="1"/>
    </row>
    <row r="27" spans="1:4" ht="16.5" thickBot="1">
      <c r="A27" s="31" t="s">
        <v>43</v>
      </c>
      <c r="B27" s="32" t="s">
        <v>44</v>
      </c>
      <c r="C27" s="30">
        <f>127766*$C$21*50</f>
        <v>511.31953199999998</v>
      </c>
      <c r="D27" s="1"/>
    </row>
    <row r="28" spans="1:4" ht="32.25" thickBot="1">
      <c r="A28" s="31" t="s">
        <v>45</v>
      </c>
      <c r="B28" s="32" t="s">
        <v>46</v>
      </c>
      <c r="C28" s="30">
        <f>170156*$C$21*50</f>
        <v>680.96431199999995</v>
      </c>
      <c r="D28" s="1"/>
    </row>
    <row r="29" spans="1:4" ht="32.25" thickBot="1">
      <c r="A29" s="31" t="s">
        <v>47</v>
      </c>
      <c r="B29" s="32" t="s">
        <v>48</v>
      </c>
      <c r="C29" s="30">
        <f>377637*$C$21*50</f>
        <v>1511.3032739999999</v>
      </c>
      <c r="D29" s="1"/>
    </row>
    <row r="30" spans="1:4" ht="21.75" customHeight="1" thickBot="1">
      <c r="A30" s="31" t="s">
        <v>49</v>
      </c>
      <c r="B30" s="32" t="s">
        <v>50</v>
      </c>
      <c r="C30" s="30">
        <f>51508*$C$21*50</f>
        <v>206.13501600000001</v>
      </c>
      <c r="D30" s="1"/>
    </row>
    <row r="31" spans="1:4" s="2" customFormat="1" ht="23.25" customHeight="1" thickBot="1">
      <c r="A31" s="31" t="s">
        <v>51</v>
      </c>
      <c r="B31" s="32" t="s">
        <v>52</v>
      </c>
      <c r="C31" s="30">
        <f>27437*$C$21*50</f>
        <v>109.80287399999999</v>
      </c>
      <c r="D31" s="54"/>
    </row>
    <row r="32" spans="1:4" ht="23.25" customHeight="1" thickBot="1">
      <c r="A32" s="31" t="s">
        <v>53</v>
      </c>
      <c r="B32" s="32" t="s">
        <v>54</v>
      </c>
      <c r="C32" s="30">
        <f>1110*$C$21*50</f>
        <v>4.4422199999999998</v>
      </c>
      <c r="D32" s="1"/>
    </row>
    <row r="33" spans="1:4" ht="32.25" thickBot="1">
      <c r="A33" s="31" t="s">
        <v>55</v>
      </c>
      <c r="B33" s="32" t="s">
        <v>56</v>
      </c>
      <c r="C33" s="30">
        <f>13237*$C$21*50</f>
        <v>52.974474000000008</v>
      </c>
      <c r="D33" s="1"/>
    </row>
    <row r="34" spans="1:4" ht="32.25" thickBot="1">
      <c r="A34" s="31" t="s">
        <v>57</v>
      </c>
      <c r="B34" s="32" t="s">
        <v>58</v>
      </c>
      <c r="C34" s="30">
        <f>8480*$C$21*50</f>
        <v>33.936959999999999</v>
      </c>
      <c r="D34" s="1"/>
    </row>
    <row r="35" spans="1:4" ht="32.25" thickBot="1">
      <c r="A35" s="31" t="s">
        <v>59</v>
      </c>
      <c r="B35" s="32" t="s">
        <v>60</v>
      </c>
      <c r="C35" s="30">
        <f>16199*$C$21*50</f>
        <v>64.828397999999993</v>
      </c>
      <c r="D35" s="1"/>
    </row>
    <row r="36" spans="1:4" ht="21.75" customHeight="1" thickBot="1">
      <c r="A36" s="31" t="s">
        <v>61</v>
      </c>
      <c r="B36" s="32" t="s">
        <v>62</v>
      </c>
      <c r="C36" s="30">
        <f>106687*$C$21*50</f>
        <v>426.96137399999998</v>
      </c>
      <c r="D36" s="1"/>
    </row>
    <row r="37" spans="1:4" ht="32.25" thickBot="1">
      <c r="A37" s="31" t="s">
        <v>63</v>
      </c>
      <c r="B37" s="34" t="s">
        <v>64</v>
      </c>
      <c r="C37" s="30">
        <f>616784*$C$21*50</f>
        <v>2468.3695680000001</v>
      </c>
      <c r="D37" s="1"/>
    </row>
    <row r="38" spans="1:4" ht="15.75">
      <c r="A38" s="116" t="s">
        <v>29</v>
      </c>
      <c r="B38" s="117"/>
      <c r="C38" s="35">
        <f>SUM(C22:C37)</f>
        <v>12081.699033001203</v>
      </c>
      <c r="D38" s="1"/>
    </row>
    <row r="39" spans="1:4" ht="15.75">
      <c r="A39" s="118" t="s">
        <v>65</v>
      </c>
      <c r="B39" s="119"/>
      <c r="C39" s="36">
        <f>C38+C19</f>
        <v>25690.657395501203</v>
      </c>
      <c r="D39" s="1"/>
    </row>
    <row r="40" spans="1:4" ht="15.75">
      <c r="A40" s="1"/>
      <c r="B40" s="1"/>
      <c r="C40" s="37"/>
      <c r="D40" s="1"/>
    </row>
    <row r="41" spans="1:4" ht="15.75">
      <c r="A41" s="103" t="s">
        <v>66</v>
      </c>
      <c r="B41" s="104"/>
      <c r="C41" s="38">
        <v>50</v>
      </c>
      <c r="D41" s="1"/>
    </row>
    <row r="42" spans="1:4" ht="15.75">
      <c r="A42" s="103" t="s">
        <v>67</v>
      </c>
      <c r="B42" s="104"/>
      <c r="C42" s="39">
        <f>C39/C41</f>
        <v>513.8131479100241</v>
      </c>
      <c r="D42" s="1"/>
    </row>
    <row r="46" spans="1:4">
      <c r="C46">
        <f>C42*C41</f>
        <v>25690.657395501206</v>
      </c>
    </row>
  </sheetData>
  <mergeCells count="14">
    <mergeCell ref="A41:B41"/>
    <mergeCell ref="A42:B42"/>
    <mergeCell ref="A11:C11"/>
    <mergeCell ref="A12:A17"/>
    <mergeCell ref="A19:B19"/>
    <mergeCell ref="A20:C20"/>
    <mergeCell ref="A38:B38"/>
    <mergeCell ref="A39:B39"/>
    <mergeCell ref="A8:B8"/>
    <mergeCell ref="B1:C1"/>
    <mergeCell ref="A3:C3"/>
    <mergeCell ref="A5:C5"/>
    <mergeCell ref="A6:C6"/>
    <mergeCell ref="A7:C7"/>
  </mergeCells>
  <pageMargins left="0.7" right="0.7" top="0.75" bottom="0.75" header="0.3" footer="0.3"/>
  <pageSetup paperSize="9"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FCD08-2F02-4038-9F11-0E1F1381D937}">
  <dimension ref="A1:E45"/>
  <sheetViews>
    <sheetView workbookViewId="0">
      <selection activeCell="A6" sqref="A6:C6"/>
    </sheetView>
  </sheetViews>
  <sheetFormatPr defaultColWidth="9.140625" defaultRowHeight="15"/>
  <cols>
    <col min="1" max="1" width="10.7109375" style="62" customWidth="1"/>
    <col min="2" max="2" width="98.85546875" style="62" customWidth="1"/>
    <col min="3" max="3" width="25.5703125" style="62" customWidth="1"/>
    <col min="4" max="4" width="11.42578125" style="62" bestFit="1" customWidth="1"/>
    <col min="5" max="5" width="10" style="62" bestFit="1" customWidth="1"/>
    <col min="6" max="16384" width="9.140625" style="62"/>
  </cols>
  <sheetData>
    <row r="1" spans="1:3" ht="75" customHeight="1">
      <c r="A1" s="61"/>
      <c r="B1" s="138" t="s">
        <v>308</v>
      </c>
      <c r="C1" s="138"/>
    </row>
    <row r="2" spans="1:3" ht="15.75">
      <c r="A2" s="61"/>
      <c r="B2" s="61"/>
      <c r="C2" s="61"/>
    </row>
    <row r="3" spans="1:3" ht="15.75">
      <c r="A3" s="139" t="s">
        <v>91</v>
      </c>
      <c r="B3" s="139"/>
      <c r="C3" s="139"/>
    </row>
    <row r="4" spans="1:3" ht="15.75">
      <c r="A4" s="61"/>
      <c r="B4" s="61"/>
      <c r="C4" s="61"/>
    </row>
    <row r="5" spans="1:3" ht="15.75">
      <c r="A5" s="140" t="s">
        <v>92</v>
      </c>
      <c r="B5" s="140"/>
      <c r="C5" s="140"/>
    </row>
    <row r="6" spans="1:3" ht="65.25" customHeight="1">
      <c r="A6" s="141" t="s">
        <v>183</v>
      </c>
      <c r="B6" s="141"/>
      <c r="C6" s="141"/>
    </row>
    <row r="7" spans="1:3" ht="15.75">
      <c r="A7" s="140" t="s">
        <v>94</v>
      </c>
      <c r="B7" s="140"/>
      <c r="C7" s="140"/>
    </row>
    <row r="8" spans="1:3" ht="18.75" customHeight="1">
      <c r="A8" s="137" t="s">
        <v>184</v>
      </c>
      <c r="B8" s="137"/>
      <c r="C8" s="61"/>
    </row>
    <row r="10" spans="1:3" ht="63">
      <c r="A10" s="63" t="s">
        <v>24</v>
      </c>
      <c r="B10" s="64" t="s">
        <v>25</v>
      </c>
      <c r="C10" s="65" t="s">
        <v>30</v>
      </c>
    </row>
    <row r="11" spans="1:3" ht="16.5" thickBot="1">
      <c r="A11" s="122" t="s">
        <v>26</v>
      </c>
      <c r="B11" s="123"/>
      <c r="C11" s="124"/>
    </row>
    <row r="12" spans="1:3" ht="17.25" customHeight="1">
      <c r="A12" s="125" t="s">
        <v>31</v>
      </c>
      <c r="B12" s="66" t="s">
        <v>310</v>
      </c>
      <c r="C12" s="67">
        <f>16.507*5.5*2*3756</f>
        <v>682003.21200000006</v>
      </c>
    </row>
    <row r="13" spans="1:3" ht="31.5">
      <c r="A13" s="126"/>
      <c r="B13" s="68" t="s">
        <v>309</v>
      </c>
      <c r="C13" s="67">
        <f>11.805*5.5*2*3756</f>
        <v>487735.37999999995</v>
      </c>
    </row>
    <row r="14" spans="1:3" ht="15.75">
      <c r="A14" s="126"/>
      <c r="B14" s="68" t="s">
        <v>311</v>
      </c>
      <c r="C14" s="67">
        <f>17.65*1.75*3756</f>
        <v>116013.44999999998</v>
      </c>
    </row>
    <row r="15" spans="1:3" ht="15.75">
      <c r="A15" s="126"/>
      <c r="B15" s="69" t="s">
        <v>312</v>
      </c>
      <c r="C15" s="67">
        <f>19.4*1.75*3756</f>
        <v>127516.19999999998</v>
      </c>
    </row>
    <row r="16" spans="1:3" ht="15.75">
      <c r="A16" s="126"/>
      <c r="B16" s="69" t="s">
        <v>313</v>
      </c>
      <c r="C16" s="67">
        <f>20.3*1.25*3756</f>
        <v>95308.5</v>
      </c>
    </row>
    <row r="17" spans="1:5" ht="16.5" thickBot="1">
      <c r="A17" s="127"/>
      <c r="B17" s="70" t="s">
        <v>314</v>
      </c>
      <c r="C17" s="67">
        <f>24.04*0.25*3756</f>
        <v>22573.559999999998</v>
      </c>
    </row>
    <row r="18" spans="1:5" ht="32.25" thickBot="1">
      <c r="A18" s="71" t="s">
        <v>32</v>
      </c>
      <c r="B18" s="72" t="s">
        <v>33</v>
      </c>
      <c r="C18" s="73">
        <f>SUM(C12:C17)*0.2359</f>
        <v>361198.35624179995</v>
      </c>
    </row>
    <row r="19" spans="1:5" ht="15.75">
      <c r="A19" s="128" t="s">
        <v>27</v>
      </c>
      <c r="B19" s="129"/>
      <c r="C19" s="74">
        <f>SUM(C12:C18)</f>
        <v>1892348.6582417998</v>
      </c>
    </row>
    <row r="20" spans="1:5" ht="16.5" thickBot="1">
      <c r="A20" s="130" t="s">
        <v>28</v>
      </c>
      <c r="B20" s="131"/>
      <c r="C20" s="132"/>
    </row>
    <row r="21" spans="1:5" ht="15.75">
      <c r="A21" s="75"/>
      <c r="B21" s="76" t="s">
        <v>34</v>
      </c>
      <c r="C21" s="77">
        <v>1.5674999999999999E-4</v>
      </c>
    </row>
    <row r="22" spans="1:5" ht="32.25" thickBot="1">
      <c r="A22" s="78" t="s">
        <v>35</v>
      </c>
      <c r="B22" s="79" t="s">
        <v>36</v>
      </c>
      <c r="C22" s="80">
        <f>ROUND((1009234*$C$21*3756),2)</f>
        <v>594189.55000000005</v>
      </c>
      <c r="D22" s="81"/>
      <c r="E22" s="81"/>
    </row>
    <row r="23" spans="1:5" ht="32.25" thickBot="1">
      <c r="A23" s="82" t="s">
        <v>32</v>
      </c>
      <c r="B23" s="83" t="s">
        <v>33</v>
      </c>
      <c r="C23" s="80">
        <f>C22*0.2359</f>
        <v>140169.31484500002</v>
      </c>
    </row>
    <row r="24" spans="1:5" ht="32.25" thickBot="1">
      <c r="A24" s="82" t="s">
        <v>37</v>
      </c>
      <c r="B24" s="83" t="s">
        <v>38</v>
      </c>
      <c r="C24" s="80">
        <f>ROUND((93709*$C$21*3756),2)</f>
        <v>55171.45</v>
      </c>
    </row>
    <row r="25" spans="1:5" ht="18.75" customHeight="1" thickBot="1">
      <c r="A25" s="82" t="s">
        <v>39</v>
      </c>
      <c r="B25" s="83" t="s">
        <v>40</v>
      </c>
      <c r="C25" s="80">
        <f>76039*$C$21*3756</f>
        <v>44768.189366999992</v>
      </c>
    </row>
    <row r="26" spans="1:5" ht="17.25" customHeight="1" thickBot="1">
      <c r="A26" s="82" t="s">
        <v>41</v>
      </c>
      <c r="B26" s="83" t="s">
        <v>42</v>
      </c>
      <c r="C26" s="80">
        <f>84854*$C$21*3756</f>
        <v>49958.047061999998</v>
      </c>
    </row>
    <row r="27" spans="1:5" ht="32.25" thickBot="1">
      <c r="A27" s="82" t="s">
        <v>45</v>
      </c>
      <c r="B27" s="83" t="s">
        <v>46</v>
      </c>
      <c r="C27" s="80">
        <f>170156*$C$21*3756</f>
        <v>100179.85546799999</v>
      </c>
    </row>
    <row r="28" spans="1:5" ht="32.25" thickBot="1">
      <c r="A28" s="82" t="s">
        <v>47</v>
      </c>
      <c r="B28" s="83" t="s">
        <v>48</v>
      </c>
      <c r="C28" s="80">
        <f>ROUND((377637*$C$21*3756),2)</f>
        <v>222334.92</v>
      </c>
    </row>
    <row r="29" spans="1:5" ht="18" customHeight="1" thickBot="1">
      <c r="A29" s="82" t="s">
        <v>51</v>
      </c>
      <c r="B29" s="83" t="s">
        <v>52</v>
      </c>
      <c r="C29" s="80">
        <f>27437*$C$21*3756</f>
        <v>16153.616060999999</v>
      </c>
    </row>
    <row r="30" spans="1:5" ht="32.25" thickBot="1">
      <c r="A30" s="82" t="s">
        <v>57</v>
      </c>
      <c r="B30" s="83" t="s">
        <v>58</v>
      </c>
      <c r="C30" s="80">
        <f>8480*$C$21*3756</f>
        <v>4992.6254399999998</v>
      </c>
    </row>
    <row r="31" spans="1:5" ht="32.25" thickBot="1">
      <c r="A31" s="82" t="s">
        <v>59</v>
      </c>
      <c r="B31" s="83" t="s">
        <v>60</v>
      </c>
      <c r="C31" s="80">
        <f>16199*$C$21*3756</f>
        <v>9537.2098470000001</v>
      </c>
    </row>
    <row r="32" spans="1:5" ht="18.75" customHeight="1" thickBot="1">
      <c r="A32" s="82" t="s">
        <v>61</v>
      </c>
      <c r="B32" s="83" t="s">
        <v>62</v>
      </c>
      <c r="C32" s="80">
        <f>106687*$C$21*3756</f>
        <v>62812.291310999994</v>
      </c>
    </row>
    <row r="33" spans="1:3" ht="15.75">
      <c r="A33" s="133" t="s">
        <v>29</v>
      </c>
      <c r="B33" s="134"/>
      <c r="C33" s="84">
        <f>ROUND(SUM(C22:C32),2)</f>
        <v>1300267.07</v>
      </c>
    </row>
    <row r="34" spans="1:3" ht="15.75">
      <c r="A34" s="135" t="s">
        <v>65</v>
      </c>
      <c r="B34" s="136"/>
      <c r="C34" s="85">
        <f>C33+C19</f>
        <v>3192615.7282417999</v>
      </c>
    </row>
    <row r="35" spans="1:3" ht="15.75">
      <c r="A35" s="86"/>
      <c r="B35" s="86"/>
      <c r="C35" s="87"/>
    </row>
    <row r="36" spans="1:3" ht="15.75">
      <c r="A36" s="120" t="s">
        <v>66</v>
      </c>
      <c r="B36" s="121"/>
      <c r="C36" s="88">
        <v>3756</v>
      </c>
    </row>
    <row r="37" spans="1:3" ht="15.75">
      <c r="A37" s="120" t="s">
        <v>67</v>
      </c>
      <c r="B37" s="121"/>
      <c r="C37" s="89">
        <f>C34/C36</f>
        <v>850.00418749781682</v>
      </c>
    </row>
    <row r="40" spans="1:3" ht="15.75">
      <c r="C40" s="90"/>
    </row>
    <row r="42" spans="1:3">
      <c r="C42" s="81"/>
    </row>
    <row r="44" spans="1:3">
      <c r="C44" s="81"/>
    </row>
    <row r="45" spans="1:3">
      <c r="C45" s="81"/>
    </row>
  </sheetData>
  <mergeCells count="14">
    <mergeCell ref="A8:B8"/>
    <mergeCell ref="B1:C1"/>
    <mergeCell ref="A3:C3"/>
    <mergeCell ref="A5:C5"/>
    <mergeCell ref="A6:C6"/>
    <mergeCell ref="A7:C7"/>
    <mergeCell ref="A36:B36"/>
    <mergeCell ref="A37:B37"/>
    <mergeCell ref="A11:C11"/>
    <mergeCell ref="A12:A17"/>
    <mergeCell ref="A19:B19"/>
    <mergeCell ref="A20:C20"/>
    <mergeCell ref="A33:B33"/>
    <mergeCell ref="A34:B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08D70-0EC8-4F34-9662-56D885B68660}">
  <sheetPr>
    <tabColor rgb="FF0070C0"/>
  </sheetPr>
  <dimension ref="A1:F37"/>
  <sheetViews>
    <sheetView zoomScaleNormal="100" workbookViewId="0">
      <selection activeCell="B31" sqref="B31"/>
    </sheetView>
  </sheetViews>
  <sheetFormatPr defaultRowHeight="12.75"/>
  <cols>
    <col min="1" max="1" width="10.7109375" customWidth="1"/>
    <col min="2" max="2" width="98.85546875" customWidth="1"/>
    <col min="3" max="3" width="25.5703125" customWidth="1"/>
  </cols>
  <sheetData>
    <row r="1" spans="1:6" ht="69.599999999999994"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74.45" customHeight="1">
      <c r="A6" s="102" t="s">
        <v>169</v>
      </c>
      <c r="B6" s="102"/>
      <c r="C6" s="102"/>
    </row>
    <row r="7" spans="1:6" ht="15.75">
      <c r="A7" s="101" t="s">
        <v>94</v>
      </c>
      <c r="B7" s="101"/>
      <c r="C7" s="101"/>
    </row>
    <row r="8" spans="1:6" ht="15.75">
      <c r="A8" s="98" t="s">
        <v>170</v>
      </c>
      <c r="B8" s="98"/>
      <c r="C8" s="40"/>
    </row>
    <row r="9" spans="1:6" ht="15.75">
      <c r="A9" s="43"/>
      <c r="B9" s="43"/>
      <c r="C9" s="40"/>
    </row>
    <row r="10" spans="1:6" ht="63">
      <c r="A10" s="14" t="s">
        <v>24</v>
      </c>
      <c r="B10" s="15" t="s">
        <v>25</v>
      </c>
      <c r="C10" s="16" t="s">
        <v>30</v>
      </c>
    </row>
    <row r="11" spans="1:6" ht="16.5" thickBot="1">
      <c r="A11" s="105" t="s">
        <v>26</v>
      </c>
      <c r="B11" s="106"/>
      <c r="C11" s="107"/>
      <c r="F11" s="45">
        <f>C15+C18+C19</f>
        <v>4718.0959606835995</v>
      </c>
    </row>
    <row r="12" spans="1:6" ht="15.75">
      <c r="A12" s="142" t="s">
        <v>31</v>
      </c>
      <c r="B12" s="17" t="s">
        <v>171</v>
      </c>
      <c r="C12" s="18">
        <f>(8.678*0.25)*550</f>
        <v>1193.2250000000001</v>
      </c>
      <c r="F12" s="45">
        <f>C20+C21+C22+C23+C24+C25+C26+C27+C28+C29+C30</f>
        <v>1105.6552320000001</v>
      </c>
    </row>
    <row r="13" spans="1:6" ht="15.75">
      <c r="A13" s="143"/>
      <c r="B13" s="19" t="s">
        <v>172</v>
      </c>
      <c r="C13" s="18">
        <f>(11.335*0.25)*550</f>
        <v>1558.5625000000002</v>
      </c>
      <c r="F13" s="45">
        <f>C31+C32</f>
        <v>763.98537599999997</v>
      </c>
    </row>
    <row r="14" spans="1:6" ht="32.25" thickBot="1">
      <c r="A14" s="21" t="s">
        <v>32</v>
      </c>
      <c r="B14" s="22" t="s">
        <v>33</v>
      </c>
      <c r="C14" s="23">
        <f>SUM(C12:C13)*0.2359</f>
        <v>649.14667125000005</v>
      </c>
    </row>
    <row r="15" spans="1:6" ht="15.75">
      <c r="A15" s="111" t="s">
        <v>27</v>
      </c>
      <c r="B15" s="112"/>
      <c r="C15" s="24">
        <f>SUM(C12:C14)</f>
        <v>3400.9341712500004</v>
      </c>
    </row>
    <row r="16" spans="1:6" ht="16.5" thickBot="1">
      <c r="A16" s="113" t="s">
        <v>28</v>
      </c>
      <c r="B16" s="114"/>
      <c r="C16" s="115"/>
    </row>
    <row r="17" spans="1:4" ht="15.75">
      <c r="A17" s="25"/>
      <c r="B17" s="26" t="s">
        <v>34</v>
      </c>
      <c r="C17" s="27">
        <v>1.9199999999999998E-6</v>
      </c>
    </row>
    <row r="18" spans="1:4" ht="16.5" thickBot="1">
      <c r="A18" s="28" t="s">
        <v>35</v>
      </c>
      <c r="B18" s="29" t="s">
        <v>36</v>
      </c>
      <c r="C18" s="30">
        <f>1009234*$C$17*550</f>
        <v>1065.7511039999999</v>
      </c>
    </row>
    <row r="19" spans="1:4" ht="32.25" thickBot="1">
      <c r="A19" s="31" t="s">
        <v>32</v>
      </c>
      <c r="B19" s="32" t="s">
        <v>33</v>
      </c>
      <c r="C19" s="30">
        <f>C18*0.2359</f>
        <v>251.41068543359998</v>
      </c>
    </row>
    <row r="20" spans="1:4" ht="32.25" thickBot="1">
      <c r="A20" s="31" t="s">
        <v>37</v>
      </c>
      <c r="B20" s="32" t="s">
        <v>38</v>
      </c>
      <c r="C20" s="30">
        <f>93709*$C$17*550</f>
        <v>98.956703999999988</v>
      </c>
    </row>
    <row r="21" spans="1:4" ht="17.25" customHeight="1" thickBot="1">
      <c r="A21" s="31" t="s">
        <v>39</v>
      </c>
      <c r="B21" s="32" t="s">
        <v>40</v>
      </c>
      <c r="C21" s="30">
        <f>76039*$C$17*550</f>
        <v>80.297184000000001</v>
      </c>
    </row>
    <row r="22" spans="1:4" ht="21" customHeight="1" thickBot="1">
      <c r="A22" s="31" t="s">
        <v>41</v>
      </c>
      <c r="B22" s="32" t="s">
        <v>42</v>
      </c>
      <c r="C22" s="30">
        <f>84854*$C$17*550</f>
        <v>89.605823999999984</v>
      </c>
    </row>
    <row r="23" spans="1:4" ht="16.5" thickBot="1">
      <c r="A23" s="31" t="s">
        <v>43</v>
      </c>
      <c r="B23" s="32" t="s">
        <v>173</v>
      </c>
      <c r="C23" s="30">
        <f>127766*$C$17*550</f>
        <v>134.920896</v>
      </c>
    </row>
    <row r="24" spans="1:4" ht="32.25" thickBot="1">
      <c r="A24" s="31" t="s">
        <v>45</v>
      </c>
      <c r="B24" s="32" t="s">
        <v>46</v>
      </c>
      <c r="C24" s="30">
        <f>170156*$C$17*550</f>
        <v>179.68473599999999</v>
      </c>
    </row>
    <row r="25" spans="1:4" ht="32.25" thickBot="1">
      <c r="A25" s="31" t="s">
        <v>47</v>
      </c>
      <c r="B25" s="32" t="s">
        <v>48</v>
      </c>
      <c r="C25" s="30">
        <f>377637*$C$17*550</f>
        <v>398.78467199999994</v>
      </c>
    </row>
    <row r="26" spans="1:4" ht="18" customHeight="1" thickBot="1">
      <c r="A26" s="31" t="s">
        <v>49</v>
      </c>
      <c r="B26" s="32" t="s">
        <v>50</v>
      </c>
      <c r="C26" s="30">
        <f>51508*$C$17*550</f>
        <v>54.392447999999995</v>
      </c>
    </row>
    <row r="27" spans="1:4" ht="18.75" customHeight="1" thickBot="1">
      <c r="A27" s="31" t="s">
        <v>51</v>
      </c>
      <c r="B27" s="32" t="s">
        <v>52</v>
      </c>
      <c r="C27" s="30">
        <f>27437*$C$17*550</f>
        <v>28.973471999999997</v>
      </c>
    </row>
    <row r="28" spans="1:4" ht="32.25" thickBot="1">
      <c r="A28" s="31" t="s">
        <v>55</v>
      </c>
      <c r="B28" s="32" t="s">
        <v>56</v>
      </c>
      <c r="C28" s="30">
        <f>13237*$C$17*550</f>
        <v>13.978271999999999</v>
      </c>
      <c r="D28" s="2"/>
    </row>
    <row r="29" spans="1:4" ht="32.25" thickBot="1">
      <c r="A29" s="31" t="s">
        <v>57</v>
      </c>
      <c r="B29" s="32" t="s">
        <v>58</v>
      </c>
      <c r="C29" s="30">
        <f>8480*$C$17*550</f>
        <v>8.9548799999999993</v>
      </c>
    </row>
    <row r="30" spans="1:4" ht="32.25" thickBot="1">
      <c r="A30" s="31" t="s">
        <v>59</v>
      </c>
      <c r="B30" s="32" t="s">
        <v>60</v>
      </c>
      <c r="C30" s="30">
        <f>16199*$C$17*550</f>
        <v>17.106143999999997</v>
      </c>
    </row>
    <row r="31" spans="1:4" ht="18" customHeight="1" thickBot="1">
      <c r="A31" s="31" t="s">
        <v>61</v>
      </c>
      <c r="B31" s="32" t="s">
        <v>62</v>
      </c>
      <c r="C31" s="30">
        <f>106687*$C$17*550</f>
        <v>112.66147199999999</v>
      </c>
    </row>
    <row r="32" spans="1:4" ht="32.25" thickBot="1">
      <c r="A32" s="31" t="s">
        <v>63</v>
      </c>
      <c r="B32" s="34" t="s">
        <v>64</v>
      </c>
      <c r="C32" s="30">
        <f>616784*$C$17*550</f>
        <v>651.32390399999997</v>
      </c>
    </row>
    <row r="33" spans="1:3" ht="15.75">
      <c r="A33" s="116" t="s">
        <v>29</v>
      </c>
      <c r="B33" s="117"/>
      <c r="C33" s="35">
        <f>SUM(C18:C32)</f>
        <v>3186.8023974335993</v>
      </c>
    </row>
    <row r="34" spans="1:3" ht="15.75">
      <c r="A34" s="118" t="s">
        <v>65</v>
      </c>
      <c r="B34" s="119"/>
      <c r="C34" s="36">
        <f>C33+C15</f>
        <v>6587.7365686836001</v>
      </c>
    </row>
    <row r="35" spans="1:3" ht="15.75">
      <c r="A35" s="1"/>
      <c r="B35" s="1"/>
      <c r="C35" s="37"/>
    </row>
    <row r="36" spans="1:3" ht="15.75">
      <c r="A36" s="103" t="s">
        <v>66</v>
      </c>
      <c r="B36" s="104"/>
      <c r="C36" s="38">
        <v>550</v>
      </c>
    </row>
    <row r="37" spans="1:3" ht="15.75">
      <c r="A37" s="103" t="s">
        <v>67</v>
      </c>
      <c r="B37" s="104"/>
      <c r="C37" s="39">
        <f>C34/C36</f>
        <v>11.977702852151999</v>
      </c>
    </row>
  </sheetData>
  <mergeCells count="14">
    <mergeCell ref="A36:B36"/>
    <mergeCell ref="A37:B37"/>
    <mergeCell ref="A11:C11"/>
    <mergeCell ref="A12:A13"/>
    <mergeCell ref="A15:B15"/>
    <mergeCell ref="A16:C16"/>
    <mergeCell ref="A33:B33"/>
    <mergeCell ref="A34:B34"/>
    <mergeCell ref="A8:B8"/>
    <mergeCell ref="B1:C1"/>
    <mergeCell ref="A3:C3"/>
    <mergeCell ref="A5:C5"/>
    <mergeCell ref="A6:C6"/>
    <mergeCell ref="A7:C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D8B90-C67A-426A-8EC6-7E100626A37A}">
  <sheetPr>
    <tabColor rgb="FF0070C0"/>
  </sheetPr>
  <dimension ref="A1:F31"/>
  <sheetViews>
    <sheetView zoomScaleNormal="100" workbookViewId="0">
      <selection activeCell="H7" sqref="H7"/>
    </sheetView>
  </sheetViews>
  <sheetFormatPr defaultRowHeight="12.75"/>
  <cols>
    <col min="1" max="1" width="10.7109375" customWidth="1"/>
    <col min="2" max="2" width="98.85546875" customWidth="1"/>
    <col min="3" max="3" width="25.5703125" customWidth="1"/>
  </cols>
  <sheetData>
    <row r="1" spans="1:6" ht="69"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70.150000000000006" customHeight="1">
      <c r="A6" s="102" t="s">
        <v>174</v>
      </c>
      <c r="B6" s="102"/>
      <c r="C6" s="102"/>
    </row>
    <row r="7" spans="1:6" ht="15.75">
      <c r="A7" s="101" t="s">
        <v>94</v>
      </c>
      <c r="B7" s="101"/>
      <c r="C7" s="101"/>
    </row>
    <row r="8" spans="1:6" ht="15.75">
      <c r="A8" s="98" t="s">
        <v>170</v>
      </c>
      <c r="B8" s="98"/>
      <c r="C8" s="40"/>
    </row>
    <row r="9" spans="1:6" ht="15.75">
      <c r="A9" s="43"/>
      <c r="B9" s="43"/>
      <c r="C9" s="40"/>
    </row>
    <row r="10" spans="1:6" ht="63">
      <c r="A10" s="14" t="s">
        <v>24</v>
      </c>
      <c r="B10" s="15" t="s">
        <v>25</v>
      </c>
      <c r="C10" s="16" t="s">
        <v>30</v>
      </c>
    </row>
    <row r="11" spans="1:6" ht="16.5" thickBot="1">
      <c r="A11" s="105" t="s">
        <v>26</v>
      </c>
      <c r="B11" s="106"/>
      <c r="C11" s="107"/>
    </row>
    <row r="12" spans="1:6" ht="18" customHeight="1">
      <c r="A12" s="142" t="s">
        <v>31</v>
      </c>
      <c r="B12" s="17" t="s">
        <v>175</v>
      </c>
      <c r="C12" s="18">
        <f>(8.678*0.166)*550</f>
        <v>792.30140000000006</v>
      </c>
      <c r="F12" s="45">
        <f>C15+C18+C19</f>
        <v>3136.3281493324002</v>
      </c>
    </row>
    <row r="13" spans="1:6" ht="15.75">
      <c r="A13" s="143"/>
      <c r="B13" s="19" t="s">
        <v>176</v>
      </c>
      <c r="C13" s="18">
        <f>(11.335*0.166)*550</f>
        <v>1034.8855000000001</v>
      </c>
      <c r="F13" s="45">
        <f>C20</f>
        <v>265.856448</v>
      </c>
    </row>
    <row r="14" spans="1:6" ht="32.25" thickBot="1">
      <c r="A14" s="21" t="s">
        <v>32</v>
      </c>
      <c r="B14" s="22" t="s">
        <v>33</v>
      </c>
      <c r="C14" s="23">
        <f>SUM(C12:C13)*0.2359</f>
        <v>431.03338971000005</v>
      </c>
      <c r="F14" s="45">
        <f>C21</f>
        <v>434.215936</v>
      </c>
    </row>
    <row r="15" spans="1:6" ht="15.75">
      <c r="A15" s="111" t="s">
        <v>27</v>
      </c>
      <c r="B15" s="112"/>
      <c r="C15" s="24">
        <f>SUM(C12:C14)</f>
        <v>2258.2202897100001</v>
      </c>
    </row>
    <row r="16" spans="1:6" ht="16.5" thickBot="1">
      <c r="A16" s="113" t="s">
        <v>28</v>
      </c>
      <c r="B16" s="114"/>
      <c r="C16" s="115"/>
    </row>
    <row r="17" spans="1:3" ht="15.75">
      <c r="A17" s="25"/>
      <c r="B17" s="26" t="s">
        <v>34</v>
      </c>
      <c r="C17" s="27">
        <v>1.28E-6</v>
      </c>
    </row>
    <row r="18" spans="1:3" ht="16.5" thickBot="1">
      <c r="A18" s="28" t="s">
        <v>35</v>
      </c>
      <c r="B18" s="29" t="s">
        <v>36</v>
      </c>
      <c r="C18" s="30">
        <f>1009234*$C$17*550</f>
        <v>710.50073599999996</v>
      </c>
    </row>
    <row r="19" spans="1:3" ht="32.25" thickBot="1">
      <c r="A19" s="31" t="s">
        <v>32</v>
      </c>
      <c r="B19" s="32" t="s">
        <v>33</v>
      </c>
      <c r="C19" s="30">
        <f>C18*0.2359</f>
        <v>167.6071236224</v>
      </c>
    </row>
    <row r="20" spans="1:3" ht="32.25" thickBot="1">
      <c r="A20" s="31" t="s">
        <v>47</v>
      </c>
      <c r="B20" s="32" t="s">
        <v>48</v>
      </c>
      <c r="C20" s="30">
        <f>377637*$C$17*550</f>
        <v>265.856448</v>
      </c>
    </row>
    <row r="21" spans="1:3" ht="32.25" thickBot="1">
      <c r="A21" s="31" t="s">
        <v>63</v>
      </c>
      <c r="B21" s="34" t="s">
        <v>64</v>
      </c>
      <c r="C21" s="30">
        <f>616784*$C$17*550</f>
        <v>434.215936</v>
      </c>
    </row>
    <row r="22" spans="1:3" ht="15.75">
      <c r="A22" s="116" t="s">
        <v>29</v>
      </c>
      <c r="B22" s="117"/>
      <c r="C22" s="35">
        <f>SUM(C18:C21)</f>
        <v>1578.1802436224</v>
      </c>
    </row>
    <row r="23" spans="1:3" ht="15.75">
      <c r="A23" s="118" t="s">
        <v>65</v>
      </c>
      <c r="B23" s="119"/>
      <c r="C23" s="36">
        <f>C22+C15</f>
        <v>3836.4005333324003</v>
      </c>
    </row>
    <row r="24" spans="1:3" ht="15.75">
      <c r="A24" s="1"/>
      <c r="B24" s="1"/>
      <c r="C24" s="37"/>
    </row>
    <row r="25" spans="1:3" ht="15.75">
      <c r="A25" s="103" t="s">
        <v>66</v>
      </c>
      <c r="B25" s="104"/>
      <c r="C25" s="38">
        <v>550</v>
      </c>
    </row>
    <row r="26" spans="1:3" ht="15.75">
      <c r="A26" s="103" t="s">
        <v>67</v>
      </c>
      <c r="B26" s="104"/>
      <c r="C26" s="39">
        <f>C23/C25</f>
        <v>6.9752736969680003</v>
      </c>
    </row>
    <row r="31" spans="1:3">
      <c r="C31" t="s">
        <v>177</v>
      </c>
    </row>
  </sheetData>
  <mergeCells count="14">
    <mergeCell ref="A25:B25"/>
    <mergeCell ref="A26:B26"/>
    <mergeCell ref="A11:C11"/>
    <mergeCell ref="A12:A13"/>
    <mergeCell ref="A15:B15"/>
    <mergeCell ref="A16:C16"/>
    <mergeCell ref="A22:B22"/>
    <mergeCell ref="A23:B23"/>
    <mergeCell ref="A8:B8"/>
    <mergeCell ref="B1:C1"/>
    <mergeCell ref="A3:C3"/>
    <mergeCell ref="A5:C5"/>
    <mergeCell ref="A6:C6"/>
    <mergeCell ref="A7:C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A63B7-756C-432F-9C15-16373BF487D1}">
  <sheetPr>
    <tabColor theme="8" tint="0.79998168889431442"/>
  </sheetPr>
  <dimension ref="A1:F40"/>
  <sheetViews>
    <sheetView zoomScaleNormal="100" workbookViewId="0">
      <selection activeCell="I7" sqref="I7"/>
    </sheetView>
  </sheetViews>
  <sheetFormatPr defaultRowHeight="12.75"/>
  <cols>
    <col min="1" max="1" width="10.7109375" customWidth="1"/>
    <col min="2" max="2" width="98.7109375" customWidth="1"/>
    <col min="3" max="3" width="25.5703125" customWidth="1"/>
  </cols>
  <sheetData>
    <row r="1" spans="1:6" ht="74.45"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69" customHeight="1">
      <c r="A6" s="102" t="s">
        <v>241</v>
      </c>
      <c r="B6" s="102"/>
      <c r="C6" s="102"/>
    </row>
    <row r="7" spans="1:6" ht="15.75">
      <c r="A7" s="101" t="s">
        <v>94</v>
      </c>
      <c r="B7" s="101"/>
      <c r="C7" s="101"/>
    </row>
    <row r="8" spans="1:6" ht="15.75">
      <c r="A8" s="98" t="s">
        <v>242</v>
      </c>
      <c r="B8" s="98"/>
      <c r="C8" s="40"/>
    </row>
    <row r="9" spans="1:6" ht="15.75">
      <c r="A9" s="43"/>
      <c r="B9" s="43"/>
      <c r="C9" s="40"/>
    </row>
    <row r="10" spans="1:6" ht="63">
      <c r="A10" s="14" t="s">
        <v>24</v>
      </c>
      <c r="B10" s="15" t="s">
        <v>25</v>
      </c>
      <c r="C10" s="16" t="s">
        <v>30</v>
      </c>
    </row>
    <row r="11" spans="1:6" ht="16.5" thickBot="1">
      <c r="A11" s="105" t="s">
        <v>26</v>
      </c>
      <c r="B11" s="106"/>
      <c r="C11" s="107"/>
    </row>
    <row r="12" spans="1:6" ht="15.75">
      <c r="A12" s="108" t="s">
        <v>31</v>
      </c>
      <c r="B12" s="55" t="s">
        <v>243</v>
      </c>
      <c r="C12" s="18">
        <f>(9.05*6)*12</f>
        <v>651.6</v>
      </c>
      <c r="F12" s="45">
        <f>C17+C20+C21</f>
        <v>25729.025123163887</v>
      </c>
    </row>
    <row r="13" spans="1:6" ht="15.75">
      <c r="A13" s="109"/>
      <c r="B13" s="56" t="s">
        <v>244</v>
      </c>
      <c r="C13" s="18">
        <f>(13.564*24*3)*12</f>
        <v>11719.295999999998</v>
      </c>
      <c r="F13" s="45">
        <f>C22+C23+C24+C25+C26+C27+C28+C29+C30+C31+C32+C33</f>
        <v>6044.0322153600009</v>
      </c>
    </row>
    <row r="14" spans="1:6" ht="16.5" thickBot="1">
      <c r="A14" s="109"/>
      <c r="B14" s="57" t="s">
        <v>245</v>
      </c>
      <c r="C14" s="18">
        <f>(16.171*6)*12</f>
        <v>1164.3119999999999</v>
      </c>
      <c r="F14" s="45">
        <f>C34+C35</f>
        <v>4171.8810520799998</v>
      </c>
    </row>
    <row r="15" spans="1:6" ht="16.5" thickBot="1">
      <c r="A15" s="110"/>
      <c r="B15" s="57" t="s">
        <v>246</v>
      </c>
      <c r="C15" s="18">
        <f>(20.321*6)*12</f>
        <v>1463.1120000000001</v>
      </c>
    </row>
    <row r="16" spans="1:6" ht="31.5">
      <c r="A16" s="21" t="s">
        <v>32</v>
      </c>
      <c r="B16" s="58" t="s">
        <v>33</v>
      </c>
      <c r="C16" s="23">
        <f>SUM(C12:C15)*0.2359</f>
        <v>3538.1036879999997</v>
      </c>
    </row>
    <row r="17" spans="1:3" ht="15.75">
      <c r="A17" s="111" t="s">
        <v>27</v>
      </c>
      <c r="B17" s="112"/>
      <c r="C17" s="24">
        <f>SUM(C12:C16)</f>
        <v>18536.423687999999</v>
      </c>
    </row>
    <row r="18" spans="1:3" ht="16.5" thickBot="1">
      <c r="A18" s="113" t="s">
        <v>28</v>
      </c>
      <c r="B18" s="114"/>
      <c r="C18" s="115"/>
    </row>
    <row r="19" spans="1:3" ht="15.75">
      <c r="A19" s="25"/>
      <c r="B19" s="26" t="s">
        <v>34</v>
      </c>
      <c r="C19" s="27">
        <v>4.8054E-4</v>
      </c>
    </row>
    <row r="20" spans="1:3" ht="16.5" thickBot="1">
      <c r="A20" s="28" t="s">
        <v>35</v>
      </c>
      <c r="B20" s="29" t="s">
        <v>36</v>
      </c>
      <c r="C20" s="30">
        <f>1009234*$C$19*12</f>
        <v>5819.7276763199998</v>
      </c>
    </row>
    <row r="21" spans="1:3" ht="32.25" thickBot="1">
      <c r="A21" s="31" t="s">
        <v>32</v>
      </c>
      <c r="B21" s="32" t="s">
        <v>33</v>
      </c>
      <c r="C21" s="33">
        <f>C20*0.2359</f>
        <v>1372.873758843888</v>
      </c>
    </row>
    <row r="22" spans="1:3" ht="32.25" thickBot="1">
      <c r="A22" s="31" t="s">
        <v>37</v>
      </c>
      <c r="B22" s="32" t="s">
        <v>38</v>
      </c>
      <c r="C22" s="30">
        <f>93709*$C$19*12</f>
        <v>540.37107431999993</v>
      </c>
    </row>
    <row r="23" spans="1:3" ht="18.75" customHeight="1" thickBot="1">
      <c r="A23" s="31" t="s">
        <v>39</v>
      </c>
      <c r="B23" s="32" t="s">
        <v>40</v>
      </c>
      <c r="C23" s="30">
        <f>76039*$C$19*12</f>
        <v>438.47737272000006</v>
      </c>
    </row>
    <row r="24" spans="1:3" ht="17.25" customHeight="1" thickBot="1">
      <c r="A24" s="31" t="s">
        <v>41</v>
      </c>
      <c r="B24" s="32" t="s">
        <v>42</v>
      </c>
      <c r="C24" s="30">
        <f>84854*$C$19*12</f>
        <v>489.30889392000006</v>
      </c>
    </row>
    <row r="25" spans="1:3" ht="16.5" thickBot="1">
      <c r="A25" s="31" t="s">
        <v>43</v>
      </c>
      <c r="B25" s="32" t="s">
        <v>247</v>
      </c>
      <c r="C25" s="30">
        <f>127766*$C$19*12</f>
        <v>736.76008367999998</v>
      </c>
    </row>
    <row r="26" spans="1:3" ht="32.25" thickBot="1">
      <c r="A26" s="31" t="s">
        <v>45</v>
      </c>
      <c r="B26" s="32" t="s">
        <v>46</v>
      </c>
      <c r="C26" s="30">
        <f>170156*$C$19*12</f>
        <v>981.20117088000006</v>
      </c>
    </row>
    <row r="27" spans="1:3" ht="32.25" thickBot="1">
      <c r="A27" s="31" t="s">
        <v>47</v>
      </c>
      <c r="B27" s="32" t="s">
        <v>48</v>
      </c>
      <c r="C27" s="30">
        <f>377637*$C$19*12</f>
        <v>2177.6362077600002</v>
      </c>
    </row>
    <row r="28" spans="1:3" ht="18" customHeight="1" thickBot="1">
      <c r="A28" s="31" t="s">
        <v>49</v>
      </c>
      <c r="B28" s="32" t="s">
        <v>50</v>
      </c>
      <c r="C28" s="30">
        <f>51508*$C$19*12</f>
        <v>297.01985184</v>
      </c>
    </row>
    <row r="29" spans="1:3" ht="16.5" customHeight="1" thickBot="1">
      <c r="A29" s="31" t="s">
        <v>51</v>
      </c>
      <c r="B29" s="32" t="s">
        <v>52</v>
      </c>
      <c r="C29" s="30">
        <f>27437*$C$19*12</f>
        <v>158.21491176000001</v>
      </c>
    </row>
    <row r="30" spans="1:3" ht="20.25" customHeight="1" thickBot="1">
      <c r="A30" s="31" t="s">
        <v>53</v>
      </c>
      <c r="B30" s="32" t="s">
        <v>54</v>
      </c>
      <c r="C30" s="30">
        <f>1110*$C$19*12</f>
        <v>6.4007927999999996</v>
      </c>
    </row>
    <row r="31" spans="1:3" ht="32.25" thickBot="1">
      <c r="A31" s="31" t="s">
        <v>55</v>
      </c>
      <c r="B31" s="32" t="s">
        <v>56</v>
      </c>
      <c r="C31" s="30">
        <f>13237*$C$19*12</f>
        <v>76.330895760000004</v>
      </c>
    </row>
    <row r="32" spans="1:3" ht="32.25" thickBot="1">
      <c r="A32" s="31" t="s">
        <v>57</v>
      </c>
      <c r="B32" s="32" t="s">
        <v>58</v>
      </c>
      <c r="C32" s="30">
        <f>8480*$C$19*12</f>
        <v>48.899750400000002</v>
      </c>
    </row>
    <row r="33" spans="1:3" ht="32.25" thickBot="1">
      <c r="A33" s="31" t="s">
        <v>59</v>
      </c>
      <c r="B33" s="32" t="s">
        <v>60</v>
      </c>
      <c r="C33" s="30">
        <f>16199*$C$19*12</f>
        <v>93.41120952</v>
      </c>
    </row>
    <row r="34" spans="1:3" ht="18.75" customHeight="1" thickBot="1">
      <c r="A34" s="31" t="s">
        <v>61</v>
      </c>
      <c r="B34" s="32" t="s">
        <v>62</v>
      </c>
      <c r="C34" s="30">
        <f>106687*$C$19*12</f>
        <v>615.20845176</v>
      </c>
    </row>
    <row r="35" spans="1:3" ht="32.25" thickBot="1">
      <c r="A35" s="31" t="s">
        <v>63</v>
      </c>
      <c r="B35" s="34" t="s">
        <v>64</v>
      </c>
      <c r="C35" s="30">
        <f>616784*$C$19*12</f>
        <v>3556.6726003200001</v>
      </c>
    </row>
    <row r="36" spans="1:3" ht="15.75">
      <c r="A36" s="116" t="s">
        <v>29</v>
      </c>
      <c r="B36" s="117"/>
      <c r="C36" s="35">
        <f>SUM(C20:C35)</f>
        <v>17408.514702603887</v>
      </c>
    </row>
    <row r="37" spans="1:3" ht="15.75">
      <c r="A37" s="118" t="s">
        <v>65</v>
      </c>
      <c r="B37" s="119"/>
      <c r="C37" s="36">
        <f>C36+C17</f>
        <v>35944.938390603886</v>
      </c>
    </row>
    <row r="38" spans="1:3" ht="15.75">
      <c r="A38" s="1"/>
      <c r="B38" s="1"/>
      <c r="C38" s="37"/>
    </row>
    <row r="39" spans="1:3" ht="15.75">
      <c r="A39" s="103" t="s">
        <v>66</v>
      </c>
      <c r="B39" s="104"/>
      <c r="C39" s="38">
        <v>12</v>
      </c>
    </row>
    <row r="40" spans="1:3" ht="15.75">
      <c r="A40" s="103" t="s">
        <v>67</v>
      </c>
      <c r="B40" s="104"/>
      <c r="C40" s="39">
        <f>ROUND(C37/C39,2)</f>
        <v>2995.41</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FEBCB-87FB-4F24-8D79-846DF53F3ABC}">
  <sheetPr>
    <tabColor theme="8" tint="0.79998168889431442"/>
  </sheetPr>
  <dimension ref="A1:F40"/>
  <sheetViews>
    <sheetView zoomScaleNormal="100" workbookViewId="0">
      <selection activeCell="L10" sqref="L10"/>
    </sheetView>
  </sheetViews>
  <sheetFormatPr defaultRowHeight="12.75"/>
  <cols>
    <col min="1" max="1" width="10.7109375" customWidth="1"/>
    <col min="2" max="2" width="98.7109375" customWidth="1"/>
    <col min="3" max="3" width="25.5703125" customWidth="1"/>
  </cols>
  <sheetData>
    <row r="1" spans="1:6" ht="76.150000000000006"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59.45" customHeight="1">
      <c r="A6" s="102" t="s">
        <v>248</v>
      </c>
      <c r="B6" s="102"/>
      <c r="C6" s="102"/>
    </row>
    <row r="7" spans="1:6" ht="15.75">
      <c r="A7" s="101" t="s">
        <v>94</v>
      </c>
      <c r="B7" s="101"/>
      <c r="C7" s="101"/>
    </row>
    <row r="8" spans="1:6" ht="15.75">
      <c r="A8" s="98" t="s">
        <v>110</v>
      </c>
      <c r="B8" s="98"/>
      <c r="C8" s="40"/>
    </row>
    <row r="9" spans="1:6" ht="15.75">
      <c r="A9" s="43"/>
      <c r="B9" s="43"/>
      <c r="C9" s="40"/>
    </row>
    <row r="10" spans="1:6" ht="63">
      <c r="A10" s="14" t="s">
        <v>24</v>
      </c>
      <c r="B10" s="15" t="s">
        <v>25</v>
      </c>
      <c r="C10" s="16" t="s">
        <v>30</v>
      </c>
    </row>
    <row r="11" spans="1:6" ht="16.5" thickBot="1">
      <c r="A11" s="105" t="s">
        <v>26</v>
      </c>
      <c r="B11" s="106"/>
      <c r="C11" s="107"/>
    </row>
    <row r="12" spans="1:6" ht="16.5" customHeight="1">
      <c r="A12" s="108" t="s">
        <v>31</v>
      </c>
      <c r="B12" s="55" t="s">
        <v>249</v>
      </c>
      <c r="C12" s="18">
        <f>(9.05*8)*8</f>
        <v>579.20000000000005</v>
      </c>
      <c r="F12" s="45">
        <f>C17+C20+C21</f>
        <v>8465.9952852504648</v>
      </c>
    </row>
    <row r="13" spans="1:6" ht="15.75">
      <c r="A13" s="109"/>
      <c r="B13" s="56" t="s">
        <v>250</v>
      </c>
      <c r="C13" s="18">
        <f>(13.564*8*3)*8</f>
        <v>2604.288</v>
      </c>
      <c r="F13" s="45">
        <f>C22+C23+C24+C25+C26+C27+C28+C29+C30+C31+C32+C33</f>
        <v>1988.7675820799998</v>
      </c>
    </row>
    <row r="14" spans="1:6" ht="16.5" thickBot="1">
      <c r="A14" s="109"/>
      <c r="B14" s="57" t="s">
        <v>245</v>
      </c>
      <c r="C14" s="18">
        <f>(16.171*6)*8</f>
        <v>776.20799999999997</v>
      </c>
      <c r="F14" s="45">
        <f>C34+C35</f>
        <v>1372.7428142399999</v>
      </c>
    </row>
    <row r="15" spans="1:6" ht="16.5" thickBot="1">
      <c r="A15" s="110"/>
      <c r="B15" s="57" t="s">
        <v>246</v>
      </c>
      <c r="C15" s="18">
        <f>(20.321*6)*8</f>
        <v>975.40800000000013</v>
      </c>
    </row>
    <row r="16" spans="1:6" ht="31.5">
      <c r="A16" s="21" t="s">
        <v>32</v>
      </c>
      <c r="B16" s="58" t="s">
        <v>167</v>
      </c>
      <c r="C16" s="23">
        <f>SUM(C12:C15)*0.2359</f>
        <v>1164.1910336000001</v>
      </c>
    </row>
    <row r="17" spans="1:3" ht="15.75">
      <c r="A17" s="111" t="s">
        <v>27</v>
      </c>
      <c r="B17" s="112"/>
      <c r="C17" s="24">
        <f>SUM(C12:C16)</f>
        <v>6099.2950336000004</v>
      </c>
    </row>
    <row r="18" spans="1:3" ht="16.5" thickBot="1">
      <c r="A18" s="113" t="s">
        <v>28</v>
      </c>
      <c r="B18" s="114"/>
      <c r="C18" s="115"/>
    </row>
    <row r="19" spans="1:3" ht="15.75">
      <c r="A19" s="25"/>
      <c r="B19" s="26" t="s">
        <v>34</v>
      </c>
      <c r="C19" s="27">
        <v>2.3718E-4</v>
      </c>
    </row>
    <row r="20" spans="1:3" ht="16.5" thickBot="1">
      <c r="A20" s="28" t="s">
        <v>35</v>
      </c>
      <c r="B20" s="29" t="s">
        <v>36</v>
      </c>
      <c r="C20" s="30">
        <f>1009234*$C$19*8</f>
        <v>1914.96096096</v>
      </c>
    </row>
    <row r="21" spans="1:3" ht="32.25" thickBot="1">
      <c r="A21" s="31" t="s">
        <v>32</v>
      </c>
      <c r="B21" s="32" t="s">
        <v>33</v>
      </c>
      <c r="C21" s="33">
        <f>C20*0.2359</f>
        <v>451.73929069046397</v>
      </c>
    </row>
    <row r="22" spans="1:3" ht="32.25" thickBot="1">
      <c r="A22" s="31" t="s">
        <v>37</v>
      </c>
      <c r="B22" s="32" t="s">
        <v>38</v>
      </c>
      <c r="C22" s="30">
        <f>93709*$C$19*8</f>
        <v>177.80720496000001</v>
      </c>
    </row>
    <row r="23" spans="1:3" ht="18" customHeight="1" thickBot="1">
      <c r="A23" s="31" t="s">
        <v>39</v>
      </c>
      <c r="B23" s="32" t="s">
        <v>251</v>
      </c>
      <c r="C23" s="30">
        <f>76039*$C$19*8</f>
        <v>144.27944016000001</v>
      </c>
    </row>
    <row r="24" spans="1:3" ht="18.75" customHeight="1" thickBot="1">
      <c r="A24" s="31" t="s">
        <v>41</v>
      </c>
      <c r="B24" s="32" t="s">
        <v>42</v>
      </c>
      <c r="C24" s="30">
        <f>84854*$C$19*8</f>
        <v>161.00537376</v>
      </c>
    </row>
    <row r="25" spans="1:3" ht="16.5" thickBot="1">
      <c r="A25" s="31" t="s">
        <v>43</v>
      </c>
      <c r="B25" s="32" t="s">
        <v>247</v>
      </c>
      <c r="C25" s="30">
        <f>127766*$C$19*8</f>
        <v>242.42831903999999</v>
      </c>
    </row>
    <row r="26" spans="1:3" ht="32.25" thickBot="1">
      <c r="A26" s="31" t="s">
        <v>45</v>
      </c>
      <c r="B26" s="32" t="s">
        <v>46</v>
      </c>
      <c r="C26" s="30">
        <f>170156*$C$19*8</f>
        <v>322.86080063999998</v>
      </c>
    </row>
    <row r="27" spans="1:3" ht="32.25" thickBot="1">
      <c r="A27" s="31" t="s">
        <v>47</v>
      </c>
      <c r="B27" s="32" t="s">
        <v>48</v>
      </c>
      <c r="C27" s="30">
        <f>377637*$C$19*8</f>
        <v>716.54354927999998</v>
      </c>
    </row>
    <row r="28" spans="1:3" ht="18.75" customHeight="1" thickBot="1">
      <c r="A28" s="31" t="s">
        <v>49</v>
      </c>
      <c r="B28" s="32" t="s">
        <v>50</v>
      </c>
      <c r="C28" s="30">
        <f>51508*$C$19*8</f>
        <v>97.733339520000001</v>
      </c>
    </row>
    <row r="29" spans="1:3" ht="19.5" customHeight="1" thickBot="1">
      <c r="A29" s="31" t="s">
        <v>51</v>
      </c>
      <c r="B29" s="32" t="s">
        <v>52</v>
      </c>
      <c r="C29" s="30">
        <f>27437*$C$19*8</f>
        <v>52.060061279999999</v>
      </c>
    </row>
    <row r="30" spans="1:3" ht="18.75" customHeight="1" thickBot="1">
      <c r="A30" s="31" t="s">
        <v>53</v>
      </c>
      <c r="B30" s="32" t="s">
        <v>54</v>
      </c>
      <c r="C30" s="30">
        <f>1110*$C$19*8</f>
        <v>2.1061584</v>
      </c>
    </row>
    <row r="31" spans="1:3" ht="32.25" thickBot="1">
      <c r="A31" s="31" t="s">
        <v>55</v>
      </c>
      <c r="B31" s="32" t="s">
        <v>56</v>
      </c>
      <c r="C31" s="30">
        <f>13237*$C$19*8</f>
        <v>25.11641328</v>
      </c>
    </row>
    <row r="32" spans="1:3" ht="32.25" thickBot="1">
      <c r="A32" s="31" t="s">
        <v>57</v>
      </c>
      <c r="B32" s="32" t="s">
        <v>58</v>
      </c>
      <c r="C32" s="30">
        <f>8480*$C$19*8</f>
        <v>16.090291199999999</v>
      </c>
    </row>
    <row r="33" spans="1:3" ht="32.25" thickBot="1">
      <c r="A33" s="31" t="s">
        <v>59</v>
      </c>
      <c r="B33" s="32" t="s">
        <v>60</v>
      </c>
      <c r="C33" s="30">
        <f>16199*$C$19*8</f>
        <v>30.736630560000002</v>
      </c>
    </row>
    <row r="34" spans="1:3" ht="18" customHeight="1" thickBot="1">
      <c r="A34" s="31" t="s">
        <v>61</v>
      </c>
      <c r="B34" s="32" t="s">
        <v>62</v>
      </c>
      <c r="C34" s="30">
        <f>106687*$C$19*8</f>
        <v>202.43218128000001</v>
      </c>
    </row>
    <row r="35" spans="1:3" ht="15.75" customHeight="1" thickBot="1">
      <c r="A35" s="31" t="s">
        <v>63</v>
      </c>
      <c r="B35" s="34" t="s">
        <v>64</v>
      </c>
      <c r="C35" s="30">
        <f>616784*$C$19*8</f>
        <v>1170.31063296</v>
      </c>
    </row>
    <row r="36" spans="1:3" ht="15.75">
      <c r="A36" s="116" t="s">
        <v>29</v>
      </c>
      <c r="B36" s="117"/>
      <c r="C36" s="35">
        <f>SUM(C20:C35)</f>
        <v>5728.2106479704653</v>
      </c>
    </row>
    <row r="37" spans="1:3" ht="25.5" customHeight="1">
      <c r="A37" s="118" t="s">
        <v>65</v>
      </c>
      <c r="B37" s="119"/>
      <c r="C37" s="36">
        <f>C36+C17</f>
        <v>11827.505681570467</v>
      </c>
    </row>
    <row r="38" spans="1:3" ht="15.75" customHeight="1">
      <c r="A38" s="1"/>
      <c r="B38" s="1"/>
      <c r="C38" s="37"/>
    </row>
    <row r="39" spans="1:3" ht="15.75">
      <c r="A39" s="103" t="s">
        <v>66</v>
      </c>
      <c r="B39" s="104"/>
      <c r="C39" s="38">
        <v>8</v>
      </c>
    </row>
    <row r="40" spans="1:3" ht="15.75">
      <c r="A40" s="103" t="s">
        <v>67</v>
      </c>
      <c r="B40" s="104"/>
      <c r="C40" s="39">
        <f>ROUND(C37/C39,2)</f>
        <v>1478.44</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8226E-A9B4-4D6A-B161-95EF9B89C827}">
  <sheetPr>
    <tabColor theme="8" tint="0.79998168889431442"/>
  </sheetPr>
  <dimension ref="A1:F40"/>
  <sheetViews>
    <sheetView zoomScaleNormal="100" workbookViewId="0">
      <selection activeCell="B23" sqref="B23"/>
    </sheetView>
  </sheetViews>
  <sheetFormatPr defaultRowHeight="12.75"/>
  <cols>
    <col min="1" max="1" width="10.7109375" customWidth="1"/>
    <col min="2" max="2" width="98.7109375" customWidth="1"/>
    <col min="3" max="3" width="25.5703125" customWidth="1"/>
  </cols>
  <sheetData>
    <row r="1" spans="1:6" ht="67.900000000000006"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69" customHeight="1">
      <c r="A6" s="102" t="s">
        <v>252</v>
      </c>
      <c r="B6" s="102"/>
      <c r="C6" s="102"/>
    </row>
    <row r="7" spans="1:6" ht="15.75">
      <c r="A7" s="101" t="s">
        <v>94</v>
      </c>
      <c r="B7" s="101"/>
      <c r="C7" s="101"/>
    </row>
    <row r="8" spans="1:6" ht="15.75">
      <c r="A8" s="98" t="s">
        <v>97</v>
      </c>
      <c r="B8" s="98"/>
      <c r="C8" s="40"/>
    </row>
    <row r="9" spans="1:6" ht="15.75">
      <c r="A9" s="43"/>
      <c r="B9" s="43"/>
      <c r="C9" s="40"/>
    </row>
    <row r="10" spans="1:6" ht="63">
      <c r="A10" s="14" t="s">
        <v>24</v>
      </c>
      <c r="B10" s="15" t="s">
        <v>25</v>
      </c>
      <c r="C10" s="16" t="s">
        <v>30</v>
      </c>
    </row>
    <row r="11" spans="1:6" ht="16.5" thickBot="1">
      <c r="A11" s="105" t="s">
        <v>26</v>
      </c>
      <c r="B11" s="106"/>
      <c r="C11" s="107"/>
    </row>
    <row r="12" spans="1:6" ht="15.75">
      <c r="A12" s="108" t="s">
        <v>31</v>
      </c>
      <c r="B12" s="55" t="s">
        <v>253</v>
      </c>
      <c r="C12" s="18">
        <f>(9.05*16)*3</f>
        <v>434.40000000000003</v>
      </c>
    </row>
    <row r="13" spans="1:6" ht="15.75">
      <c r="A13" s="109"/>
      <c r="B13" s="56" t="s">
        <v>254</v>
      </c>
      <c r="C13" s="18">
        <f>(13.564*40*3)*3</f>
        <v>4883.0399999999991</v>
      </c>
    </row>
    <row r="14" spans="1:6" ht="16.5" thickBot="1">
      <c r="A14" s="109"/>
      <c r="B14" s="57" t="s">
        <v>255</v>
      </c>
      <c r="C14" s="18">
        <f>(16.171*20)*3</f>
        <v>970.25999999999988</v>
      </c>
      <c r="F14" s="45">
        <f>C17+C20+C21</f>
        <v>12877.894518483743</v>
      </c>
    </row>
    <row r="15" spans="1:6" ht="16.5" thickBot="1">
      <c r="A15" s="110"/>
      <c r="B15" s="57" t="s">
        <v>256</v>
      </c>
      <c r="C15" s="18">
        <f>(20.321*20)*3</f>
        <v>1219.26</v>
      </c>
      <c r="F15" s="45">
        <f>C22+C23+C24+C25+C26+C27+C28+C29+C30+C31+C32+C33</f>
        <v>3025.1605036800001</v>
      </c>
    </row>
    <row r="16" spans="1:6" ht="31.5">
      <c r="A16" s="21" t="s">
        <v>32</v>
      </c>
      <c r="B16" s="58" t="s">
        <v>33</v>
      </c>
      <c r="C16" s="23">
        <f>SUM(C12:C15)*0.2359</f>
        <v>1770.8918639999997</v>
      </c>
      <c r="F16" s="45">
        <f>C34+C35</f>
        <v>2088.1109390400002</v>
      </c>
    </row>
    <row r="17" spans="1:3" ht="15.75">
      <c r="A17" s="111" t="s">
        <v>27</v>
      </c>
      <c r="B17" s="112"/>
      <c r="C17" s="24">
        <f>SUM(C12:C16)</f>
        <v>9277.8518639999984</v>
      </c>
    </row>
    <row r="18" spans="1:3" ht="16.5" thickBot="1">
      <c r="A18" s="113" t="s">
        <v>28</v>
      </c>
      <c r="B18" s="114"/>
      <c r="C18" s="115"/>
    </row>
    <row r="19" spans="1:3" ht="15.75">
      <c r="A19" s="25"/>
      <c r="B19" s="26" t="s">
        <v>34</v>
      </c>
      <c r="C19" s="27">
        <v>9.6208000000000003E-4</v>
      </c>
    </row>
    <row r="20" spans="1:3" ht="16.5" thickBot="1">
      <c r="A20" s="28" t="s">
        <v>35</v>
      </c>
      <c r="B20" s="29" t="s">
        <v>36</v>
      </c>
      <c r="C20" s="30">
        <f>1009234*$C$19*3</f>
        <v>2912.8915401599997</v>
      </c>
    </row>
    <row r="21" spans="1:3" ht="32.25" thickBot="1">
      <c r="A21" s="31" t="s">
        <v>32</v>
      </c>
      <c r="B21" s="32" t="s">
        <v>33</v>
      </c>
      <c r="C21" s="33">
        <f>C20*0.2359</f>
        <v>687.15111432374397</v>
      </c>
    </row>
    <row r="22" spans="1:3" ht="32.25" thickBot="1">
      <c r="A22" s="31" t="s">
        <v>37</v>
      </c>
      <c r="B22" s="32" t="s">
        <v>38</v>
      </c>
      <c r="C22" s="30">
        <f>93709*$C$19*3</f>
        <v>270.46666415999999</v>
      </c>
    </row>
    <row r="23" spans="1:3" ht="19.5" customHeight="1" thickBot="1">
      <c r="A23" s="31" t="s">
        <v>39</v>
      </c>
      <c r="B23" s="32" t="s">
        <v>40</v>
      </c>
      <c r="C23" s="30">
        <f>76039*$C$19*3</f>
        <v>219.46680336</v>
      </c>
    </row>
    <row r="24" spans="1:3" ht="18.75" customHeight="1" thickBot="1">
      <c r="A24" s="31" t="s">
        <v>41</v>
      </c>
      <c r="B24" s="32" t="s">
        <v>42</v>
      </c>
      <c r="C24" s="30">
        <f>84854*$C$19*3</f>
        <v>244.90900895999999</v>
      </c>
    </row>
    <row r="25" spans="1:3" ht="16.5" thickBot="1">
      <c r="A25" s="31" t="s">
        <v>43</v>
      </c>
      <c r="B25" s="32" t="s">
        <v>247</v>
      </c>
      <c r="C25" s="30">
        <f>127766*$C$19*3</f>
        <v>368.76333984000001</v>
      </c>
    </row>
    <row r="26" spans="1:3" ht="32.25" thickBot="1">
      <c r="A26" s="31" t="s">
        <v>45</v>
      </c>
      <c r="B26" s="32" t="s">
        <v>46</v>
      </c>
      <c r="C26" s="30">
        <f>170156*$C$19*3</f>
        <v>491.11105343999998</v>
      </c>
    </row>
    <row r="27" spans="1:3" ht="32.25" thickBot="1">
      <c r="A27" s="31" t="s">
        <v>47</v>
      </c>
      <c r="B27" s="32" t="s">
        <v>48</v>
      </c>
      <c r="C27" s="30">
        <f>377637*$C$19*3</f>
        <v>1089.95101488</v>
      </c>
    </row>
    <row r="28" spans="1:3" ht="17.25" customHeight="1" thickBot="1">
      <c r="A28" s="31" t="s">
        <v>49</v>
      </c>
      <c r="B28" s="32" t="s">
        <v>50</v>
      </c>
      <c r="C28" s="30">
        <f>51508*$C$19*3</f>
        <v>148.66444991999998</v>
      </c>
    </row>
    <row r="29" spans="1:3" ht="18.75" customHeight="1" thickBot="1">
      <c r="A29" s="31" t="s">
        <v>51</v>
      </c>
      <c r="B29" s="32" t="s">
        <v>52</v>
      </c>
      <c r="C29" s="30">
        <f>27437*$C$19*3</f>
        <v>79.189766880000008</v>
      </c>
    </row>
    <row r="30" spans="1:3" ht="18.75" customHeight="1" thickBot="1">
      <c r="A30" s="31" t="s">
        <v>53</v>
      </c>
      <c r="B30" s="32" t="s">
        <v>54</v>
      </c>
      <c r="C30" s="30">
        <f>1110*$C$19*3</f>
        <v>3.2037264000000003</v>
      </c>
    </row>
    <row r="31" spans="1:3" ht="32.25" thickBot="1">
      <c r="A31" s="31" t="s">
        <v>55</v>
      </c>
      <c r="B31" s="32" t="s">
        <v>56</v>
      </c>
      <c r="C31" s="30">
        <f>13237*$C$19*3</f>
        <v>38.205158879999999</v>
      </c>
    </row>
    <row r="32" spans="1:3" ht="32.25" thickBot="1">
      <c r="A32" s="31" t="s">
        <v>57</v>
      </c>
      <c r="B32" s="32" t="s">
        <v>58</v>
      </c>
      <c r="C32" s="30">
        <f>8480*$C$19*3</f>
        <v>24.475315199999997</v>
      </c>
    </row>
    <row r="33" spans="1:3" ht="32.25" thickBot="1">
      <c r="A33" s="31" t="s">
        <v>59</v>
      </c>
      <c r="B33" s="32" t="s">
        <v>60</v>
      </c>
      <c r="C33" s="30">
        <f>16199*$C$19*3</f>
        <v>46.754201760000001</v>
      </c>
    </row>
    <row r="34" spans="1:3" ht="18.75" customHeight="1" thickBot="1">
      <c r="A34" s="31" t="s">
        <v>61</v>
      </c>
      <c r="B34" s="32" t="s">
        <v>62</v>
      </c>
      <c r="C34" s="30">
        <f>106687*$C$19*3</f>
        <v>307.92428688000001</v>
      </c>
    </row>
    <row r="35" spans="1:3" ht="32.25" thickBot="1">
      <c r="A35" s="31" t="s">
        <v>63</v>
      </c>
      <c r="B35" s="34" t="s">
        <v>64</v>
      </c>
      <c r="C35" s="30">
        <f>616784*$C$19*3</f>
        <v>1780.1866521600002</v>
      </c>
    </row>
    <row r="36" spans="1:3" ht="15.75">
      <c r="A36" s="116" t="s">
        <v>29</v>
      </c>
      <c r="B36" s="117"/>
      <c r="C36" s="35">
        <f>SUM(C20:C35)</f>
        <v>8713.3140972037436</v>
      </c>
    </row>
    <row r="37" spans="1:3" ht="15.75">
      <c r="A37" s="118" t="s">
        <v>65</v>
      </c>
      <c r="B37" s="119"/>
      <c r="C37" s="36">
        <f>C36+C17</f>
        <v>17991.16596120374</v>
      </c>
    </row>
    <row r="38" spans="1:3" ht="15.75">
      <c r="A38" s="1"/>
      <c r="B38" s="1"/>
      <c r="C38" s="37"/>
    </row>
    <row r="39" spans="1:3" ht="15.75">
      <c r="A39" s="103" t="s">
        <v>66</v>
      </c>
      <c r="B39" s="104"/>
      <c r="C39" s="38">
        <v>3</v>
      </c>
    </row>
    <row r="40" spans="1:3" ht="15.75">
      <c r="A40" s="103" t="s">
        <v>67</v>
      </c>
      <c r="B40" s="104"/>
      <c r="C40" s="39">
        <f>ROUND(C37/C39,2)</f>
        <v>5997.06</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8BB14-6C92-4766-8E2A-D5D608741D74}">
  <sheetPr>
    <tabColor theme="8" tint="0.79998168889431442"/>
  </sheetPr>
  <dimension ref="A1:F47"/>
  <sheetViews>
    <sheetView zoomScaleNormal="100" workbookViewId="0">
      <selection activeCell="J7" sqref="J7"/>
    </sheetView>
  </sheetViews>
  <sheetFormatPr defaultRowHeight="12.75"/>
  <cols>
    <col min="1" max="1" width="10.7109375" customWidth="1"/>
    <col min="2" max="2" width="98.7109375" customWidth="1"/>
    <col min="3" max="3" width="25.5703125" customWidth="1"/>
  </cols>
  <sheetData>
    <row r="1" spans="1:3" ht="66.599999999999994"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67.900000000000006" customHeight="1">
      <c r="A6" s="102" t="s">
        <v>257</v>
      </c>
      <c r="B6" s="102"/>
      <c r="C6" s="102"/>
    </row>
    <row r="7" spans="1:3" ht="15.75">
      <c r="A7" s="101" t="s">
        <v>94</v>
      </c>
      <c r="B7" s="101"/>
      <c r="C7" s="101"/>
    </row>
    <row r="8" spans="1:3" ht="15.75">
      <c r="A8" s="98" t="s">
        <v>99</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55" t="s">
        <v>258</v>
      </c>
      <c r="C12" s="18">
        <f>(9.05*8*2)*10</f>
        <v>1448</v>
      </c>
    </row>
    <row r="13" spans="1:3" ht="15.75">
      <c r="A13" s="109"/>
      <c r="B13" s="56" t="s">
        <v>250</v>
      </c>
      <c r="C13" s="18">
        <f>(13.564*8*3)*10</f>
        <v>3255.36</v>
      </c>
    </row>
    <row r="14" spans="1:3" ht="16.5" thickBot="1">
      <c r="A14" s="109"/>
      <c r="B14" s="57" t="s">
        <v>259</v>
      </c>
      <c r="C14" s="18">
        <f>(16.171*8)*10</f>
        <v>1293.6799999999998</v>
      </c>
    </row>
    <row r="15" spans="1:3" ht="16.5" thickBot="1">
      <c r="A15" s="110"/>
      <c r="B15" s="57" t="s">
        <v>260</v>
      </c>
      <c r="C15" s="18">
        <f>(16.171*8)*10</f>
        <v>1293.6799999999998</v>
      </c>
    </row>
    <row r="16" spans="1:3" ht="16.5" thickBot="1">
      <c r="A16" s="59"/>
      <c r="B16" s="57" t="s">
        <v>261</v>
      </c>
      <c r="C16" s="18">
        <f>(20.321*8)*10</f>
        <v>1625.68</v>
      </c>
    </row>
    <row r="17" spans="1:6" ht="31.5">
      <c r="A17" s="21" t="s">
        <v>32</v>
      </c>
      <c r="B17" s="58" t="s">
        <v>33</v>
      </c>
      <c r="C17" s="23">
        <f>SUM(C12:C16)*0.2359</f>
        <v>2103.3787600000005</v>
      </c>
    </row>
    <row r="18" spans="1:6" ht="15.75">
      <c r="A18" s="111" t="s">
        <v>27</v>
      </c>
      <c r="B18" s="112"/>
      <c r="C18" s="24">
        <f>SUM(C12:C17)</f>
        <v>11019.778760000001</v>
      </c>
      <c r="F18" s="45">
        <f>C18+C21+C22</f>
        <v>15295.690057686861</v>
      </c>
    </row>
    <row r="19" spans="1:6" ht="16.5" thickBot="1">
      <c r="A19" s="113" t="s">
        <v>28</v>
      </c>
      <c r="B19" s="114"/>
      <c r="C19" s="115"/>
      <c r="F19" s="45">
        <f>C23+C24+C25+C26+C27+C28+C29+C30+C31+C32+C33+C34</f>
        <v>3593.1013091999994</v>
      </c>
    </row>
    <row r="20" spans="1:6" ht="15.75">
      <c r="A20" s="25"/>
      <c r="B20" s="26" t="s">
        <v>34</v>
      </c>
      <c r="C20" s="27">
        <v>3.4280999999999998E-4</v>
      </c>
      <c r="F20" s="45">
        <f>C35+C36</f>
        <v>2480.1309351</v>
      </c>
    </row>
    <row r="21" spans="1:6" ht="16.5" thickBot="1">
      <c r="A21" s="28" t="s">
        <v>35</v>
      </c>
      <c r="B21" s="29" t="s">
        <v>36</v>
      </c>
      <c r="C21" s="30">
        <f>1009234*$C$20*10</f>
        <v>3459.7550753999994</v>
      </c>
    </row>
    <row r="22" spans="1:6" ht="32.25" thickBot="1">
      <c r="A22" s="31" t="s">
        <v>32</v>
      </c>
      <c r="B22" s="32" t="s">
        <v>33</v>
      </c>
      <c r="C22" s="33">
        <f>C21*0.2359</f>
        <v>816.15622228685982</v>
      </c>
    </row>
    <row r="23" spans="1:6" ht="32.25" thickBot="1">
      <c r="A23" s="31" t="s">
        <v>37</v>
      </c>
      <c r="B23" s="32" t="s">
        <v>38</v>
      </c>
      <c r="C23" s="30">
        <f>93709*$C$20*10</f>
        <v>321.2438229</v>
      </c>
    </row>
    <row r="24" spans="1:6" ht="16.5" customHeight="1" thickBot="1">
      <c r="A24" s="31" t="s">
        <v>39</v>
      </c>
      <c r="B24" s="32" t="s">
        <v>40</v>
      </c>
      <c r="C24" s="30">
        <f>76039*$C$20*10</f>
        <v>260.66929589999995</v>
      </c>
    </row>
    <row r="25" spans="1:6" ht="18.75" customHeight="1" thickBot="1">
      <c r="A25" s="31" t="s">
        <v>41</v>
      </c>
      <c r="B25" s="32" t="s">
        <v>42</v>
      </c>
      <c r="C25" s="30">
        <f>84854*$C$20*10</f>
        <v>290.88799740000002</v>
      </c>
    </row>
    <row r="26" spans="1:6" ht="16.5" thickBot="1">
      <c r="A26" s="31" t="s">
        <v>43</v>
      </c>
      <c r="B26" s="32" t="s">
        <v>247</v>
      </c>
      <c r="C26" s="30">
        <f>127766*$C$20*10</f>
        <v>437.99462459999995</v>
      </c>
    </row>
    <row r="27" spans="1:6" ht="32.25" thickBot="1">
      <c r="A27" s="31" t="s">
        <v>45</v>
      </c>
      <c r="B27" s="32" t="s">
        <v>46</v>
      </c>
      <c r="C27" s="30">
        <f>170156*$C$20*10</f>
        <v>583.3117835999999</v>
      </c>
    </row>
    <row r="28" spans="1:6" ht="32.25" thickBot="1">
      <c r="A28" s="31" t="s">
        <v>47</v>
      </c>
      <c r="B28" s="32" t="s">
        <v>48</v>
      </c>
      <c r="C28" s="30">
        <f>377637*$C$20*10</f>
        <v>1294.5773997000001</v>
      </c>
    </row>
    <row r="29" spans="1:6" ht="18.75" customHeight="1" thickBot="1">
      <c r="A29" s="31" t="s">
        <v>49</v>
      </c>
      <c r="B29" s="32" t="s">
        <v>50</v>
      </c>
      <c r="C29" s="30">
        <f>51508*$C$20*10</f>
        <v>176.57457479999999</v>
      </c>
    </row>
    <row r="30" spans="1:6" ht="19.5" customHeight="1" thickBot="1">
      <c r="A30" s="31" t="s">
        <v>51</v>
      </c>
      <c r="B30" s="32" t="s">
        <v>52</v>
      </c>
      <c r="C30" s="30">
        <f>27437*$C$20*10</f>
        <v>94.056779699999993</v>
      </c>
    </row>
    <row r="31" spans="1:6" ht="18" customHeight="1" thickBot="1">
      <c r="A31" s="31" t="s">
        <v>53</v>
      </c>
      <c r="B31" s="32" t="s">
        <v>54</v>
      </c>
      <c r="C31" s="30">
        <f>1110*$C$20*10</f>
        <v>3.8051909999999998</v>
      </c>
    </row>
    <row r="32" spans="1:6" ht="32.25" thickBot="1">
      <c r="A32" s="31" t="s">
        <v>55</v>
      </c>
      <c r="B32" s="32" t="s">
        <v>56</v>
      </c>
      <c r="C32" s="30">
        <f>13237*$C$20*10</f>
        <v>45.377759699999991</v>
      </c>
    </row>
    <row r="33" spans="1:3" ht="32.25" thickBot="1">
      <c r="A33" s="31" t="s">
        <v>57</v>
      </c>
      <c r="B33" s="32" t="s">
        <v>58</v>
      </c>
      <c r="C33" s="30">
        <f>8480*$C$20*10</f>
        <v>29.070287999999998</v>
      </c>
    </row>
    <row r="34" spans="1:3" ht="32.25" thickBot="1">
      <c r="A34" s="31" t="s">
        <v>59</v>
      </c>
      <c r="B34" s="32" t="s">
        <v>60</v>
      </c>
      <c r="C34" s="30">
        <f>16199*$C$20*10</f>
        <v>55.531791900000002</v>
      </c>
    </row>
    <row r="35" spans="1:3" ht="18" customHeight="1" thickBot="1">
      <c r="A35" s="31" t="s">
        <v>61</v>
      </c>
      <c r="B35" s="32" t="s">
        <v>62</v>
      </c>
      <c r="C35" s="30">
        <f>106687*$C$20*10</f>
        <v>365.73370469999998</v>
      </c>
    </row>
    <row r="36" spans="1:3" ht="32.25" thickBot="1">
      <c r="A36" s="31" t="s">
        <v>63</v>
      </c>
      <c r="B36" s="34" t="s">
        <v>64</v>
      </c>
      <c r="C36" s="30">
        <f>616784*$C$20*10</f>
        <v>2114.3972303999999</v>
      </c>
    </row>
    <row r="37" spans="1:3" ht="15.75">
      <c r="A37" s="116" t="s">
        <v>29</v>
      </c>
      <c r="B37" s="117"/>
      <c r="C37" s="35">
        <f>SUM(C21:C36)</f>
        <v>10349.143541986859</v>
      </c>
    </row>
    <row r="38" spans="1:3" ht="15.75">
      <c r="A38" s="118" t="s">
        <v>65</v>
      </c>
      <c r="B38" s="119"/>
      <c r="C38" s="36">
        <f>C37+C18</f>
        <v>21368.922301986859</v>
      </c>
    </row>
    <row r="39" spans="1:3" ht="15.75">
      <c r="A39" s="1"/>
      <c r="B39" s="1"/>
      <c r="C39" s="37"/>
    </row>
    <row r="40" spans="1:3" ht="15.75">
      <c r="A40" s="103" t="s">
        <v>66</v>
      </c>
      <c r="B40" s="104"/>
      <c r="C40" s="38">
        <v>10</v>
      </c>
    </row>
    <row r="41" spans="1:3" ht="15.75">
      <c r="A41" s="103" t="s">
        <v>67</v>
      </c>
      <c r="B41" s="104"/>
      <c r="C41" s="39">
        <f>ROUND(C38/C40,2)</f>
        <v>2136.89</v>
      </c>
    </row>
    <row r="47" spans="1:3">
      <c r="C47" s="45"/>
    </row>
  </sheetData>
  <mergeCells count="14">
    <mergeCell ref="A40:B40"/>
    <mergeCell ref="A41:B41"/>
    <mergeCell ref="A11:C11"/>
    <mergeCell ref="A12:A15"/>
    <mergeCell ref="A18:B18"/>
    <mergeCell ref="A19:C19"/>
    <mergeCell ref="A37:B37"/>
    <mergeCell ref="A38:B38"/>
    <mergeCell ref="A8:B8"/>
    <mergeCell ref="B1:C1"/>
    <mergeCell ref="A3:C3"/>
    <mergeCell ref="A5:C5"/>
    <mergeCell ref="A6:C6"/>
    <mergeCell ref="A7:C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BB084-7F52-4699-B39E-5652583FFDA4}">
  <sheetPr>
    <tabColor theme="8" tint="0.79998168889431442"/>
  </sheetPr>
  <dimension ref="A1:F40"/>
  <sheetViews>
    <sheetView zoomScaleNormal="100" workbookViewId="0">
      <selection activeCell="B22" sqref="B22"/>
    </sheetView>
  </sheetViews>
  <sheetFormatPr defaultRowHeight="12.75"/>
  <cols>
    <col min="1" max="1" width="10.7109375" customWidth="1"/>
    <col min="2" max="2" width="98.7109375" customWidth="1"/>
    <col min="3" max="3" width="25.5703125" customWidth="1"/>
  </cols>
  <sheetData>
    <row r="1" spans="1:3" ht="61.9"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3.150000000000006" customHeight="1">
      <c r="A6" s="102" t="s">
        <v>262</v>
      </c>
      <c r="B6" s="102"/>
      <c r="C6" s="102"/>
    </row>
    <row r="7" spans="1:3" ht="15.75">
      <c r="A7" s="101" t="s">
        <v>94</v>
      </c>
      <c r="B7" s="101"/>
      <c r="C7" s="101"/>
    </row>
    <row r="8" spans="1:3" ht="15.75">
      <c r="A8" s="98" t="s">
        <v>263</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55" t="s">
        <v>264</v>
      </c>
      <c r="C12" s="18">
        <f>(9.05*5)*28</f>
        <v>1267</v>
      </c>
    </row>
    <row r="13" spans="1:3" ht="15.75">
      <c r="A13" s="109"/>
      <c r="B13" s="56" t="s">
        <v>265</v>
      </c>
      <c r="C13" s="18">
        <f>(13.564*16*2)*28</f>
        <v>12153.344000000001</v>
      </c>
    </row>
    <row r="14" spans="1:3" ht="16.5" thickBot="1">
      <c r="A14" s="109"/>
      <c r="B14" s="57" t="s">
        <v>266</v>
      </c>
      <c r="C14" s="18">
        <f>(16.171*4)*28</f>
        <v>1811.152</v>
      </c>
    </row>
    <row r="15" spans="1:3" ht="16.5" thickBot="1">
      <c r="A15" s="110"/>
      <c r="B15" s="57" t="s">
        <v>267</v>
      </c>
      <c r="C15" s="18">
        <f>(20.321*4)*28</f>
        <v>2275.9520000000002</v>
      </c>
    </row>
    <row r="16" spans="1:3" ht="31.5">
      <c r="A16" s="21" t="s">
        <v>32</v>
      </c>
      <c r="B16" s="58" t="s">
        <v>33</v>
      </c>
      <c r="C16" s="23">
        <f>SUM(C12:C15)*0.2359</f>
        <v>4130.0069831999999</v>
      </c>
    </row>
    <row r="17" spans="1:6" ht="15.75">
      <c r="A17" s="111" t="s">
        <v>27</v>
      </c>
      <c r="B17" s="112"/>
      <c r="C17" s="24">
        <f>SUM(C12:C16)</f>
        <v>21637.454983200001</v>
      </c>
    </row>
    <row r="18" spans="1:6" ht="16.5" thickBot="1">
      <c r="A18" s="113" t="s">
        <v>28</v>
      </c>
      <c r="B18" s="114"/>
      <c r="C18" s="115"/>
      <c r="F18" s="45">
        <f>C17+C20+C21</f>
        <v>30033.363540998722</v>
      </c>
    </row>
    <row r="19" spans="1:6" ht="15.75">
      <c r="A19" s="25"/>
      <c r="B19" s="26" t="s">
        <v>34</v>
      </c>
      <c r="C19" s="27">
        <v>2.4039999999999999E-4</v>
      </c>
      <c r="F19" s="45">
        <f>C22+C23+C24+C25+C26+C27+C28+C29+C30+C31+C32+C33</f>
        <v>7055.1861183999981</v>
      </c>
    </row>
    <row r="20" spans="1:6" ht="16.5" thickBot="1">
      <c r="A20" s="28" t="s">
        <v>35</v>
      </c>
      <c r="B20" s="29" t="s">
        <v>36</v>
      </c>
      <c r="C20" s="30">
        <f>1009234*$C$19*28</f>
        <v>6793.3559008000002</v>
      </c>
      <c r="F20" s="45">
        <f>C34+C35</f>
        <v>4869.8279951999994</v>
      </c>
    </row>
    <row r="21" spans="1:6" ht="32.25" thickBot="1">
      <c r="A21" s="31" t="s">
        <v>32</v>
      </c>
      <c r="B21" s="32" t="s">
        <v>33</v>
      </c>
      <c r="C21" s="33">
        <f>C20*0.2359</f>
        <v>1602.5526569987201</v>
      </c>
    </row>
    <row r="22" spans="1:6" ht="32.25" thickBot="1">
      <c r="A22" s="31" t="s">
        <v>37</v>
      </c>
      <c r="B22" s="32" t="s">
        <v>38</v>
      </c>
      <c r="C22" s="30">
        <f>93709*$C$19*28</f>
        <v>630.7740207999999</v>
      </c>
    </row>
    <row r="23" spans="1:6" ht="18" customHeight="1" thickBot="1">
      <c r="A23" s="31" t="s">
        <v>39</v>
      </c>
      <c r="B23" s="32" t="s">
        <v>40</v>
      </c>
      <c r="C23" s="30">
        <f>76039*$C$19*28</f>
        <v>511.83371680000005</v>
      </c>
    </row>
    <row r="24" spans="1:6" ht="16.5" customHeight="1" thickBot="1">
      <c r="A24" s="31" t="s">
        <v>41</v>
      </c>
      <c r="B24" s="32" t="s">
        <v>42</v>
      </c>
      <c r="C24" s="30">
        <f>84854*$C$19*28</f>
        <v>571.1692448</v>
      </c>
    </row>
    <row r="25" spans="1:6" ht="16.5" thickBot="1">
      <c r="A25" s="31" t="s">
        <v>43</v>
      </c>
      <c r="B25" s="32" t="s">
        <v>247</v>
      </c>
      <c r="C25" s="30">
        <f>127766*$C$19*28</f>
        <v>860.01849919999995</v>
      </c>
    </row>
    <row r="26" spans="1:6" ht="32.25" thickBot="1">
      <c r="A26" s="31" t="s">
        <v>45</v>
      </c>
      <c r="B26" s="32" t="s">
        <v>46</v>
      </c>
      <c r="C26" s="30">
        <f>170156*$C$19*28</f>
        <v>1145.3540671999999</v>
      </c>
    </row>
    <row r="27" spans="1:6" ht="32.25" thickBot="1">
      <c r="A27" s="31" t="s">
        <v>47</v>
      </c>
      <c r="B27" s="32" t="s">
        <v>48</v>
      </c>
      <c r="C27" s="30">
        <f>377637*$C$19*28</f>
        <v>2541.9501743999999</v>
      </c>
    </row>
    <row r="28" spans="1:6" ht="16.5" customHeight="1" thickBot="1">
      <c r="A28" s="31" t="s">
        <v>49</v>
      </c>
      <c r="B28" s="32" t="s">
        <v>50</v>
      </c>
      <c r="C28" s="30">
        <f>51508*$C$19*28</f>
        <v>346.71064960000001</v>
      </c>
    </row>
    <row r="29" spans="1:6" ht="18" customHeight="1" thickBot="1">
      <c r="A29" s="31" t="s">
        <v>51</v>
      </c>
      <c r="B29" s="32" t="s">
        <v>52</v>
      </c>
      <c r="C29" s="30">
        <f>27437*$C$19*28</f>
        <v>184.6839344</v>
      </c>
    </row>
    <row r="30" spans="1:6" ht="15.75" customHeight="1" thickBot="1">
      <c r="A30" s="31" t="s">
        <v>53</v>
      </c>
      <c r="B30" s="32" t="s">
        <v>54</v>
      </c>
      <c r="C30" s="30">
        <f>1110*$C$19*28</f>
        <v>7.4716319999999996</v>
      </c>
    </row>
    <row r="31" spans="1:6" ht="32.25" thickBot="1">
      <c r="A31" s="31" t="s">
        <v>55</v>
      </c>
      <c r="B31" s="32" t="s">
        <v>56</v>
      </c>
      <c r="C31" s="30">
        <f>13237*$C$19*28</f>
        <v>89.100894400000001</v>
      </c>
    </row>
    <row r="32" spans="1:6" ht="32.25" thickBot="1">
      <c r="A32" s="31" t="s">
        <v>57</v>
      </c>
      <c r="B32" s="32" t="s">
        <v>58</v>
      </c>
      <c r="C32" s="30">
        <f>8480*$C$19*28</f>
        <v>57.080576000000001</v>
      </c>
    </row>
    <row r="33" spans="1:3" ht="32.25" thickBot="1">
      <c r="A33" s="31" t="s">
        <v>59</v>
      </c>
      <c r="B33" s="32" t="s">
        <v>60</v>
      </c>
      <c r="C33" s="30">
        <f>16199*$C$19*28</f>
        <v>109.03870879999999</v>
      </c>
    </row>
    <row r="34" spans="1:3" ht="18" customHeight="1" thickBot="1">
      <c r="A34" s="31" t="s">
        <v>61</v>
      </c>
      <c r="B34" s="32" t="s">
        <v>62</v>
      </c>
      <c r="C34" s="30">
        <f>106687*$C$19*28</f>
        <v>718.13153439999996</v>
      </c>
    </row>
    <row r="35" spans="1:3" ht="32.25" thickBot="1">
      <c r="A35" s="31" t="s">
        <v>63</v>
      </c>
      <c r="B35" s="34" t="s">
        <v>64</v>
      </c>
      <c r="C35" s="30">
        <f>616784*$C$19*28</f>
        <v>4151.6964607999998</v>
      </c>
    </row>
    <row r="36" spans="1:3" ht="15.75">
      <c r="A36" s="116" t="s">
        <v>29</v>
      </c>
      <c r="B36" s="117"/>
      <c r="C36" s="35">
        <f>SUM(C20:C35)</f>
        <v>20320.922671398719</v>
      </c>
    </row>
    <row r="37" spans="1:3" ht="15.75">
      <c r="A37" s="118" t="s">
        <v>65</v>
      </c>
      <c r="B37" s="119"/>
      <c r="C37" s="36">
        <f>C36+C17</f>
        <v>41958.37765459872</v>
      </c>
    </row>
    <row r="38" spans="1:3" ht="15.75">
      <c r="A38" s="1"/>
      <c r="B38" s="1"/>
      <c r="C38" s="37"/>
    </row>
    <row r="39" spans="1:3" ht="15.75">
      <c r="A39" s="103" t="s">
        <v>66</v>
      </c>
      <c r="B39" s="104"/>
      <c r="C39" s="38">
        <v>28</v>
      </c>
    </row>
    <row r="40" spans="1:3" ht="15.75">
      <c r="A40" s="103" t="s">
        <v>67</v>
      </c>
      <c r="B40" s="104"/>
      <c r="C40" s="39">
        <f>C37/C39</f>
        <v>1498.5134876642401</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E045B-0A35-442D-AE45-1C7826ADE407}">
  <sheetPr>
    <tabColor theme="8" tint="0.79998168889431442"/>
  </sheetPr>
  <dimension ref="A1:F46"/>
  <sheetViews>
    <sheetView zoomScaleNormal="100" workbookViewId="0">
      <selection activeCell="B23" sqref="B23"/>
    </sheetView>
  </sheetViews>
  <sheetFormatPr defaultRowHeight="12.75"/>
  <cols>
    <col min="1" max="1" width="10.7109375" customWidth="1"/>
    <col min="2" max="2" width="98.7109375" customWidth="1"/>
    <col min="3" max="3" width="25.5703125" customWidth="1"/>
  </cols>
  <sheetData>
    <row r="1" spans="1:3" ht="63.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3.150000000000006" customHeight="1">
      <c r="A6" s="102" t="s">
        <v>268</v>
      </c>
      <c r="B6" s="102"/>
      <c r="C6" s="102"/>
    </row>
    <row r="7" spans="1:3" ht="15.75">
      <c r="A7" s="101" t="s">
        <v>94</v>
      </c>
      <c r="B7" s="101"/>
      <c r="C7" s="101"/>
    </row>
    <row r="8" spans="1:3" ht="15.75">
      <c r="A8" s="98" t="s">
        <v>141</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55" t="s">
        <v>269</v>
      </c>
      <c r="C12" s="18">
        <f>(9.05*6)*5</f>
        <v>271.5</v>
      </c>
    </row>
    <row r="13" spans="1:3" ht="15.75">
      <c r="A13" s="109"/>
      <c r="B13" s="56" t="s">
        <v>270</v>
      </c>
      <c r="C13" s="18">
        <f>(13.564*8*2)*5</f>
        <v>1085.1199999999999</v>
      </c>
    </row>
    <row r="14" spans="1:3" ht="16.5" thickBot="1">
      <c r="A14" s="110"/>
      <c r="B14" s="57" t="s">
        <v>266</v>
      </c>
      <c r="C14" s="18">
        <f>(16.171*4)*5</f>
        <v>323.41999999999996</v>
      </c>
    </row>
    <row r="15" spans="1:3" ht="16.5" thickBot="1">
      <c r="A15" s="59"/>
      <c r="B15" s="57" t="s">
        <v>267</v>
      </c>
      <c r="C15" s="18">
        <f>(20.321*4)*5</f>
        <v>406.42</v>
      </c>
    </row>
    <row r="16" spans="1:3" ht="31.5">
      <c r="A16" s="21" t="s">
        <v>32</v>
      </c>
      <c r="B16" s="58" t="s">
        <v>33</v>
      </c>
      <c r="C16" s="23">
        <f>SUM(C12:C15)*0.2359</f>
        <v>492.19591400000002</v>
      </c>
    </row>
    <row r="17" spans="1:6" ht="15.75">
      <c r="A17" s="111" t="s">
        <v>27</v>
      </c>
      <c r="B17" s="112"/>
      <c r="C17" s="24">
        <f>SUM(C12:C16)</f>
        <v>2578.6559139999999</v>
      </c>
      <c r="F17" s="45">
        <f>C17+C20+C21</f>
        <v>3579.2498415413202</v>
      </c>
    </row>
    <row r="18" spans="1:6" ht="16.5" thickBot="1">
      <c r="A18" s="113" t="s">
        <v>28</v>
      </c>
      <c r="B18" s="114"/>
      <c r="C18" s="115"/>
      <c r="F18" s="45">
        <f>C22+C23+C24+C25+C26+C27+C28+C29+C30+C31+C32+C33</f>
        <v>840.81149039999991</v>
      </c>
    </row>
    <row r="19" spans="1:6" ht="15.75">
      <c r="A19" s="25"/>
      <c r="B19" s="26" t="s">
        <v>34</v>
      </c>
      <c r="C19" s="27">
        <v>1.6044E-4</v>
      </c>
      <c r="F19" s="45">
        <f>C34+C35</f>
        <v>580.36843620000002</v>
      </c>
    </row>
    <row r="20" spans="1:6" ht="16.5" thickBot="1">
      <c r="A20" s="28" t="s">
        <v>35</v>
      </c>
      <c r="B20" s="29" t="s">
        <v>36</v>
      </c>
      <c r="C20" s="30">
        <f>1009234*$C$19*5</f>
        <v>809.60751479999999</v>
      </c>
    </row>
    <row r="21" spans="1:6" ht="32.25" thickBot="1">
      <c r="A21" s="31" t="s">
        <v>32</v>
      </c>
      <c r="B21" s="32" t="s">
        <v>33</v>
      </c>
      <c r="C21" s="33">
        <f>C20*0.2359</f>
        <v>190.98641274132001</v>
      </c>
    </row>
    <row r="22" spans="1:6" ht="32.25" thickBot="1">
      <c r="A22" s="31" t="s">
        <v>37</v>
      </c>
      <c r="B22" s="32" t="s">
        <v>38</v>
      </c>
      <c r="C22" s="30">
        <f>93709*$C$19*5</f>
        <v>75.1733598</v>
      </c>
    </row>
    <row r="23" spans="1:6" ht="18.75" customHeight="1" thickBot="1">
      <c r="A23" s="31" t="s">
        <v>39</v>
      </c>
      <c r="B23" s="32" t="s">
        <v>40</v>
      </c>
      <c r="C23" s="30">
        <f>76039*$C$19*5</f>
        <v>60.998485799999997</v>
      </c>
    </row>
    <row r="24" spans="1:6" ht="18" customHeight="1" thickBot="1">
      <c r="A24" s="31" t="s">
        <v>41</v>
      </c>
      <c r="B24" s="32" t="s">
        <v>42</v>
      </c>
      <c r="C24" s="30">
        <f>84854*$C$19*5</f>
        <v>68.069878799999998</v>
      </c>
    </row>
    <row r="25" spans="1:6" ht="16.5" thickBot="1">
      <c r="A25" s="31" t="s">
        <v>43</v>
      </c>
      <c r="B25" s="32" t="s">
        <v>247</v>
      </c>
      <c r="C25" s="30">
        <f>127766*$C$19*5</f>
        <v>102.49388519999999</v>
      </c>
    </row>
    <row r="26" spans="1:6" ht="32.25" thickBot="1">
      <c r="A26" s="31" t="s">
        <v>45</v>
      </c>
      <c r="B26" s="32" t="s">
        <v>46</v>
      </c>
      <c r="C26" s="30">
        <f>170156*$C$19*5</f>
        <v>136.49914319999999</v>
      </c>
    </row>
    <row r="27" spans="1:6" ht="32.25" thickBot="1">
      <c r="A27" s="31" t="s">
        <v>47</v>
      </c>
      <c r="B27" s="32" t="s">
        <v>48</v>
      </c>
      <c r="C27" s="30">
        <f>377637*$C$19*5</f>
        <v>302.94040139999998</v>
      </c>
    </row>
    <row r="28" spans="1:6" ht="18.75" customHeight="1" thickBot="1">
      <c r="A28" s="31" t="s">
        <v>49</v>
      </c>
      <c r="B28" s="32" t="s">
        <v>50</v>
      </c>
      <c r="C28" s="30">
        <f>51508*$C$19*5</f>
        <v>41.319717599999997</v>
      </c>
    </row>
    <row r="29" spans="1:6" ht="19.5" customHeight="1" thickBot="1">
      <c r="A29" s="31" t="s">
        <v>51</v>
      </c>
      <c r="B29" s="32" t="s">
        <v>52</v>
      </c>
      <c r="C29" s="30">
        <f>27437*$C$19*5</f>
        <v>22.009961400000002</v>
      </c>
    </row>
    <row r="30" spans="1:6" ht="18.75" customHeight="1" thickBot="1">
      <c r="A30" s="31" t="s">
        <v>53</v>
      </c>
      <c r="B30" s="32" t="s">
        <v>54</v>
      </c>
      <c r="C30" s="30">
        <f>1110*$C$19*5</f>
        <v>0.89044200000000007</v>
      </c>
    </row>
    <row r="31" spans="1:6" ht="32.25" thickBot="1">
      <c r="A31" s="31" t="s">
        <v>55</v>
      </c>
      <c r="B31" s="32" t="s">
        <v>56</v>
      </c>
      <c r="C31" s="30">
        <f>13237*$C$19*5</f>
        <v>10.6187214</v>
      </c>
    </row>
    <row r="32" spans="1:6" ht="32.25" thickBot="1">
      <c r="A32" s="31" t="s">
        <v>57</v>
      </c>
      <c r="B32" s="32" t="s">
        <v>58</v>
      </c>
      <c r="C32" s="30">
        <f>8480*$C$19*5</f>
        <v>6.8026560000000007</v>
      </c>
    </row>
    <row r="33" spans="1:3" ht="32.25" thickBot="1">
      <c r="A33" s="31" t="s">
        <v>59</v>
      </c>
      <c r="B33" s="32" t="s">
        <v>60</v>
      </c>
      <c r="C33" s="30">
        <f>16199*$C$19*5</f>
        <v>12.994837800000001</v>
      </c>
    </row>
    <row r="34" spans="1:3" ht="17.25" customHeight="1" thickBot="1">
      <c r="A34" s="31" t="s">
        <v>61</v>
      </c>
      <c r="B34" s="32" t="s">
        <v>62</v>
      </c>
      <c r="C34" s="30">
        <f>106687*$C$19*5</f>
        <v>85.58431139999999</v>
      </c>
    </row>
    <row r="35" spans="1:3" ht="32.25" thickBot="1">
      <c r="A35" s="31" t="s">
        <v>63</v>
      </c>
      <c r="B35" s="34" t="s">
        <v>64</v>
      </c>
      <c r="C35" s="30">
        <f>616784*$C$19*5</f>
        <v>494.78412480000003</v>
      </c>
    </row>
    <row r="36" spans="1:3" ht="15.75">
      <c r="A36" s="116" t="s">
        <v>29</v>
      </c>
      <c r="B36" s="117"/>
      <c r="C36" s="35">
        <f>SUM(C20:C35)</f>
        <v>2421.77385414132</v>
      </c>
    </row>
    <row r="37" spans="1:3" ht="15.75">
      <c r="A37" s="118" t="s">
        <v>65</v>
      </c>
      <c r="B37" s="119"/>
      <c r="C37" s="36">
        <f>C36+C17</f>
        <v>5000.42976814132</v>
      </c>
    </row>
    <row r="38" spans="1:3" ht="15.75">
      <c r="A38" s="1"/>
      <c r="B38" s="1"/>
      <c r="C38" s="37"/>
    </row>
    <row r="39" spans="1:3" ht="15.75">
      <c r="A39" s="103" t="s">
        <v>66</v>
      </c>
      <c r="B39" s="104"/>
      <c r="C39" s="38">
        <v>5</v>
      </c>
    </row>
    <row r="40" spans="1:3" ht="15.75">
      <c r="A40" s="103" t="s">
        <v>67</v>
      </c>
      <c r="B40" s="104"/>
      <c r="C40" s="39">
        <f>ROUND(C37/C39,2)</f>
        <v>1000.09</v>
      </c>
    </row>
    <row r="46" spans="1:3">
      <c r="C46" s="45"/>
    </row>
  </sheetData>
  <mergeCells count="14">
    <mergeCell ref="A39:B39"/>
    <mergeCell ref="A40:B40"/>
    <mergeCell ref="A11:C11"/>
    <mergeCell ref="A12:A14"/>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E761F-5C70-4071-81D3-8DE5CB424547}">
  <sheetPr>
    <tabColor theme="8" tint="0.79998168889431442"/>
  </sheetPr>
  <dimension ref="A1:F40"/>
  <sheetViews>
    <sheetView zoomScaleNormal="100" workbookViewId="0">
      <selection activeCell="J10" sqref="J10"/>
    </sheetView>
  </sheetViews>
  <sheetFormatPr defaultRowHeight="12.75"/>
  <cols>
    <col min="1" max="1" width="10.7109375" customWidth="1"/>
    <col min="2" max="2" width="98.7109375" customWidth="1"/>
    <col min="3" max="3" width="25.5703125" customWidth="1"/>
  </cols>
  <sheetData>
    <row r="1" spans="1:3" ht="64.15000000000000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67.150000000000006" customHeight="1">
      <c r="A6" s="102" t="s">
        <v>271</v>
      </c>
      <c r="B6" s="102"/>
      <c r="C6" s="102"/>
    </row>
    <row r="7" spans="1:3" ht="15.75">
      <c r="A7" s="101" t="s">
        <v>94</v>
      </c>
      <c r="B7" s="101"/>
      <c r="C7" s="101"/>
    </row>
    <row r="8" spans="1:3" ht="15.75">
      <c r="A8" s="98" t="s">
        <v>102</v>
      </c>
      <c r="B8" s="98"/>
      <c r="C8" s="40"/>
    </row>
    <row r="9" spans="1:3" ht="15.75">
      <c r="A9" s="43"/>
      <c r="B9" s="43"/>
      <c r="C9" s="40"/>
    </row>
    <row r="10" spans="1:3" ht="63">
      <c r="A10" s="14" t="s">
        <v>24</v>
      </c>
      <c r="B10" s="15" t="s">
        <v>25</v>
      </c>
      <c r="C10" s="16" t="s">
        <v>30</v>
      </c>
    </row>
    <row r="11" spans="1:3" ht="26.25" customHeight="1" thickBot="1">
      <c r="A11" s="105" t="s">
        <v>26</v>
      </c>
      <c r="B11" s="106"/>
      <c r="C11" s="107"/>
    </row>
    <row r="12" spans="1:3" ht="18" customHeight="1">
      <c r="A12" s="108" t="s">
        <v>31</v>
      </c>
      <c r="B12" s="55" t="s">
        <v>272</v>
      </c>
      <c r="C12" s="18">
        <f>(9.05*1)*1</f>
        <v>9.0500000000000007</v>
      </c>
    </row>
    <row r="13" spans="1:3" ht="15.75">
      <c r="A13" s="109"/>
      <c r="B13" s="56" t="s">
        <v>273</v>
      </c>
      <c r="C13" s="18">
        <f>(13.564*12)*1</f>
        <v>162.768</v>
      </c>
    </row>
    <row r="14" spans="1:3" ht="16.5" thickBot="1">
      <c r="A14" s="109"/>
      <c r="B14" s="57" t="s">
        <v>274</v>
      </c>
      <c r="C14" s="18">
        <f>(16.171*1)*1</f>
        <v>16.170999999999999</v>
      </c>
    </row>
    <row r="15" spans="1:3" ht="16.5" thickBot="1">
      <c r="A15" s="110"/>
      <c r="B15" s="57" t="s">
        <v>275</v>
      </c>
      <c r="C15" s="18">
        <f>(20.321*1)*1</f>
        <v>20.321000000000002</v>
      </c>
    </row>
    <row r="16" spans="1:3" ht="31.5">
      <c r="A16" s="21" t="s">
        <v>32</v>
      </c>
      <c r="B16" s="58" t="s">
        <v>33</v>
      </c>
      <c r="C16" s="23">
        <f>SUM(C12:C15)*0.2359</f>
        <v>49.140329000000001</v>
      </c>
    </row>
    <row r="17" spans="1:6" ht="15.75">
      <c r="A17" s="111" t="s">
        <v>27</v>
      </c>
      <c r="B17" s="112"/>
      <c r="C17" s="24">
        <f>SUM(C12:C16)</f>
        <v>257.45032900000001</v>
      </c>
    </row>
    <row r="18" spans="1:6" ht="16.5" thickBot="1">
      <c r="A18" s="113" t="s">
        <v>28</v>
      </c>
      <c r="B18" s="114"/>
      <c r="C18" s="115"/>
      <c r="F18" s="45">
        <f>C17+C20+C21</f>
        <v>357.34757115505397</v>
      </c>
    </row>
    <row r="19" spans="1:6" ht="15.75">
      <c r="A19" s="25"/>
      <c r="B19" s="26" t="s">
        <v>34</v>
      </c>
      <c r="C19" s="27">
        <v>8.0090000000000001E-5</v>
      </c>
      <c r="F19" s="45">
        <f>C22+C23+C24+C25+C26+C27+C28+C29+C30+C31+C32+C33</f>
        <v>83.94489188</v>
      </c>
    </row>
    <row r="20" spans="1:6" ht="16.5" thickBot="1">
      <c r="A20" s="28" t="s">
        <v>35</v>
      </c>
      <c r="B20" s="29" t="s">
        <v>36</v>
      </c>
      <c r="C20" s="30">
        <f>1009234*$C$19*1</f>
        <v>80.82955106</v>
      </c>
      <c r="E20" s="45"/>
      <c r="F20" s="45">
        <f>C34+C35</f>
        <v>57.942792390000001</v>
      </c>
    </row>
    <row r="21" spans="1:6" ht="32.25" thickBot="1">
      <c r="A21" s="31" t="s">
        <v>32</v>
      </c>
      <c r="B21" s="32" t="s">
        <v>33</v>
      </c>
      <c r="C21" s="33">
        <f>C20*0.2359</f>
        <v>19.067691095053998</v>
      </c>
    </row>
    <row r="22" spans="1:6" ht="32.25" thickBot="1">
      <c r="A22" s="31" t="s">
        <v>37</v>
      </c>
      <c r="B22" s="32" t="s">
        <v>38</v>
      </c>
      <c r="C22" s="30">
        <f>93709*$C$19*1</f>
        <v>7.5051538100000004</v>
      </c>
    </row>
    <row r="23" spans="1:6" ht="18.75" customHeight="1" thickBot="1">
      <c r="A23" s="31" t="s">
        <v>39</v>
      </c>
      <c r="B23" s="32" t="s">
        <v>40</v>
      </c>
      <c r="C23" s="30">
        <f>76039*$C$19*1</f>
        <v>6.0899635100000005</v>
      </c>
    </row>
    <row r="24" spans="1:6" ht="17.25" customHeight="1" thickBot="1">
      <c r="A24" s="31" t="s">
        <v>41</v>
      </c>
      <c r="B24" s="32" t="s">
        <v>42</v>
      </c>
      <c r="C24" s="30">
        <f>84854*$C$19*1</f>
        <v>6.7959568600000004</v>
      </c>
    </row>
    <row r="25" spans="1:6" ht="16.5" thickBot="1">
      <c r="A25" s="31" t="s">
        <v>43</v>
      </c>
      <c r="B25" s="32" t="s">
        <v>247</v>
      </c>
      <c r="C25" s="30">
        <f>127766*$C$19*1</f>
        <v>10.232778939999999</v>
      </c>
    </row>
    <row r="26" spans="1:6" ht="32.25" thickBot="1">
      <c r="A26" s="31" t="s">
        <v>45</v>
      </c>
      <c r="B26" s="32" t="s">
        <v>46</v>
      </c>
      <c r="C26" s="30">
        <f>170156*$C$19*1</f>
        <v>13.627794039999999</v>
      </c>
    </row>
    <row r="27" spans="1:6" ht="32.25" thickBot="1">
      <c r="A27" s="31" t="s">
        <v>47</v>
      </c>
      <c r="B27" s="32" t="s">
        <v>48</v>
      </c>
      <c r="C27" s="30">
        <f>377637*$C$19*1</f>
        <v>30.244947329999999</v>
      </c>
    </row>
    <row r="28" spans="1:6" ht="18" customHeight="1" thickBot="1">
      <c r="A28" s="31" t="s">
        <v>49</v>
      </c>
      <c r="B28" s="32" t="s">
        <v>50</v>
      </c>
      <c r="C28" s="30">
        <f>51508*$C$19*1</f>
        <v>4.1252757200000003</v>
      </c>
    </row>
    <row r="29" spans="1:6" ht="19.5" customHeight="1" thickBot="1">
      <c r="A29" s="31" t="s">
        <v>51</v>
      </c>
      <c r="B29" s="32" t="s">
        <v>52</v>
      </c>
      <c r="C29" s="30">
        <f>27437*$C$19*1</f>
        <v>2.1974293299999998</v>
      </c>
    </row>
    <row r="30" spans="1:6" ht="20.25" customHeight="1" thickBot="1">
      <c r="A30" s="31" t="s">
        <v>53</v>
      </c>
      <c r="B30" s="32" t="s">
        <v>54</v>
      </c>
      <c r="C30" s="30">
        <f>1110*$C$19*1</f>
        <v>8.8899900000000004E-2</v>
      </c>
    </row>
    <row r="31" spans="1:6" ht="32.25" thickBot="1">
      <c r="A31" s="31" t="s">
        <v>55</v>
      </c>
      <c r="B31" s="32" t="s">
        <v>56</v>
      </c>
      <c r="C31" s="30">
        <f>13237*$C$19*1</f>
        <v>1.0601513300000001</v>
      </c>
    </row>
    <row r="32" spans="1:6" ht="32.25" thickBot="1">
      <c r="A32" s="31" t="s">
        <v>57</v>
      </c>
      <c r="B32" s="32" t="s">
        <v>58</v>
      </c>
      <c r="C32" s="30">
        <f>8480*$C$19*1</f>
        <v>0.67916319999999997</v>
      </c>
    </row>
    <row r="33" spans="1:3" ht="32.25" thickBot="1">
      <c r="A33" s="31" t="s">
        <v>59</v>
      </c>
      <c r="B33" s="32" t="s">
        <v>60</v>
      </c>
      <c r="C33" s="30">
        <f>16199*$C$19*1</f>
        <v>1.29737791</v>
      </c>
    </row>
    <row r="34" spans="1:3" ht="19.5" customHeight="1" thickBot="1">
      <c r="A34" s="31" t="s">
        <v>61</v>
      </c>
      <c r="B34" s="32" t="s">
        <v>62</v>
      </c>
      <c r="C34" s="30">
        <f>106687*$C$19*1</f>
        <v>8.5445618299999992</v>
      </c>
    </row>
    <row r="35" spans="1:3" ht="32.25" thickBot="1">
      <c r="A35" s="31" t="s">
        <v>63</v>
      </c>
      <c r="B35" s="34" t="s">
        <v>64</v>
      </c>
      <c r="C35" s="30">
        <f>616784*$C$19*1</f>
        <v>49.398230560000002</v>
      </c>
    </row>
    <row r="36" spans="1:3" ht="15.75">
      <c r="A36" s="116" t="s">
        <v>29</v>
      </c>
      <c r="B36" s="117"/>
      <c r="C36" s="35">
        <f>SUM(C20:C35)</f>
        <v>241.78492642505398</v>
      </c>
    </row>
    <row r="37" spans="1:3" ht="15.75" customHeight="1">
      <c r="A37" s="118" t="s">
        <v>65</v>
      </c>
      <c r="B37" s="119"/>
      <c r="C37" s="36">
        <f>C36+C17</f>
        <v>499.23525542505399</v>
      </c>
    </row>
    <row r="38" spans="1:3" ht="15.75">
      <c r="A38" s="1"/>
      <c r="B38" s="1"/>
      <c r="C38" s="37"/>
    </row>
    <row r="39" spans="1:3" ht="15.75" customHeight="1">
      <c r="A39" s="103" t="s">
        <v>66</v>
      </c>
      <c r="B39" s="104"/>
      <c r="C39" s="38">
        <v>1</v>
      </c>
    </row>
    <row r="40" spans="1:3" ht="15.75" customHeight="1">
      <c r="A40" s="103" t="s">
        <v>67</v>
      </c>
      <c r="B40" s="104"/>
      <c r="C40" s="39">
        <f>ROUND(C37/C39,2)</f>
        <v>499.24</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10F27-95E2-4398-B036-3C8A9382319E}">
  <sheetPr>
    <tabColor theme="8" tint="0.79998168889431442"/>
  </sheetPr>
  <dimension ref="A1:F40"/>
  <sheetViews>
    <sheetView zoomScaleNormal="100" workbookViewId="0">
      <selection activeCell="J10" sqref="J10"/>
    </sheetView>
  </sheetViews>
  <sheetFormatPr defaultRowHeight="12.75"/>
  <cols>
    <col min="1" max="1" width="10.7109375" customWidth="1"/>
    <col min="2" max="2" width="98.7109375" customWidth="1"/>
    <col min="3" max="3" width="25.5703125" customWidth="1"/>
  </cols>
  <sheetData>
    <row r="1" spans="1:3" ht="67.15000000000000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6.150000000000006" customHeight="1">
      <c r="A6" s="102" t="s">
        <v>276</v>
      </c>
      <c r="B6" s="102"/>
      <c r="C6" s="102"/>
    </row>
    <row r="7" spans="1:3" ht="15.75">
      <c r="A7" s="101" t="s">
        <v>94</v>
      </c>
      <c r="B7" s="101"/>
      <c r="C7" s="101"/>
    </row>
    <row r="8" spans="1:3" ht="15.75">
      <c r="A8" s="98" t="s">
        <v>102</v>
      </c>
      <c r="B8" s="98"/>
      <c r="C8" s="40"/>
    </row>
    <row r="9" spans="1:3" ht="15.75">
      <c r="A9" s="43"/>
      <c r="B9" s="43"/>
      <c r="C9" s="40"/>
    </row>
    <row r="10" spans="1:3" ht="63">
      <c r="A10" s="14" t="s">
        <v>24</v>
      </c>
      <c r="B10" s="15" t="s">
        <v>25</v>
      </c>
      <c r="C10" s="16" t="s">
        <v>30</v>
      </c>
    </row>
    <row r="11" spans="1:3" ht="26.25" customHeight="1" thickBot="1">
      <c r="A11" s="105" t="s">
        <v>26</v>
      </c>
      <c r="B11" s="106"/>
      <c r="C11" s="107"/>
    </row>
    <row r="12" spans="1:3" ht="15.75" customHeight="1">
      <c r="A12" s="108" t="s">
        <v>31</v>
      </c>
      <c r="B12" s="55" t="s">
        <v>272</v>
      </c>
      <c r="C12" s="18">
        <f>(9.05*1)*1</f>
        <v>9.0500000000000007</v>
      </c>
    </row>
    <row r="13" spans="1:3" ht="15.75">
      <c r="A13" s="109"/>
      <c r="B13" s="56" t="s">
        <v>265</v>
      </c>
      <c r="C13" s="18">
        <f>(13.564*16*2)*1</f>
        <v>434.048</v>
      </c>
    </row>
    <row r="14" spans="1:3" ht="16.5" thickBot="1">
      <c r="A14" s="109"/>
      <c r="B14" s="57" t="s">
        <v>277</v>
      </c>
      <c r="C14" s="18">
        <f>(16.171*5)*1</f>
        <v>80.85499999999999</v>
      </c>
    </row>
    <row r="15" spans="1:3" ht="16.5" thickBot="1">
      <c r="A15" s="110"/>
      <c r="B15" s="57" t="s">
        <v>278</v>
      </c>
      <c r="C15" s="18">
        <f>(20.321*5)*1</f>
        <v>101.605</v>
      </c>
    </row>
    <row r="16" spans="1:3" ht="31.5">
      <c r="A16" s="21" t="s">
        <v>32</v>
      </c>
      <c r="B16" s="58" t="s">
        <v>33</v>
      </c>
      <c r="C16" s="23">
        <f>SUM(C12:C15)*0.2359</f>
        <v>147.56913219999998</v>
      </c>
    </row>
    <row r="17" spans="1:6" ht="15.75">
      <c r="A17" s="111" t="s">
        <v>27</v>
      </c>
      <c r="B17" s="112"/>
      <c r="C17" s="24">
        <f>SUM(C12:C16)</f>
        <v>773.12713220000001</v>
      </c>
    </row>
    <row r="18" spans="1:6" ht="16.5" thickBot="1">
      <c r="A18" s="113" t="s">
        <v>28</v>
      </c>
      <c r="B18" s="114"/>
      <c r="C18" s="115"/>
    </row>
    <row r="19" spans="1:6" ht="15.75">
      <c r="A19" s="25"/>
      <c r="B19" s="26" t="s">
        <v>34</v>
      </c>
      <c r="C19" s="27">
        <v>2.4051000000000001E-4</v>
      </c>
      <c r="F19" s="45">
        <f>C17+C20+C21</f>
        <v>1073.1182136173061</v>
      </c>
    </row>
    <row r="20" spans="1:6" ht="16.5" thickBot="1">
      <c r="A20" s="28" t="s">
        <v>35</v>
      </c>
      <c r="B20" s="29" t="s">
        <v>36</v>
      </c>
      <c r="C20" s="30">
        <f>1009234*$C$19*1</f>
        <v>242.73086934000003</v>
      </c>
      <c r="F20" s="45">
        <f>C22+C23+C24+C25+C26+C27+C28+C29+C30+C31+C32+C33</f>
        <v>252.08622732000001</v>
      </c>
    </row>
    <row r="21" spans="1:6" ht="32.25" thickBot="1">
      <c r="A21" s="31" t="s">
        <v>32</v>
      </c>
      <c r="B21" s="32" t="s">
        <v>33</v>
      </c>
      <c r="C21" s="33">
        <f>C20*0.2359</f>
        <v>57.260212077306008</v>
      </c>
      <c r="F21" s="45">
        <f>C34+C35</f>
        <v>174.00201021000001</v>
      </c>
    </row>
    <row r="22" spans="1:6" ht="32.25" thickBot="1">
      <c r="A22" s="31" t="s">
        <v>37</v>
      </c>
      <c r="B22" s="32" t="s">
        <v>38</v>
      </c>
      <c r="C22" s="30">
        <f>93709*$C$19*1</f>
        <v>22.537951590000002</v>
      </c>
    </row>
    <row r="23" spans="1:6" ht="19.5" customHeight="1" thickBot="1">
      <c r="A23" s="31" t="s">
        <v>39</v>
      </c>
      <c r="B23" s="32" t="s">
        <v>40</v>
      </c>
      <c r="C23" s="30">
        <f>76039*$C$19*1</f>
        <v>18.28813989</v>
      </c>
    </row>
    <row r="24" spans="1:6" ht="18.75" customHeight="1" thickBot="1">
      <c r="A24" s="31" t="s">
        <v>41</v>
      </c>
      <c r="B24" s="32" t="s">
        <v>42</v>
      </c>
      <c r="C24" s="30">
        <f>84854*$C$19*1</f>
        <v>20.40823554</v>
      </c>
    </row>
    <row r="25" spans="1:6" ht="16.5" thickBot="1">
      <c r="A25" s="31" t="s">
        <v>43</v>
      </c>
      <c r="B25" s="32" t="s">
        <v>247</v>
      </c>
      <c r="C25" s="30">
        <f>127766*$C$19*1</f>
        <v>30.729000660000001</v>
      </c>
    </row>
    <row r="26" spans="1:6" ht="32.25" thickBot="1">
      <c r="A26" s="31" t="s">
        <v>45</v>
      </c>
      <c r="B26" s="32" t="s">
        <v>46</v>
      </c>
      <c r="C26" s="30">
        <f>170156*$C$19*1</f>
        <v>40.924219560000004</v>
      </c>
    </row>
    <row r="27" spans="1:6" ht="32.25" thickBot="1">
      <c r="A27" s="31" t="s">
        <v>47</v>
      </c>
      <c r="B27" s="32" t="s">
        <v>48</v>
      </c>
      <c r="C27" s="30">
        <f>377637*$C$19*1</f>
        <v>90.825474870000008</v>
      </c>
    </row>
    <row r="28" spans="1:6" ht="21" customHeight="1" thickBot="1">
      <c r="A28" s="31" t="s">
        <v>49</v>
      </c>
      <c r="B28" s="32" t="s">
        <v>50</v>
      </c>
      <c r="C28" s="30">
        <f>51508*$C$19*1</f>
        <v>12.38818908</v>
      </c>
    </row>
    <row r="29" spans="1:6" ht="17.25" customHeight="1" thickBot="1">
      <c r="A29" s="31" t="s">
        <v>51</v>
      </c>
      <c r="B29" s="32" t="s">
        <v>52</v>
      </c>
      <c r="C29" s="30">
        <f>27437*$C$19*1</f>
        <v>6.5988728700000001</v>
      </c>
    </row>
    <row r="30" spans="1:6" ht="19.5" customHeight="1" thickBot="1">
      <c r="A30" s="31" t="s">
        <v>53</v>
      </c>
      <c r="B30" s="32" t="s">
        <v>54</v>
      </c>
      <c r="C30" s="30">
        <f>1110*$C$19*1</f>
        <v>0.26696610000000004</v>
      </c>
    </row>
    <row r="31" spans="1:6" ht="32.25" thickBot="1">
      <c r="A31" s="31" t="s">
        <v>55</v>
      </c>
      <c r="B31" s="32" t="s">
        <v>56</v>
      </c>
      <c r="C31" s="30">
        <f>13237*$C$19*1</f>
        <v>3.18363087</v>
      </c>
    </row>
    <row r="32" spans="1:6" ht="32.25" thickBot="1">
      <c r="A32" s="31" t="s">
        <v>57</v>
      </c>
      <c r="B32" s="32" t="s">
        <v>58</v>
      </c>
      <c r="C32" s="30">
        <f>8480*$C$19*1</f>
        <v>2.0395248000000001</v>
      </c>
    </row>
    <row r="33" spans="1:3" ht="32.25" thickBot="1">
      <c r="A33" s="31" t="s">
        <v>59</v>
      </c>
      <c r="B33" s="32" t="s">
        <v>60</v>
      </c>
      <c r="C33" s="30">
        <f>16199*$C$19*1</f>
        <v>3.8960214900000003</v>
      </c>
    </row>
    <row r="34" spans="1:3" ht="19.5" customHeight="1" thickBot="1">
      <c r="A34" s="31" t="s">
        <v>61</v>
      </c>
      <c r="B34" s="32" t="s">
        <v>62</v>
      </c>
      <c r="C34" s="30">
        <f>106687*$C$19*1</f>
        <v>25.659290370000001</v>
      </c>
    </row>
    <row r="35" spans="1:3" ht="32.25" thickBot="1">
      <c r="A35" s="31" t="s">
        <v>63</v>
      </c>
      <c r="B35" s="34" t="s">
        <v>64</v>
      </c>
      <c r="C35" s="30">
        <f>616784*$C$19*1</f>
        <v>148.34271984</v>
      </c>
    </row>
    <row r="36" spans="1:3" ht="15.75">
      <c r="A36" s="116" t="s">
        <v>29</v>
      </c>
      <c r="B36" s="117"/>
      <c r="C36" s="35">
        <f>SUM(C20:C35)</f>
        <v>726.07931894730598</v>
      </c>
    </row>
    <row r="37" spans="1:3" ht="15.75" customHeight="1">
      <c r="A37" s="118" t="s">
        <v>65</v>
      </c>
      <c r="B37" s="119"/>
      <c r="C37" s="36">
        <f>C36+C17</f>
        <v>1499.2064511473059</v>
      </c>
    </row>
    <row r="38" spans="1:3" ht="15.75">
      <c r="A38" s="1"/>
      <c r="B38" s="1"/>
      <c r="C38" s="37"/>
    </row>
    <row r="39" spans="1:3" ht="15.75" customHeight="1">
      <c r="A39" s="103" t="s">
        <v>66</v>
      </c>
      <c r="B39" s="104"/>
      <c r="C39" s="38">
        <v>1</v>
      </c>
    </row>
    <row r="40" spans="1:3" ht="15.75" customHeight="1">
      <c r="A40" s="103" t="s">
        <v>67</v>
      </c>
      <c r="B40" s="104"/>
      <c r="C40" s="39">
        <f>ROUND(C37/C39,2)</f>
        <v>1499.21</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8F50A-BF26-44CE-8E06-A8D0D80F6072}">
  <sheetPr>
    <tabColor theme="8" tint="0.79998168889431442"/>
  </sheetPr>
  <dimension ref="A1:F40"/>
  <sheetViews>
    <sheetView zoomScaleNormal="100" workbookViewId="0">
      <selection activeCell="P13" sqref="P13"/>
    </sheetView>
  </sheetViews>
  <sheetFormatPr defaultRowHeight="12.75"/>
  <cols>
    <col min="1" max="1" width="10.7109375" customWidth="1"/>
    <col min="2" max="2" width="98.7109375" customWidth="1"/>
    <col min="3" max="3" width="25.5703125" customWidth="1"/>
  </cols>
  <sheetData>
    <row r="1" spans="1:3" ht="63.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0.150000000000006" customHeight="1">
      <c r="A6" s="102" t="s">
        <v>279</v>
      </c>
      <c r="B6" s="102"/>
      <c r="C6" s="102"/>
    </row>
    <row r="7" spans="1:3" ht="15.75">
      <c r="A7" s="101" t="s">
        <v>94</v>
      </c>
      <c r="B7" s="101"/>
      <c r="C7" s="101"/>
    </row>
    <row r="8" spans="1:3" ht="15.75">
      <c r="A8" s="98" t="s">
        <v>102</v>
      </c>
      <c r="B8" s="98"/>
      <c r="C8" s="40"/>
    </row>
    <row r="9" spans="1:3" ht="15.75">
      <c r="A9" s="43"/>
      <c r="B9" s="43"/>
      <c r="C9" s="40"/>
    </row>
    <row r="10" spans="1:3" ht="63">
      <c r="A10" s="14" t="s">
        <v>24</v>
      </c>
      <c r="B10" s="15" t="s">
        <v>25</v>
      </c>
      <c r="C10" s="16" t="s">
        <v>30</v>
      </c>
    </row>
    <row r="11" spans="1:3" ht="26.25" customHeight="1" thickBot="1">
      <c r="A11" s="105" t="s">
        <v>26</v>
      </c>
      <c r="B11" s="106"/>
      <c r="C11" s="107"/>
    </row>
    <row r="12" spans="1:3" ht="16.5" customHeight="1">
      <c r="A12" s="108" t="s">
        <v>31</v>
      </c>
      <c r="B12" s="55" t="s">
        <v>272</v>
      </c>
      <c r="C12" s="18">
        <f>(9.05*1)*1</f>
        <v>9.0500000000000007</v>
      </c>
    </row>
    <row r="13" spans="1:3" ht="15.75">
      <c r="A13" s="109"/>
      <c r="B13" s="56" t="s">
        <v>280</v>
      </c>
      <c r="C13" s="18">
        <f>(13.564*12)*1</f>
        <v>162.768</v>
      </c>
    </row>
    <row r="14" spans="1:3" ht="16.5" thickBot="1">
      <c r="A14" s="109"/>
      <c r="B14" s="57" t="s">
        <v>274</v>
      </c>
      <c r="C14" s="18">
        <f>(16.171*1)*1</f>
        <v>16.170999999999999</v>
      </c>
    </row>
    <row r="15" spans="1:3" ht="16.5" thickBot="1">
      <c r="A15" s="110"/>
      <c r="B15" s="57" t="s">
        <v>275</v>
      </c>
      <c r="C15" s="18">
        <f>(20.321*1)*1</f>
        <v>20.321000000000002</v>
      </c>
    </row>
    <row r="16" spans="1:3" ht="31.5">
      <c r="A16" s="21" t="s">
        <v>32</v>
      </c>
      <c r="B16" s="58" t="s">
        <v>33</v>
      </c>
      <c r="C16" s="23">
        <f>SUM(C12:C15)*0.2359</f>
        <v>49.140329000000001</v>
      </c>
    </row>
    <row r="17" spans="1:6" ht="15.75">
      <c r="A17" s="111" t="s">
        <v>27</v>
      </c>
      <c r="B17" s="112"/>
      <c r="C17" s="24">
        <f>SUM(C12:C16)</f>
        <v>257.45032900000001</v>
      </c>
      <c r="F17" s="45">
        <f>C17+C20+C21</f>
        <v>357.34757115505397</v>
      </c>
    </row>
    <row r="18" spans="1:6" ht="16.5" thickBot="1">
      <c r="A18" s="113" t="s">
        <v>28</v>
      </c>
      <c r="B18" s="114"/>
      <c r="C18" s="115"/>
      <c r="F18" s="45">
        <f>C22+C23+C24+C25+C26+C27+C28+C29+C30+C31+C32+C33</f>
        <v>83.94489188</v>
      </c>
    </row>
    <row r="19" spans="1:6" ht="15.75">
      <c r="A19" s="25"/>
      <c r="B19" s="26" t="s">
        <v>34</v>
      </c>
      <c r="C19" s="27">
        <v>8.0090000000000001E-5</v>
      </c>
      <c r="F19" s="45">
        <f>C34+C35</f>
        <v>57.942792390000001</v>
      </c>
    </row>
    <row r="20" spans="1:6" ht="16.5" thickBot="1">
      <c r="A20" s="28" t="s">
        <v>35</v>
      </c>
      <c r="B20" s="29" t="s">
        <v>36</v>
      </c>
      <c r="C20" s="30">
        <f>1009234*$C$19*1</f>
        <v>80.82955106</v>
      </c>
    </row>
    <row r="21" spans="1:6" ht="32.25" thickBot="1">
      <c r="A21" s="31" t="s">
        <v>32</v>
      </c>
      <c r="B21" s="32" t="s">
        <v>33</v>
      </c>
      <c r="C21" s="33">
        <f>C20*0.2359</f>
        <v>19.067691095053998</v>
      </c>
    </row>
    <row r="22" spans="1:6" ht="32.25" thickBot="1">
      <c r="A22" s="31" t="s">
        <v>37</v>
      </c>
      <c r="B22" s="32" t="s">
        <v>38</v>
      </c>
      <c r="C22" s="30">
        <f>93709*$C$19*1</f>
        <v>7.5051538100000004</v>
      </c>
    </row>
    <row r="23" spans="1:6" ht="18.75" customHeight="1" thickBot="1">
      <c r="A23" s="31" t="s">
        <v>39</v>
      </c>
      <c r="B23" s="32" t="s">
        <v>40</v>
      </c>
      <c r="C23" s="30">
        <f>76039*$C$19*1</f>
        <v>6.0899635100000005</v>
      </c>
    </row>
    <row r="24" spans="1:6" ht="20.25" customHeight="1" thickBot="1">
      <c r="A24" s="31" t="s">
        <v>41</v>
      </c>
      <c r="B24" s="32" t="s">
        <v>42</v>
      </c>
      <c r="C24" s="30">
        <f>84854*$C$19*1</f>
        <v>6.7959568600000004</v>
      </c>
    </row>
    <row r="25" spans="1:6" ht="16.5" thickBot="1">
      <c r="A25" s="31" t="s">
        <v>43</v>
      </c>
      <c r="B25" s="32" t="s">
        <v>247</v>
      </c>
      <c r="C25" s="30">
        <f>127766*$C$19*1</f>
        <v>10.232778939999999</v>
      </c>
    </row>
    <row r="26" spans="1:6" ht="32.25" thickBot="1">
      <c r="A26" s="31" t="s">
        <v>45</v>
      </c>
      <c r="B26" s="32" t="s">
        <v>46</v>
      </c>
      <c r="C26" s="30">
        <f>170156*$C$19*1</f>
        <v>13.627794039999999</v>
      </c>
    </row>
    <row r="27" spans="1:6" ht="32.25" thickBot="1">
      <c r="A27" s="31" t="s">
        <v>47</v>
      </c>
      <c r="B27" s="32" t="s">
        <v>48</v>
      </c>
      <c r="C27" s="30">
        <f>377637*$C$19*1</f>
        <v>30.244947329999999</v>
      </c>
    </row>
    <row r="28" spans="1:6" ht="20.25" customHeight="1" thickBot="1">
      <c r="A28" s="31" t="s">
        <v>49</v>
      </c>
      <c r="B28" s="32" t="s">
        <v>50</v>
      </c>
      <c r="C28" s="30">
        <f>51508*$C$19*1</f>
        <v>4.1252757200000003</v>
      </c>
    </row>
    <row r="29" spans="1:6" ht="20.25" customHeight="1" thickBot="1">
      <c r="A29" s="31" t="s">
        <v>51</v>
      </c>
      <c r="B29" s="32" t="s">
        <v>52</v>
      </c>
      <c r="C29" s="30">
        <f>27437*$C$19*1</f>
        <v>2.1974293299999998</v>
      </c>
    </row>
    <row r="30" spans="1:6" ht="21" customHeight="1" thickBot="1">
      <c r="A30" s="31" t="s">
        <v>53</v>
      </c>
      <c r="B30" s="32" t="s">
        <v>54</v>
      </c>
      <c r="C30" s="30">
        <f>1110*$C$19*1</f>
        <v>8.8899900000000004E-2</v>
      </c>
    </row>
    <row r="31" spans="1:6" ht="32.25" thickBot="1">
      <c r="A31" s="31" t="s">
        <v>55</v>
      </c>
      <c r="B31" s="32" t="s">
        <v>56</v>
      </c>
      <c r="C31" s="30">
        <f>13237*$C$19*1</f>
        <v>1.0601513300000001</v>
      </c>
    </row>
    <row r="32" spans="1:6" ht="32.25" thickBot="1">
      <c r="A32" s="31" t="s">
        <v>57</v>
      </c>
      <c r="B32" s="32" t="s">
        <v>58</v>
      </c>
      <c r="C32" s="30">
        <f>8480*$C$19*1</f>
        <v>0.67916319999999997</v>
      </c>
    </row>
    <row r="33" spans="1:3" ht="32.25" thickBot="1">
      <c r="A33" s="31" t="s">
        <v>59</v>
      </c>
      <c r="B33" s="32" t="s">
        <v>60</v>
      </c>
      <c r="C33" s="30">
        <f>16199*$C$19*1</f>
        <v>1.29737791</v>
      </c>
    </row>
    <row r="34" spans="1:3" ht="18.75" customHeight="1" thickBot="1">
      <c r="A34" s="31" t="s">
        <v>61</v>
      </c>
      <c r="B34" s="32" t="s">
        <v>62</v>
      </c>
      <c r="C34" s="30">
        <f>106687*$C$19*1</f>
        <v>8.5445618299999992</v>
      </c>
    </row>
    <row r="35" spans="1:3" ht="32.25" thickBot="1">
      <c r="A35" s="31" t="s">
        <v>63</v>
      </c>
      <c r="B35" s="34" t="s">
        <v>64</v>
      </c>
      <c r="C35" s="30">
        <f>616784*$C$19*1</f>
        <v>49.398230560000002</v>
      </c>
    </row>
    <row r="36" spans="1:3" ht="15.75">
      <c r="A36" s="116" t="s">
        <v>29</v>
      </c>
      <c r="B36" s="117"/>
      <c r="C36" s="35">
        <f>SUM(C20:C35)</f>
        <v>241.78492642505398</v>
      </c>
    </row>
    <row r="37" spans="1:3" ht="15.75" customHeight="1">
      <c r="A37" s="118" t="s">
        <v>65</v>
      </c>
      <c r="B37" s="119"/>
      <c r="C37" s="36">
        <f>C36+C17</f>
        <v>499.23525542505399</v>
      </c>
    </row>
    <row r="38" spans="1:3" ht="15.75">
      <c r="A38" s="1"/>
      <c r="B38" s="1"/>
      <c r="C38" s="37"/>
    </row>
    <row r="39" spans="1:3" ht="15.75" customHeight="1">
      <c r="A39" s="103" t="s">
        <v>66</v>
      </c>
      <c r="B39" s="104"/>
      <c r="C39" s="38">
        <v>1</v>
      </c>
    </row>
    <row r="40" spans="1:3" ht="15.75" customHeight="1">
      <c r="A40" s="103" t="s">
        <v>67</v>
      </c>
      <c r="B40" s="104"/>
      <c r="C40" s="39">
        <f>ROUND(C37/C39,2)</f>
        <v>499.24</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E65AE-5404-4D75-BA1E-2B9E3F6B3232}">
  <sheetPr>
    <tabColor theme="8" tint="0.79998168889431442"/>
  </sheetPr>
  <dimension ref="A1:F40"/>
  <sheetViews>
    <sheetView zoomScaleNormal="100" workbookViewId="0">
      <selection activeCell="F6" sqref="F6"/>
    </sheetView>
  </sheetViews>
  <sheetFormatPr defaultRowHeight="12.75"/>
  <cols>
    <col min="1" max="1" width="10.7109375" customWidth="1"/>
    <col min="2" max="2" width="98.7109375" customWidth="1"/>
    <col min="3" max="3" width="25.5703125" customWidth="1"/>
  </cols>
  <sheetData>
    <row r="1" spans="1:3" ht="65.45"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2" customHeight="1">
      <c r="A6" s="102" t="s">
        <v>281</v>
      </c>
      <c r="B6" s="102"/>
      <c r="C6" s="102"/>
    </row>
    <row r="7" spans="1:3" ht="15.75">
      <c r="A7" s="101" t="s">
        <v>94</v>
      </c>
      <c r="B7" s="101"/>
      <c r="C7" s="101"/>
    </row>
    <row r="8" spans="1:3" ht="15.75">
      <c r="A8" s="98" t="s">
        <v>128</v>
      </c>
      <c r="B8" s="98"/>
      <c r="C8" s="40"/>
    </row>
    <row r="9" spans="1:3" ht="15.75">
      <c r="A9" s="43"/>
      <c r="B9" s="43"/>
      <c r="C9" s="40"/>
    </row>
    <row r="10" spans="1:3" ht="63">
      <c r="A10" s="14" t="s">
        <v>24</v>
      </c>
      <c r="B10" s="15" t="s">
        <v>25</v>
      </c>
      <c r="C10" s="16" t="s">
        <v>30</v>
      </c>
    </row>
    <row r="11" spans="1:3" ht="26.25" customHeight="1" thickBot="1">
      <c r="A11" s="105" t="s">
        <v>26</v>
      </c>
      <c r="B11" s="106"/>
      <c r="C11" s="107"/>
    </row>
    <row r="12" spans="1:3" ht="15.75" customHeight="1">
      <c r="A12" s="108" t="s">
        <v>31</v>
      </c>
      <c r="B12" s="55" t="s">
        <v>272</v>
      </c>
      <c r="C12" s="18">
        <f>(9.05*1)*2</f>
        <v>18.100000000000001</v>
      </c>
    </row>
    <row r="13" spans="1:3" ht="15.75">
      <c r="A13" s="109"/>
      <c r="B13" s="56" t="s">
        <v>282</v>
      </c>
      <c r="C13" s="18">
        <f>(13.564*7.5*2)*2</f>
        <v>406.92</v>
      </c>
    </row>
    <row r="14" spans="1:3" ht="16.5" thickBot="1">
      <c r="A14" s="109"/>
      <c r="B14" s="57" t="s">
        <v>274</v>
      </c>
      <c r="C14" s="18">
        <f>(16.171*1)*2</f>
        <v>32.341999999999999</v>
      </c>
    </row>
    <row r="15" spans="1:3" ht="16.5" thickBot="1">
      <c r="A15" s="110"/>
      <c r="B15" s="57" t="s">
        <v>275</v>
      </c>
      <c r="C15" s="18">
        <f>(20.321*1)*2</f>
        <v>40.642000000000003</v>
      </c>
    </row>
    <row r="16" spans="1:3" ht="31.5">
      <c r="A16" s="21" t="s">
        <v>32</v>
      </c>
      <c r="B16" s="58" t="s">
        <v>33</v>
      </c>
      <c r="C16" s="23">
        <f>SUM(C12:C15)*0.2359</f>
        <v>117.4791436</v>
      </c>
    </row>
    <row r="17" spans="1:6" ht="15.75">
      <c r="A17" s="111" t="s">
        <v>27</v>
      </c>
      <c r="B17" s="112"/>
      <c r="C17" s="24">
        <f>SUM(C12:C16)</f>
        <v>615.48314360000006</v>
      </c>
      <c r="F17" s="45">
        <f>C17+C20+C21</f>
        <v>854.31850291888804</v>
      </c>
    </row>
    <row r="18" spans="1:6" ht="16.5" thickBot="1">
      <c r="A18" s="113" t="s">
        <v>28</v>
      </c>
      <c r="B18" s="114"/>
      <c r="C18" s="115"/>
      <c r="F18" s="45">
        <f>C22+C23+C24+C25+C26+C27+C28+C29+C30+C31+C32+C33</f>
        <v>200.69631536</v>
      </c>
    </row>
    <row r="19" spans="1:6" ht="15.75">
      <c r="A19" s="25"/>
      <c r="B19" s="26" t="s">
        <v>34</v>
      </c>
      <c r="C19" s="27">
        <v>9.5740000000000002E-5</v>
      </c>
      <c r="F19" s="45">
        <f>C34+C35</f>
        <v>138.53022708</v>
      </c>
    </row>
    <row r="20" spans="1:6" ht="16.5" thickBot="1">
      <c r="A20" s="28" t="s">
        <v>35</v>
      </c>
      <c r="B20" s="29" t="s">
        <v>36</v>
      </c>
      <c r="C20" s="30">
        <f>1009234*$C$19*2</f>
        <v>193.24812632000001</v>
      </c>
    </row>
    <row r="21" spans="1:6" ht="32.25" thickBot="1">
      <c r="A21" s="31" t="s">
        <v>32</v>
      </c>
      <c r="B21" s="32" t="s">
        <v>33</v>
      </c>
      <c r="C21" s="33">
        <f>C20*0.2359</f>
        <v>45.587232998888005</v>
      </c>
      <c r="D21" s="45"/>
    </row>
    <row r="22" spans="1:6" ht="32.25" thickBot="1">
      <c r="A22" s="31" t="s">
        <v>37</v>
      </c>
      <c r="B22" s="32" t="s">
        <v>38</v>
      </c>
      <c r="C22" s="30">
        <f>93709*$C$19*2</f>
        <v>17.943399320000001</v>
      </c>
    </row>
    <row r="23" spans="1:6" ht="18.75" customHeight="1" thickBot="1">
      <c r="A23" s="31" t="s">
        <v>39</v>
      </c>
      <c r="B23" s="32" t="s">
        <v>40</v>
      </c>
      <c r="C23" s="30">
        <f>76039*$C$19*2</f>
        <v>14.55994772</v>
      </c>
    </row>
    <row r="24" spans="1:6" ht="18.75" customHeight="1" thickBot="1">
      <c r="A24" s="31" t="s">
        <v>41</v>
      </c>
      <c r="B24" s="32" t="s">
        <v>42</v>
      </c>
      <c r="C24" s="30">
        <f>84854*$C$19*2</f>
        <v>16.247843920000001</v>
      </c>
    </row>
    <row r="25" spans="1:6" ht="16.5" thickBot="1">
      <c r="A25" s="31" t="s">
        <v>43</v>
      </c>
      <c r="B25" s="32" t="s">
        <v>247</v>
      </c>
      <c r="C25" s="30">
        <f>127766*$C$19*2</f>
        <v>24.464633680000002</v>
      </c>
    </row>
    <row r="26" spans="1:6" ht="32.25" thickBot="1">
      <c r="A26" s="31" t="s">
        <v>45</v>
      </c>
      <c r="B26" s="32" t="s">
        <v>46</v>
      </c>
      <c r="C26" s="30">
        <f>170156*$C$19*2</f>
        <v>32.581470879999998</v>
      </c>
    </row>
    <row r="27" spans="1:6" ht="32.25" thickBot="1">
      <c r="A27" s="31" t="s">
        <v>47</v>
      </c>
      <c r="B27" s="32" t="s">
        <v>48</v>
      </c>
      <c r="C27" s="30">
        <f>377637*$C$19*2</f>
        <v>72.309932759999995</v>
      </c>
    </row>
    <row r="28" spans="1:6" ht="19.5" customHeight="1" thickBot="1">
      <c r="A28" s="31" t="s">
        <v>49</v>
      </c>
      <c r="B28" s="32" t="s">
        <v>50</v>
      </c>
      <c r="C28" s="30">
        <f>51508*$C$19*2</f>
        <v>9.8627518399999996</v>
      </c>
    </row>
    <row r="29" spans="1:6" ht="17.25" customHeight="1" thickBot="1">
      <c r="A29" s="31" t="s">
        <v>51</v>
      </c>
      <c r="B29" s="32" t="s">
        <v>52</v>
      </c>
      <c r="C29" s="30">
        <f>27437*$C$19*2</f>
        <v>5.25363676</v>
      </c>
    </row>
    <row r="30" spans="1:6" ht="19.5" customHeight="1" thickBot="1">
      <c r="A30" s="31" t="s">
        <v>53</v>
      </c>
      <c r="B30" s="32" t="s">
        <v>54</v>
      </c>
      <c r="C30" s="30">
        <f>1110*$C$19*2</f>
        <v>0.2125428</v>
      </c>
    </row>
    <row r="31" spans="1:6" ht="32.25" thickBot="1">
      <c r="A31" s="31" t="s">
        <v>55</v>
      </c>
      <c r="B31" s="32" t="s">
        <v>56</v>
      </c>
      <c r="C31" s="30">
        <f>13237*$C$19*2</f>
        <v>2.5346207600000001</v>
      </c>
    </row>
    <row r="32" spans="1:6" ht="32.25" thickBot="1">
      <c r="A32" s="31" t="s">
        <v>57</v>
      </c>
      <c r="B32" s="32" t="s">
        <v>58</v>
      </c>
      <c r="C32" s="30">
        <f>8480*$C$19*2</f>
        <v>1.6237504</v>
      </c>
    </row>
    <row r="33" spans="1:3" ht="32.25" thickBot="1">
      <c r="A33" s="31" t="s">
        <v>59</v>
      </c>
      <c r="B33" s="32" t="s">
        <v>60</v>
      </c>
      <c r="C33" s="30">
        <f>16199*$C$19*2</f>
        <v>3.1017845200000003</v>
      </c>
    </row>
    <row r="34" spans="1:3" ht="19.5" customHeight="1" thickBot="1">
      <c r="A34" s="31" t="s">
        <v>61</v>
      </c>
      <c r="B34" s="32" t="s">
        <v>62</v>
      </c>
      <c r="C34" s="30">
        <f>106687*$C$19*2</f>
        <v>20.428426760000001</v>
      </c>
    </row>
    <row r="35" spans="1:3" ht="32.25" thickBot="1">
      <c r="A35" s="31" t="s">
        <v>63</v>
      </c>
      <c r="B35" s="34" t="s">
        <v>64</v>
      </c>
      <c r="C35" s="30">
        <f>616784*$C$19*2</f>
        <v>118.10180032</v>
      </c>
    </row>
    <row r="36" spans="1:3" ht="15.75">
      <c r="A36" s="116" t="s">
        <v>29</v>
      </c>
      <c r="B36" s="117"/>
      <c r="C36" s="35">
        <f>SUM(C20:C35)</f>
        <v>578.06190175888798</v>
      </c>
    </row>
    <row r="37" spans="1:3" ht="15.75" customHeight="1">
      <c r="A37" s="118" t="s">
        <v>65</v>
      </c>
      <c r="B37" s="119"/>
      <c r="C37" s="36">
        <f>C36+C17</f>
        <v>1193.545045358888</v>
      </c>
    </row>
    <row r="38" spans="1:3" ht="15.75">
      <c r="A38" s="1"/>
      <c r="B38" s="1"/>
      <c r="C38" s="37"/>
    </row>
    <row r="39" spans="1:3" ht="15.75" customHeight="1">
      <c r="A39" s="103" t="s">
        <v>66</v>
      </c>
      <c r="B39" s="104"/>
      <c r="C39" s="38">
        <v>2</v>
      </c>
    </row>
    <row r="40" spans="1:3" ht="15.75" customHeight="1">
      <c r="A40" s="103" t="s">
        <v>67</v>
      </c>
      <c r="B40" s="104"/>
      <c r="C40" s="39">
        <f>ROUND(C37/C39,2)</f>
        <v>596.77</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08A69-51C5-4B6D-8EE5-DA486C9A4FE8}">
  <sheetPr>
    <tabColor theme="8" tint="0.79998168889431442"/>
  </sheetPr>
  <dimension ref="A1:F40"/>
  <sheetViews>
    <sheetView zoomScaleNormal="100" workbookViewId="0">
      <selection activeCell="L10" sqref="L10"/>
    </sheetView>
  </sheetViews>
  <sheetFormatPr defaultRowHeight="12.75"/>
  <cols>
    <col min="1" max="1" width="10.7109375" customWidth="1"/>
    <col min="2" max="2" width="98.7109375" customWidth="1"/>
    <col min="3" max="3" width="25.5703125" customWidth="1"/>
  </cols>
  <sheetData>
    <row r="1" spans="1:3" ht="63.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5.599999999999994" customHeight="1">
      <c r="A6" s="102" t="s">
        <v>283</v>
      </c>
      <c r="B6" s="102"/>
      <c r="C6" s="102"/>
    </row>
    <row r="7" spans="1:3" ht="15.75">
      <c r="A7" s="101" t="s">
        <v>94</v>
      </c>
      <c r="B7" s="101"/>
      <c r="C7" s="101"/>
    </row>
    <row r="8" spans="1:3" ht="15.75">
      <c r="A8" s="98" t="s">
        <v>102</v>
      </c>
      <c r="B8" s="98"/>
      <c r="C8" s="40"/>
    </row>
    <row r="9" spans="1:3" ht="15.75">
      <c r="A9" s="43"/>
      <c r="B9" s="43"/>
      <c r="C9" s="40"/>
    </row>
    <row r="10" spans="1:3" ht="63">
      <c r="A10" s="14" t="s">
        <v>24</v>
      </c>
      <c r="B10" s="15" t="s">
        <v>25</v>
      </c>
      <c r="C10" s="16" t="s">
        <v>30</v>
      </c>
    </row>
    <row r="11" spans="1:3" ht="26.25" customHeight="1" thickBot="1">
      <c r="A11" s="105" t="s">
        <v>26</v>
      </c>
      <c r="B11" s="106"/>
      <c r="C11" s="107"/>
    </row>
    <row r="12" spans="1:3" ht="26.25" customHeight="1">
      <c r="A12" s="108" t="s">
        <v>31</v>
      </c>
      <c r="B12" s="55" t="s">
        <v>272</v>
      </c>
      <c r="C12" s="18">
        <f>(9.05*1)*1</f>
        <v>9.0500000000000007</v>
      </c>
    </row>
    <row r="13" spans="1:3" ht="15.75">
      <c r="A13" s="109"/>
      <c r="B13" s="56" t="s">
        <v>284</v>
      </c>
      <c r="C13" s="18">
        <f>(13.564*8)*1</f>
        <v>108.512</v>
      </c>
    </row>
    <row r="14" spans="1:3" ht="16.5" thickBot="1">
      <c r="A14" s="109"/>
      <c r="B14" s="57" t="s">
        <v>274</v>
      </c>
      <c r="C14" s="18">
        <f>(16.171*1)*1</f>
        <v>16.170999999999999</v>
      </c>
    </row>
    <row r="15" spans="1:3" ht="16.5" thickBot="1">
      <c r="A15" s="110"/>
      <c r="B15" s="57" t="s">
        <v>275</v>
      </c>
      <c r="C15" s="18">
        <f>(20.321*1)*1</f>
        <v>20.321000000000002</v>
      </c>
    </row>
    <row r="16" spans="1:3" ht="31.5">
      <c r="A16" s="21" t="s">
        <v>32</v>
      </c>
      <c r="B16" s="58" t="s">
        <v>33</v>
      </c>
      <c r="C16" s="23">
        <f>SUM(C12:C15)*0.2359</f>
        <v>36.3413386</v>
      </c>
    </row>
    <row r="17" spans="1:6" ht="15.75">
      <c r="A17" s="111" t="s">
        <v>27</v>
      </c>
      <c r="B17" s="112"/>
      <c r="C17" s="24">
        <f>SUM(C12:C16)</f>
        <v>190.3953386</v>
      </c>
    </row>
    <row r="18" spans="1:6" ht="16.5" thickBot="1">
      <c r="A18" s="113" t="s">
        <v>28</v>
      </c>
      <c r="B18" s="114"/>
      <c r="C18" s="115"/>
    </row>
    <row r="19" spans="1:6" ht="15.75">
      <c r="A19" s="25"/>
      <c r="B19" s="26" t="s">
        <v>34</v>
      </c>
      <c r="C19" s="27">
        <v>5.923E-5</v>
      </c>
      <c r="F19" s="45">
        <f>C17+C20+C21</f>
        <v>264.27364616453798</v>
      </c>
    </row>
    <row r="20" spans="1:6" ht="16.5" thickBot="1">
      <c r="A20" s="28" t="s">
        <v>35</v>
      </c>
      <c r="B20" s="29" t="s">
        <v>36</v>
      </c>
      <c r="C20" s="30">
        <f>1009234*$C$19*1</f>
        <v>59.776929819999999</v>
      </c>
      <c r="F20" s="45">
        <f>C22+C23+C24+C26+C25+C27+C28+C29+C30+C31+C32+C33</f>
        <v>62.080858360000008</v>
      </c>
    </row>
    <row r="21" spans="1:6" ht="32.25" thickBot="1">
      <c r="A21" s="31" t="s">
        <v>32</v>
      </c>
      <c r="B21" s="32" t="s">
        <v>33</v>
      </c>
      <c r="C21" s="33">
        <f>C20*0.2359</f>
        <v>14.101377744538</v>
      </c>
      <c r="F21" s="45">
        <f>C34+C35</f>
        <v>42.851187330000002</v>
      </c>
    </row>
    <row r="22" spans="1:6" ht="32.25" thickBot="1">
      <c r="A22" s="31" t="s">
        <v>37</v>
      </c>
      <c r="B22" s="32" t="s">
        <v>38</v>
      </c>
      <c r="C22" s="30">
        <f>93709*$C$19*1</f>
        <v>5.5503840699999998</v>
      </c>
    </row>
    <row r="23" spans="1:6" ht="17.25" customHeight="1" thickBot="1">
      <c r="A23" s="31" t="s">
        <v>39</v>
      </c>
      <c r="B23" s="32" t="s">
        <v>40</v>
      </c>
      <c r="C23" s="30">
        <f>76039*$C$19*1</f>
        <v>4.5037899699999997</v>
      </c>
    </row>
    <row r="24" spans="1:6" ht="19.5" customHeight="1" thickBot="1">
      <c r="A24" s="31" t="s">
        <v>41</v>
      </c>
      <c r="B24" s="32" t="s">
        <v>42</v>
      </c>
      <c r="C24" s="30">
        <f>84854*$C$19*1</f>
        <v>5.0259024200000004</v>
      </c>
    </row>
    <row r="25" spans="1:6" ht="16.5" thickBot="1">
      <c r="A25" s="31" t="s">
        <v>43</v>
      </c>
      <c r="B25" s="32" t="s">
        <v>247</v>
      </c>
      <c r="C25" s="30">
        <f>127766*$C$19*1</f>
        <v>7.5675801800000002</v>
      </c>
    </row>
    <row r="26" spans="1:6" ht="32.25" thickBot="1">
      <c r="A26" s="31" t="s">
        <v>45</v>
      </c>
      <c r="B26" s="32" t="s">
        <v>46</v>
      </c>
      <c r="C26" s="30">
        <f>170156*$C$19*1</f>
        <v>10.07833988</v>
      </c>
    </row>
    <row r="27" spans="1:6" ht="32.25" thickBot="1">
      <c r="A27" s="31" t="s">
        <v>47</v>
      </c>
      <c r="B27" s="32" t="s">
        <v>48</v>
      </c>
      <c r="C27" s="30">
        <f>377637*$C$19*1</f>
        <v>22.367439510000001</v>
      </c>
    </row>
    <row r="28" spans="1:6" ht="19.5" customHeight="1" thickBot="1">
      <c r="A28" s="31" t="s">
        <v>49</v>
      </c>
      <c r="B28" s="32" t="s">
        <v>50</v>
      </c>
      <c r="C28" s="30">
        <f>51508*$C$19*1</f>
        <v>3.0508188399999998</v>
      </c>
    </row>
    <row r="29" spans="1:6" ht="19.5" customHeight="1" thickBot="1">
      <c r="A29" s="31" t="s">
        <v>51</v>
      </c>
      <c r="B29" s="32" t="s">
        <v>52</v>
      </c>
      <c r="C29" s="30">
        <f>27437*$C$19*1</f>
        <v>1.6250935099999999</v>
      </c>
    </row>
    <row r="30" spans="1:6" ht="18.75" customHeight="1" thickBot="1">
      <c r="A30" s="31" t="s">
        <v>53</v>
      </c>
      <c r="B30" s="32" t="s">
        <v>54</v>
      </c>
      <c r="C30" s="30">
        <f>1110*$C$19*1</f>
        <v>6.5745300000000007E-2</v>
      </c>
    </row>
    <row r="31" spans="1:6" ht="32.25" thickBot="1">
      <c r="A31" s="31" t="s">
        <v>55</v>
      </c>
      <c r="B31" s="32" t="s">
        <v>56</v>
      </c>
      <c r="C31" s="30">
        <f>13237*$C$19*1</f>
        <v>0.78402751000000004</v>
      </c>
    </row>
    <row r="32" spans="1:6" ht="32.25" thickBot="1">
      <c r="A32" s="31" t="s">
        <v>57</v>
      </c>
      <c r="B32" s="32" t="s">
        <v>58</v>
      </c>
      <c r="C32" s="30">
        <f>8480*$C$19*1</f>
        <v>0.50227040000000001</v>
      </c>
    </row>
    <row r="33" spans="1:3" ht="32.25" thickBot="1">
      <c r="A33" s="31" t="s">
        <v>59</v>
      </c>
      <c r="B33" s="32" t="s">
        <v>60</v>
      </c>
      <c r="C33" s="30">
        <f>16199*$C$19*1</f>
        <v>0.95946677000000002</v>
      </c>
    </row>
    <row r="34" spans="1:3" ht="19.5" customHeight="1" thickBot="1">
      <c r="A34" s="31" t="s">
        <v>61</v>
      </c>
      <c r="B34" s="32" t="s">
        <v>62</v>
      </c>
      <c r="C34" s="30">
        <f>106687*$C$19*1</f>
        <v>6.31907101</v>
      </c>
    </row>
    <row r="35" spans="1:3" ht="32.25" thickBot="1">
      <c r="A35" s="31" t="s">
        <v>63</v>
      </c>
      <c r="B35" s="34" t="s">
        <v>64</v>
      </c>
      <c r="C35" s="30">
        <f>616784*$C$19*1</f>
        <v>36.53211632</v>
      </c>
    </row>
    <row r="36" spans="1:3" ht="15.75">
      <c r="A36" s="116" t="s">
        <v>29</v>
      </c>
      <c r="B36" s="117"/>
      <c r="C36" s="35">
        <f>SUM(C20:C35)</f>
        <v>178.810353254538</v>
      </c>
    </row>
    <row r="37" spans="1:3" ht="15.75" customHeight="1">
      <c r="A37" s="118" t="s">
        <v>65</v>
      </c>
      <c r="B37" s="119"/>
      <c r="C37" s="36">
        <f>C36+C17</f>
        <v>369.20569185453803</v>
      </c>
    </row>
    <row r="38" spans="1:3" ht="15.75">
      <c r="A38" s="1"/>
      <c r="B38" s="1"/>
      <c r="C38" s="37"/>
    </row>
    <row r="39" spans="1:3" ht="15.75" customHeight="1">
      <c r="A39" s="103" t="s">
        <v>66</v>
      </c>
      <c r="B39" s="104"/>
      <c r="C39" s="38">
        <v>1</v>
      </c>
    </row>
    <row r="40" spans="1:3" ht="15.75" customHeight="1">
      <c r="A40" s="103" t="s">
        <v>67</v>
      </c>
      <c r="B40" s="104"/>
      <c r="C40" s="39">
        <f>ROUND(C37/C39,2)</f>
        <v>369.21</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5DD31-6F5B-4C3B-AE49-4339DAC80124}">
  <sheetPr>
    <tabColor theme="8" tint="0.79998168889431442"/>
  </sheetPr>
  <dimension ref="A1:F40"/>
  <sheetViews>
    <sheetView zoomScaleNormal="100" workbookViewId="0">
      <selection activeCell="I8" sqref="I8"/>
    </sheetView>
  </sheetViews>
  <sheetFormatPr defaultRowHeight="12.75"/>
  <cols>
    <col min="1" max="1" width="10.7109375" customWidth="1"/>
    <col min="2" max="2" width="98.7109375" customWidth="1"/>
    <col min="3" max="3" width="25.5703125" customWidth="1"/>
  </cols>
  <sheetData>
    <row r="1" spans="1:3" ht="81.599999999999994"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63" customHeight="1">
      <c r="A6" s="102" t="s">
        <v>285</v>
      </c>
      <c r="B6" s="102"/>
      <c r="C6" s="102"/>
    </row>
    <row r="7" spans="1:3" ht="15.75">
      <c r="A7" s="101" t="s">
        <v>94</v>
      </c>
      <c r="B7" s="101"/>
      <c r="C7" s="101"/>
    </row>
    <row r="8" spans="1:3" ht="15.75">
      <c r="A8" s="98" t="s">
        <v>286</v>
      </c>
      <c r="B8" s="98"/>
      <c r="C8" s="40"/>
    </row>
    <row r="9" spans="1:3" ht="15.75">
      <c r="A9" s="43"/>
      <c r="B9" s="43"/>
      <c r="C9" s="40"/>
    </row>
    <row r="10" spans="1:3" ht="63">
      <c r="A10" s="14" t="s">
        <v>24</v>
      </c>
      <c r="B10" s="15" t="s">
        <v>25</v>
      </c>
      <c r="C10" s="16" t="s">
        <v>30</v>
      </c>
    </row>
    <row r="11" spans="1:3" ht="26.25" customHeight="1" thickBot="1">
      <c r="A11" s="105" t="s">
        <v>26</v>
      </c>
      <c r="B11" s="106"/>
      <c r="C11" s="107"/>
    </row>
    <row r="12" spans="1:3" ht="16.5" customHeight="1">
      <c r="A12" s="108" t="s">
        <v>31</v>
      </c>
      <c r="B12" s="55" t="s">
        <v>272</v>
      </c>
      <c r="C12" s="18">
        <f>(9.05*1)*14</f>
        <v>126.70000000000002</v>
      </c>
    </row>
    <row r="13" spans="1:3" ht="15.75">
      <c r="A13" s="109"/>
      <c r="B13" s="56" t="s">
        <v>284</v>
      </c>
      <c r="C13" s="18">
        <f>(13.564*8)*14</f>
        <v>1519.1680000000001</v>
      </c>
    </row>
    <row r="14" spans="1:3" ht="16.5" thickBot="1">
      <c r="A14" s="109"/>
      <c r="B14" s="57" t="s">
        <v>274</v>
      </c>
      <c r="C14" s="18">
        <f>(16.171*1)*14</f>
        <v>226.39400000000001</v>
      </c>
    </row>
    <row r="15" spans="1:3" ht="16.5" thickBot="1">
      <c r="A15" s="110"/>
      <c r="B15" s="57" t="s">
        <v>275</v>
      </c>
      <c r="C15" s="18">
        <f>(20.321*1)*14</f>
        <v>284.49400000000003</v>
      </c>
    </row>
    <row r="16" spans="1:3" ht="31.5">
      <c r="A16" s="21" t="s">
        <v>32</v>
      </c>
      <c r="B16" s="58" t="s">
        <v>33</v>
      </c>
      <c r="C16" s="23">
        <f>SUM(C12:C15)*0.2359</f>
        <v>508.77874040000006</v>
      </c>
    </row>
    <row r="17" spans="1:6" ht="15.75">
      <c r="A17" s="111" t="s">
        <v>27</v>
      </c>
      <c r="B17" s="112"/>
      <c r="C17" s="24">
        <f>SUM(C12:C16)</f>
        <v>2665.5347404000004</v>
      </c>
      <c r="F17" s="45">
        <f>C17+C20+C21</f>
        <v>3699.8310463035327</v>
      </c>
    </row>
    <row r="18" spans="1:6" ht="16.5" thickBot="1">
      <c r="A18" s="113" t="s">
        <v>28</v>
      </c>
      <c r="B18" s="114"/>
      <c r="C18" s="115"/>
      <c r="F18" s="45">
        <f>C22+C23+C24+C25+C26+C27+C28+C29+C30+C31+C32+C33</f>
        <v>869.13201704000016</v>
      </c>
    </row>
    <row r="19" spans="1:6" ht="15.75">
      <c r="A19" s="25"/>
      <c r="B19" s="26" t="s">
        <v>34</v>
      </c>
      <c r="C19" s="27">
        <v>5.923E-5</v>
      </c>
      <c r="F19" s="45">
        <f>C34+C35</f>
        <v>599.91662262</v>
      </c>
    </row>
    <row r="20" spans="1:6" ht="16.5" thickBot="1">
      <c r="A20" s="28" t="s">
        <v>35</v>
      </c>
      <c r="B20" s="29" t="s">
        <v>36</v>
      </c>
      <c r="C20" s="30">
        <f>1009234*$C$19*14</f>
        <v>836.87701747999995</v>
      </c>
    </row>
    <row r="21" spans="1:6" ht="32.25" thickBot="1">
      <c r="A21" s="31" t="s">
        <v>32</v>
      </c>
      <c r="B21" s="32" t="s">
        <v>33</v>
      </c>
      <c r="C21" s="33">
        <f>C20*0.2359</f>
        <v>197.41928842353198</v>
      </c>
      <c r="D21" s="45"/>
    </row>
    <row r="22" spans="1:6" ht="32.25" thickBot="1">
      <c r="A22" s="31" t="s">
        <v>37</v>
      </c>
      <c r="B22" s="32" t="s">
        <v>38</v>
      </c>
      <c r="C22" s="30">
        <f>93709*$C$19*14</f>
        <v>77.705376979999997</v>
      </c>
    </row>
    <row r="23" spans="1:6" ht="17.25" customHeight="1" thickBot="1">
      <c r="A23" s="31" t="s">
        <v>39</v>
      </c>
      <c r="B23" s="32" t="s">
        <v>40</v>
      </c>
      <c r="C23" s="30">
        <f>76039*$C$19*14</f>
        <v>63.053059579999996</v>
      </c>
    </row>
    <row r="24" spans="1:6" ht="18" customHeight="1" thickBot="1">
      <c r="A24" s="31" t="s">
        <v>41</v>
      </c>
      <c r="B24" s="32" t="s">
        <v>42</v>
      </c>
      <c r="C24" s="30">
        <f>84854*$C$19*14</f>
        <v>70.362633880000004</v>
      </c>
    </row>
    <row r="25" spans="1:6" ht="16.5" thickBot="1">
      <c r="A25" s="31" t="s">
        <v>43</v>
      </c>
      <c r="B25" s="32" t="s">
        <v>247</v>
      </c>
      <c r="C25" s="30">
        <f>127766*$C$19*14</f>
        <v>105.94612252</v>
      </c>
    </row>
    <row r="26" spans="1:6" ht="32.25" thickBot="1">
      <c r="A26" s="31" t="s">
        <v>45</v>
      </c>
      <c r="B26" s="32" t="s">
        <v>46</v>
      </c>
      <c r="C26" s="30">
        <f>170156*$C$19*14</f>
        <v>141.09675831999999</v>
      </c>
    </row>
    <row r="27" spans="1:6" ht="32.25" thickBot="1">
      <c r="A27" s="31" t="s">
        <v>47</v>
      </c>
      <c r="B27" s="32" t="s">
        <v>48</v>
      </c>
      <c r="C27" s="30">
        <f>377637*$C$19*14</f>
        <v>313.14415314000001</v>
      </c>
    </row>
    <row r="28" spans="1:6" ht="21" customHeight="1" thickBot="1">
      <c r="A28" s="31" t="s">
        <v>49</v>
      </c>
      <c r="B28" s="32" t="s">
        <v>50</v>
      </c>
      <c r="C28" s="30">
        <f>51508*$C$19*14</f>
        <v>42.711463760000001</v>
      </c>
    </row>
    <row r="29" spans="1:6" ht="18" customHeight="1" thickBot="1">
      <c r="A29" s="31" t="s">
        <v>51</v>
      </c>
      <c r="B29" s="32" t="s">
        <v>52</v>
      </c>
      <c r="C29" s="30">
        <f>27437*$C$19*14</f>
        <v>22.75130914</v>
      </c>
    </row>
    <row r="30" spans="1:6" ht="20.25" customHeight="1" thickBot="1">
      <c r="A30" s="31" t="s">
        <v>53</v>
      </c>
      <c r="B30" s="32" t="s">
        <v>54</v>
      </c>
      <c r="C30" s="30">
        <f>1110*$C$19*14</f>
        <v>0.92043420000000009</v>
      </c>
    </row>
    <row r="31" spans="1:6" ht="32.25" thickBot="1">
      <c r="A31" s="31" t="s">
        <v>55</v>
      </c>
      <c r="B31" s="32" t="s">
        <v>56</v>
      </c>
      <c r="C31" s="30">
        <f>13237*$C$19*14</f>
        <v>10.976385140000001</v>
      </c>
    </row>
    <row r="32" spans="1:6" ht="32.25" thickBot="1">
      <c r="A32" s="31" t="s">
        <v>57</v>
      </c>
      <c r="B32" s="32" t="s">
        <v>58</v>
      </c>
      <c r="C32" s="30">
        <f>8480*$C$19*14</f>
        <v>7.0317856000000001</v>
      </c>
    </row>
    <row r="33" spans="1:3" ht="32.25" thickBot="1">
      <c r="A33" s="31" t="s">
        <v>59</v>
      </c>
      <c r="B33" s="32" t="s">
        <v>60</v>
      </c>
      <c r="C33" s="30">
        <f>16199*$C$19*14</f>
        <v>13.432534780000001</v>
      </c>
    </row>
    <row r="34" spans="1:3" ht="20.25" customHeight="1" thickBot="1">
      <c r="A34" s="31" t="s">
        <v>61</v>
      </c>
      <c r="B34" s="32" t="s">
        <v>62</v>
      </c>
      <c r="C34" s="30">
        <f>106687*$C$19*14</f>
        <v>88.466994139999997</v>
      </c>
    </row>
    <row r="35" spans="1:3" ht="32.25" thickBot="1">
      <c r="A35" s="31" t="s">
        <v>63</v>
      </c>
      <c r="B35" s="34" t="s">
        <v>64</v>
      </c>
      <c r="C35" s="30">
        <f>616784*$C$19*14</f>
        <v>511.44962848</v>
      </c>
    </row>
    <row r="36" spans="1:3" ht="15.75">
      <c r="A36" s="116" t="s">
        <v>29</v>
      </c>
      <c r="B36" s="117"/>
      <c r="C36" s="35">
        <f>SUM(C20:C35)</f>
        <v>2503.3449455635318</v>
      </c>
    </row>
    <row r="37" spans="1:3" ht="15.75" customHeight="1">
      <c r="A37" s="118" t="s">
        <v>65</v>
      </c>
      <c r="B37" s="119"/>
      <c r="C37" s="36">
        <f>C36+C17</f>
        <v>5168.8796859635322</v>
      </c>
    </row>
    <row r="38" spans="1:3" ht="15.75">
      <c r="A38" s="1"/>
      <c r="B38" s="1"/>
      <c r="C38" s="37"/>
    </row>
    <row r="39" spans="1:3" ht="15.75" customHeight="1">
      <c r="A39" s="103" t="s">
        <v>66</v>
      </c>
      <c r="B39" s="104"/>
      <c r="C39" s="38">
        <v>14</v>
      </c>
    </row>
    <row r="40" spans="1:3" ht="15.75" customHeight="1">
      <c r="A40" s="103" t="s">
        <v>67</v>
      </c>
      <c r="B40" s="104"/>
      <c r="C40" s="39">
        <f>ROUND(C37/C39,2)</f>
        <v>369.21</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2316A-1FC0-416B-B752-AAB6DE0F2741}">
  <sheetPr>
    <tabColor theme="8" tint="0.79998168889431442"/>
  </sheetPr>
  <dimension ref="A1:F40"/>
  <sheetViews>
    <sheetView zoomScaleNormal="100" workbookViewId="0">
      <selection activeCell="J7" sqref="J7"/>
    </sheetView>
  </sheetViews>
  <sheetFormatPr defaultRowHeight="12.75"/>
  <cols>
    <col min="1" max="1" width="10.7109375" customWidth="1"/>
    <col min="2" max="2" width="98.7109375" customWidth="1"/>
    <col min="3" max="3" width="25.5703125" customWidth="1"/>
  </cols>
  <sheetData>
    <row r="1" spans="1:6" ht="70.150000000000006"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79.150000000000006" customHeight="1">
      <c r="A6" s="102" t="s">
        <v>287</v>
      </c>
      <c r="B6" s="102"/>
      <c r="C6" s="102"/>
    </row>
    <row r="7" spans="1:6" ht="15.75">
      <c r="A7" s="101" t="s">
        <v>94</v>
      </c>
      <c r="B7" s="101"/>
      <c r="C7" s="101"/>
    </row>
    <row r="8" spans="1:6" ht="15.75">
      <c r="A8" s="98" t="s">
        <v>133</v>
      </c>
      <c r="B8" s="98"/>
      <c r="C8" s="40"/>
    </row>
    <row r="9" spans="1:6" ht="15.75">
      <c r="A9" s="43"/>
      <c r="B9" s="43"/>
      <c r="C9" s="40"/>
    </row>
    <row r="10" spans="1:6" ht="63">
      <c r="A10" s="14" t="s">
        <v>24</v>
      </c>
      <c r="B10" s="15" t="s">
        <v>25</v>
      </c>
      <c r="C10" s="16" t="s">
        <v>30</v>
      </c>
    </row>
    <row r="11" spans="1:6" ht="26.25" customHeight="1" thickBot="1">
      <c r="A11" s="105" t="s">
        <v>26</v>
      </c>
      <c r="B11" s="106"/>
      <c r="C11" s="107"/>
    </row>
    <row r="12" spans="1:6" ht="26.25" customHeight="1">
      <c r="A12" s="108" t="s">
        <v>31</v>
      </c>
      <c r="B12" s="55" t="s">
        <v>272</v>
      </c>
      <c r="C12" s="18">
        <f>(9.05*1)*4</f>
        <v>36.200000000000003</v>
      </c>
    </row>
    <row r="13" spans="1:6" ht="15.75">
      <c r="A13" s="109"/>
      <c r="B13" s="56" t="s">
        <v>288</v>
      </c>
      <c r="C13" s="18">
        <f>(13.564*4)*4</f>
        <v>217.024</v>
      </c>
    </row>
    <row r="14" spans="1:6" ht="16.5" thickBot="1">
      <c r="A14" s="109"/>
      <c r="B14" s="57" t="s">
        <v>289</v>
      </c>
      <c r="C14" s="18">
        <f>(16.171*0.5)*4</f>
        <v>32.341999999999999</v>
      </c>
    </row>
    <row r="15" spans="1:6" ht="16.5" thickBot="1">
      <c r="A15" s="110"/>
      <c r="B15" s="57" t="s">
        <v>290</v>
      </c>
      <c r="C15" s="18">
        <f>(20.321*0.5)*4</f>
        <v>40.642000000000003</v>
      </c>
      <c r="F15" s="45">
        <f>C17+C20+C21</f>
        <v>559.57342969524007</v>
      </c>
    </row>
    <row r="16" spans="1:6" ht="31.5">
      <c r="A16" s="21" t="s">
        <v>32</v>
      </c>
      <c r="B16" s="58" t="s">
        <v>33</v>
      </c>
      <c r="C16" s="23">
        <f>SUM(C12:C15)*0.2359</f>
        <v>76.952467199999987</v>
      </c>
      <c r="F16" s="45">
        <f>C22+C23+C24+C25+C26+C27+C28+C29+C30+C31+C32+C33</f>
        <v>131.43575280000005</v>
      </c>
    </row>
    <row r="17" spans="1:6" ht="15.75">
      <c r="A17" s="111" t="s">
        <v>27</v>
      </c>
      <c r="B17" s="112"/>
      <c r="C17" s="24">
        <f>SUM(C12:C16)</f>
        <v>403.16046719999997</v>
      </c>
      <c r="F17" s="45">
        <f>C34+C35</f>
        <v>90.723263400000008</v>
      </c>
    </row>
    <row r="18" spans="1:6" ht="16.5" thickBot="1">
      <c r="A18" s="113" t="s">
        <v>28</v>
      </c>
      <c r="B18" s="114"/>
      <c r="C18" s="115"/>
    </row>
    <row r="19" spans="1:6" ht="15.75">
      <c r="A19" s="25"/>
      <c r="B19" s="26" t="s">
        <v>34</v>
      </c>
      <c r="C19" s="27">
        <v>3.1350000000000003E-5</v>
      </c>
    </row>
    <row r="20" spans="1:6" ht="16.5" thickBot="1">
      <c r="A20" s="28" t="s">
        <v>35</v>
      </c>
      <c r="B20" s="29" t="s">
        <v>36</v>
      </c>
      <c r="C20" s="30">
        <f>1009234*$C$19*4</f>
        <v>126.55794360000002</v>
      </c>
    </row>
    <row r="21" spans="1:6" ht="32.25" thickBot="1">
      <c r="A21" s="31" t="s">
        <v>32</v>
      </c>
      <c r="B21" s="32" t="s">
        <v>33</v>
      </c>
      <c r="C21" s="30">
        <f>C20*0.2359</f>
        <v>29.855018895240004</v>
      </c>
    </row>
    <row r="22" spans="1:6" ht="32.25" thickBot="1">
      <c r="A22" s="31" t="s">
        <v>37</v>
      </c>
      <c r="B22" s="32" t="s">
        <v>38</v>
      </c>
      <c r="C22" s="30">
        <f>93709*$C$19*4</f>
        <v>11.751108600000002</v>
      </c>
    </row>
    <row r="23" spans="1:6" ht="21.75" customHeight="1" thickBot="1">
      <c r="A23" s="31" t="s">
        <v>39</v>
      </c>
      <c r="B23" s="32" t="s">
        <v>40</v>
      </c>
      <c r="C23" s="30">
        <f>76039*$C$19*4</f>
        <v>9.5352906000000015</v>
      </c>
    </row>
    <row r="24" spans="1:6" ht="19.5" customHeight="1" thickBot="1">
      <c r="A24" s="31" t="s">
        <v>41</v>
      </c>
      <c r="B24" s="32" t="s">
        <v>42</v>
      </c>
      <c r="C24" s="30">
        <f>84854*$C$19*4</f>
        <v>10.6406916</v>
      </c>
    </row>
    <row r="25" spans="1:6" ht="16.5" thickBot="1">
      <c r="A25" s="31" t="s">
        <v>43</v>
      </c>
      <c r="B25" s="32" t="s">
        <v>247</v>
      </c>
      <c r="C25" s="30">
        <f>127766*$C$19*4</f>
        <v>16.021856400000001</v>
      </c>
    </row>
    <row r="26" spans="1:6" ht="32.25" thickBot="1">
      <c r="A26" s="31" t="s">
        <v>45</v>
      </c>
      <c r="B26" s="32" t="s">
        <v>46</v>
      </c>
      <c r="C26" s="30">
        <f>170156*$C$19*4</f>
        <v>21.337562400000003</v>
      </c>
    </row>
    <row r="27" spans="1:6" ht="32.25" thickBot="1">
      <c r="A27" s="31" t="s">
        <v>47</v>
      </c>
      <c r="B27" s="32" t="s">
        <v>48</v>
      </c>
      <c r="C27" s="30">
        <f>377637*$C$19*4</f>
        <v>47.355679800000004</v>
      </c>
    </row>
    <row r="28" spans="1:6" ht="21.75" customHeight="1" thickBot="1">
      <c r="A28" s="31" t="s">
        <v>49</v>
      </c>
      <c r="B28" s="32" t="s">
        <v>50</v>
      </c>
      <c r="C28" s="30">
        <f>51508*$C$19*4</f>
        <v>6.4591032000000004</v>
      </c>
    </row>
    <row r="29" spans="1:6" ht="19.5" customHeight="1" thickBot="1">
      <c r="A29" s="31" t="s">
        <v>51</v>
      </c>
      <c r="B29" s="32" t="s">
        <v>52</v>
      </c>
      <c r="C29" s="30">
        <f>27437*$C$19*4</f>
        <v>3.4405998000000002</v>
      </c>
    </row>
    <row r="30" spans="1:6" ht="17.25" customHeight="1" thickBot="1">
      <c r="A30" s="31" t="s">
        <v>53</v>
      </c>
      <c r="B30" s="32" t="s">
        <v>54</v>
      </c>
      <c r="C30" s="30">
        <f>1110*$C$19*4</f>
        <v>0.13919400000000001</v>
      </c>
    </row>
    <row r="31" spans="1:6" ht="32.25" thickBot="1">
      <c r="A31" s="31" t="s">
        <v>55</v>
      </c>
      <c r="B31" s="32" t="s">
        <v>56</v>
      </c>
      <c r="C31" s="30">
        <f>13237*$C$19*4</f>
        <v>1.6599198000000002</v>
      </c>
    </row>
    <row r="32" spans="1:6" ht="32.25" thickBot="1">
      <c r="A32" s="31" t="s">
        <v>57</v>
      </c>
      <c r="B32" s="32" t="s">
        <v>58</v>
      </c>
      <c r="C32" s="30">
        <f>8480*$C$19*4</f>
        <v>1.0633920000000001</v>
      </c>
    </row>
    <row r="33" spans="1:3" ht="32.25" thickBot="1">
      <c r="A33" s="31" t="s">
        <v>59</v>
      </c>
      <c r="B33" s="32" t="s">
        <v>60</v>
      </c>
      <c r="C33" s="30">
        <f>16199*$C$19*4</f>
        <v>2.0313546000000002</v>
      </c>
    </row>
    <row r="34" spans="1:3" ht="17.25" customHeight="1" thickBot="1">
      <c r="A34" s="31" t="s">
        <v>61</v>
      </c>
      <c r="B34" s="32" t="s">
        <v>62</v>
      </c>
      <c r="C34" s="30">
        <f>106687*$C$19*4</f>
        <v>13.378549800000002</v>
      </c>
    </row>
    <row r="35" spans="1:3" ht="32.25" thickBot="1">
      <c r="A35" s="31" t="s">
        <v>63</v>
      </c>
      <c r="B35" s="34" t="s">
        <v>64</v>
      </c>
      <c r="C35" s="30">
        <f>616784*$C$19*4</f>
        <v>77.344713600000006</v>
      </c>
    </row>
    <row r="36" spans="1:3" ht="15.75">
      <c r="A36" s="116" t="s">
        <v>29</v>
      </c>
      <c r="B36" s="117"/>
      <c r="C36" s="35">
        <f>SUM(C20:C35)</f>
        <v>378.57197869523998</v>
      </c>
    </row>
    <row r="37" spans="1:3" ht="15.75" customHeight="1">
      <c r="A37" s="118" t="s">
        <v>65</v>
      </c>
      <c r="B37" s="119"/>
      <c r="C37" s="36">
        <f>C36+C17</f>
        <v>781.73244589523995</v>
      </c>
    </row>
    <row r="38" spans="1:3" ht="15.75">
      <c r="A38" s="1"/>
      <c r="B38" s="1"/>
      <c r="C38" s="37"/>
    </row>
    <row r="39" spans="1:3" ht="15.75" customHeight="1">
      <c r="A39" s="103" t="s">
        <v>66</v>
      </c>
      <c r="B39" s="104"/>
      <c r="C39" s="38">
        <v>4</v>
      </c>
    </row>
    <row r="40" spans="1:3" ht="15.75" customHeight="1">
      <c r="A40" s="103" t="s">
        <v>67</v>
      </c>
      <c r="B40" s="104"/>
      <c r="C40" s="39">
        <f>ROUND(C37/C39,2)</f>
        <v>195.43</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7747F-6389-46CF-9467-BF4435235D47}">
  <sheetPr>
    <tabColor theme="8" tint="0.79998168889431442"/>
  </sheetPr>
  <dimension ref="A1:F40"/>
  <sheetViews>
    <sheetView zoomScaleNormal="100" workbookViewId="0">
      <selection activeCell="J8" sqref="J8"/>
    </sheetView>
  </sheetViews>
  <sheetFormatPr defaultRowHeight="12.75"/>
  <cols>
    <col min="1" max="1" width="10.7109375" customWidth="1"/>
    <col min="2" max="2" width="98.7109375" customWidth="1"/>
    <col min="3" max="3" width="25.5703125" customWidth="1"/>
  </cols>
  <sheetData>
    <row r="1" spans="1:3" ht="67.15000000000000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63.6" customHeight="1">
      <c r="A6" s="102" t="s">
        <v>291</v>
      </c>
      <c r="B6" s="102"/>
      <c r="C6" s="102"/>
    </row>
    <row r="7" spans="1:3" ht="15.75">
      <c r="A7" s="101" t="s">
        <v>94</v>
      </c>
      <c r="B7" s="101"/>
      <c r="C7" s="101"/>
    </row>
    <row r="8" spans="1:3" ht="15.75">
      <c r="A8" s="98" t="s">
        <v>292</v>
      </c>
      <c r="B8" s="98"/>
      <c r="C8" s="40"/>
    </row>
    <row r="9" spans="1:3" ht="15.75">
      <c r="A9" s="43"/>
      <c r="B9" s="43"/>
      <c r="C9" s="40"/>
    </row>
    <row r="10" spans="1:3" ht="63">
      <c r="A10" s="14" t="s">
        <v>24</v>
      </c>
      <c r="B10" s="15" t="s">
        <v>25</v>
      </c>
      <c r="C10" s="16" t="s">
        <v>30</v>
      </c>
    </row>
    <row r="11" spans="1:3" ht="26.25" customHeight="1" thickBot="1">
      <c r="A11" s="105" t="s">
        <v>26</v>
      </c>
      <c r="B11" s="106"/>
      <c r="C11" s="107"/>
    </row>
    <row r="12" spans="1:3" ht="20.25" customHeight="1">
      <c r="A12" s="108" t="s">
        <v>31</v>
      </c>
      <c r="B12" s="55" t="s">
        <v>272</v>
      </c>
      <c r="C12" s="18">
        <f>(9.05*1)*7</f>
        <v>63.350000000000009</v>
      </c>
    </row>
    <row r="13" spans="1:3" ht="15.75">
      <c r="A13" s="109"/>
      <c r="B13" s="56" t="s">
        <v>293</v>
      </c>
      <c r="C13" s="18">
        <f>(13.564*10*2)*7</f>
        <v>1898.9599999999998</v>
      </c>
    </row>
    <row r="14" spans="1:3" ht="16.5" thickBot="1">
      <c r="A14" s="109"/>
      <c r="B14" s="57" t="s">
        <v>274</v>
      </c>
      <c r="C14" s="18">
        <f>(16.171*1)*7</f>
        <v>113.197</v>
      </c>
    </row>
    <row r="15" spans="1:3" ht="16.5" thickBot="1">
      <c r="A15" s="110"/>
      <c r="B15" s="57" t="s">
        <v>275</v>
      </c>
      <c r="C15" s="18">
        <f>(20.321*1)*7</f>
        <v>142.24700000000001</v>
      </c>
    </row>
    <row r="16" spans="1:3" ht="31.5">
      <c r="A16" s="21" t="s">
        <v>32</v>
      </c>
      <c r="B16" s="58" t="s">
        <v>33</v>
      </c>
      <c r="C16" s="23">
        <f>SUM(C12:C15)*0.2359</f>
        <v>523.16816859999983</v>
      </c>
    </row>
    <row r="17" spans="1:6" ht="15.75">
      <c r="A17" s="111" t="s">
        <v>27</v>
      </c>
      <c r="B17" s="112"/>
      <c r="C17" s="24">
        <f>SUM(C12:C16)</f>
        <v>2740.9221685999992</v>
      </c>
      <c r="F17" s="45">
        <f>C17+C20+C21</f>
        <v>3804.4679479526012</v>
      </c>
    </row>
    <row r="18" spans="1:6" ht="16.5" thickBot="1">
      <c r="A18" s="113" t="s">
        <v>28</v>
      </c>
      <c r="B18" s="114"/>
      <c r="C18" s="115"/>
      <c r="F18" s="45">
        <f>C22+C23+C24+C25+C26+C27+C29+C28+C30+C31+C32+C33</f>
        <v>893.71071244000018</v>
      </c>
    </row>
    <row r="19" spans="1:6" ht="15.75">
      <c r="A19" s="25"/>
      <c r="B19" s="26" t="s">
        <v>34</v>
      </c>
      <c r="C19" s="27">
        <v>1.2181E-4</v>
      </c>
      <c r="F19" s="45">
        <f>C34+C35</f>
        <v>616.88201757000002</v>
      </c>
    </row>
    <row r="20" spans="1:6" ht="16.5" thickBot="1">
      <c r="A20" s="28" t="s">
        <v>35</v>
      </c>
      <c r="B20" s="29" t="s">
        <v>36</v>
      </c>
      <c r="C20" s="30">
        <f>1009234*$C$19*7</f>
        <v>860.54355478000002</v>
      </c>
    </row>
    <row r="21" spans="1:6" ht="32.25" thickBot="1">
      <c r="A21" s="31" t="s">
        <v>32</v>
      </c>
      <c r="B21" s="32" t="s">
        <v>33</v>
      </c>
      <c r="C21" s="33">
        <f>C20*0.2359</f>
        <v>203.00222457260202</v>
      </c>
    </row>
    <row r="22" spans="1:6" ht="32.25" thickBot="1">
      <c r="A22" s="31" t="s">
        <v>37</v>
      </c>
      <c r="B22" s="32" t="s">
        <v>38</v>
      </c>
      <c r="C22" s="30">
        <f>93709*$C$19*7</f>
        <v>79.902853030000003</v>
      </c>
    </row>
    <row r="23" spans="1:6" ht="18.75" customHeight="1" thickBot="1">
      <c r="A23" s="31" t="s">
        <v>39</v>
      </c>
      <c r="B23" s="32" t="s">
        <v>40</v>
      </c>
      <c r="C23" s="30">
        <f>76039*$C$19*7</f>
        <v>64.836174130000003</v>
      </c>
    </row>
    <row r="24" spans="1:6" ht="19.5" customHeight="1" thickBot="1">
      <c r="A24" s="31" t="s">
        <v>41</v>
      </c>
      <c r="B24" s="32" t="s">
        <v>42</v>
      </c>
      <c r="C24" s="30">
        <f>84854*$C$19*7</f>
        <v>72.352460180000008</v>
      </c>
    </row>
    <row r="25" spans="1:6" ht="16.5" thickBot="1">
      <c r="A25" s="31" t="s">
        <v>43</v>
      </c>
      <c r="B25" s="32" t="s">
        <v>247</v>
      </c>
      <c r="C25" s="30">
        <f>127766*$C$19*7</f>
        <v>108.94223522</v>
      </c>
    </row>
    <row r="26" spans="1:6" ht="32.25" thickBot="1">
      <c r="A26" s="31" t="s">
        <v>45</v>
      </c>
      <c r="B26" s="32" t="s">
        <v>46</v>
      </c>
      <c r="C26" s="30">
        <f>170156*$C$19*7</f>
        <v>145.08691652000002</v>
      </c>
    </row>
    <row r="27" spans="1:6" ht="32.25" thickBot="1">
      <c r="A27" s="31" t="s">
        <v>47</v>
      </c>
      <c r="B27" s="32" t="s">
        <v>48</v>
      </c>
      <c r="C27" s="30">
        <f>377637*$C$19*7</f>
        <v>321.99974078999998</v>
      </c>
    </row>
    <row r="28" spans="1:6" ht="18.75" customHeight="1" thickBot="1">
      <c r="A28" s="31" t="s">
        <v>49</v>
      </c>
      <c r="B28" s="32" t="s">
        <v>50</v>
      </c>
      <c r="C28" s="30">
        <f>51508*$C$19*7</f>
        <v>43.919326359999999</v>
      </c>
    </row>
    <row r="29" spans="1:6" ht="18.75" customHeight="1" thickBot="1">
      <c r="A29" s="31" t="s">
        <v>51</v>
      </c>
      <c r="B29" s="32" t="s">
        <v>52</v>
      </c>
      <c r="C29" s="30">
        <f>27437*$C$19*7</f>
        <v>23.394706790000001</v>
      </c>
    </row>
    <row r="30" spans="1:6" ht="18.75" customHeight="1" thickBot="1">
      <c r="A30" s="31" t="s">
        <v>53</v>
      </c>
      <c r="B30" s="32" t="s">
        <v>54</v>
      </c>
      <c r="C30" s="30">
        <f>1110*$C$19*7</f>
        <v>0.94646370000000002</v>
      </c>
    </row>
    <row r="31" spans="1:6" ht="32.25" thickBot="1">
      <c r="A31" s="31" t="s">
        <v>55</v>
      </c>
      <c r="B31" s="32" t="s">
        <v>56</v>
      </c>
      <c r="C31" s="30">
        <f>13237*$C$19*7</f>
        <v>11.28679279</v>
      </c>
    </row>
    <row r="32" spans="1:6" ht="32.25" thickBot="1">
      <c r="A32" s="31" t="s">
        <v>57</v>
      </c>
      <c r="B32" s="32" t="s">
        <v>58</v>
      </c>
      <c r="C32" s="30">
        <f>8480*$C$19*7</f>
        <v>7.2306416000000002</v>
      </c>
    </row>
    <row r="33" spans="1:3" ht="32.25" thickBot="1">
      <c r="A33" s="31" t="s">
        <v>59</v>
      </c>
      <c r="B33" s="32" t="s">
        <v>60</v>
      </c>
      <c r="C33" s="30">
        <f>16199*$C$19*7</f>
        <v>13.81240133</v>
      </c>
    </row>
    <row r="34" spans="1:3" ht="18.75" customHeight="1" thickBot="1">
      <c r="A34" s="31" t="s">
        <v>61</v>
      </c>
      <c r="B34" s="32" t="s">
        <v>62</v>
      </c>
      <c r="C34" s="30">
        <f>106687*$C$19*7</f>
        <v>90.968804289999994</v>
      </c>
    </row>
    <row r="35" spans="1:3" ht="32.25" thickBot="1">
      <c r="A35" s="31" t="s">
        <v>63</v>
      </c>
      <c r="B35" s="34" t="s">
        <v>64</v>
      </c>
      <c r="C35" s="30">
        <f>616784*$C$19*7</f>
        <v>525.91321328000004</v>
      </c>
    </row>
    <row r="36" spans="1:3" ht="15.75">
      <c r="A36" s="116" t="s">
        <v>29</v>
      </c>
      <c r="B36" s="117"/>
      <c r="C36" s="35">
        <f>SUM(C20:C35)</f>
        <v>2574.1385093626022</v>
      </c>
    </row>
    <row r="37" spans="1:3" ht="15.75" customHeight="1">
      <c r="A37" s="118" t="s">
        <v>65</v>
      </c>
      <c r="B37" s="119"/>
      <c r="C37" s="36">
        <f>C36+C17</f>
        <v>5315.0606779626014</v>
      </c>
    </row>
    <row r="38" spans="1:3" ht="15.75">
      <c r="A38" s="1"/>
      <c r="B38" s="1"/>
      <c r="C38" s="37"/>
    </row>
    <row r="39" spans="1:3" ht="15.75" customHeight="1">
      <c r="A39" s="103" t="s">
        <v>66</v>
      </c>
      <c r="B39" s="104"/>
      <c r="C39" s="38">
        <v>7</v>
      </c>
    </row>
    <row r="40" spans="1:3" ht="15.75" customHeight="1">
      <c r="A40" s="103" t="s">
        <v>67</v>
      </c>
      <c r="B40" s="104"/>
      <c r="C40" s="39">
        <f>ROUND(C37/C39,2)</f>
        <v>759.29</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253AC-CD37-4778-ACE6-1D04C6BF0ACE}">
  <sheetPr>
    <tabColor theme="8" tint="0.79998168889431442"/>
  </sheetPr>
  <dimension ref="A1:F40"/>
  <sheetViews>
    <sheetView zoomScaleNormal="100" workbookViewId="0">
      <selection activeCell="K10" sqref="K10"/>
    </sheetView>
  </sheetViews>
  <sheetFormatPr defaultRowHeight="12.75"/>
  <cols>
    <col min="1" max="1" width="10.7109375" customWidth="1"/>
    <col min="2" max="2" width="98.7109375" customWidth="1"/>
    <col min="3" max="3" width="25.5703125" customWidth="1"/>
  </cols>
  <sheetData>
    <row r="1" spans="1:3" ht="69"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66.599999999999994" customHeight="1">
      <c r="A6" s="102" t="s">
        <v>294</v>
      </c>
      <c r="B6" s="102"/>
      <c r="C6" s="102"/>
    </row>
    <row r="7" spans="1:3" ht="15.75">
      <c r="A7" s="101" t="s">
        <v>94</v>
      </c>
      <c r="B7" s="101"/>
      <c r="C7" s="101"/>
    </row>
    <row r="8" spans="1:3" ht="15.75">
      <c r="A8" s="98" t="s">
        <v>97</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55" t="s">
        <v>272</v>
      </c>
      <c r="C12" s="18">
        <f>(9.05*1)*3</f>
        <v>27.150000000000002</v>
      </c>
    </row>
    <row r="13" spans="1:3" ht="15.75">
      <c r="A13" s="109"/>
      <c r="B13" s="56" t="s">
        <v>295</v>
      </c>
      <c r="C13" s="18">
        <f>(13.564*6*2)*3</f>
        <v>488.30399999999997</v>
      </c>
    </row>
    <row r="14" spans="1:3" ht="16.5" thickBot="1">
      <c r="A14" s="109"/>
      <c r="B14" s="57" t="s">
        <v>274</v>
      </c>
      <c r="C14" s="18">
        <f>(16.171*1)*3</f>
        <v>48.512999999999998</v>
      </c>
    </row>
    <row r="15" spans="1:3" ht="16.5" thickBot="1">
      <c r="A15" s="110"/>
      <c r="B15" s="57" t="s">
        <v>275</v>
      </c>
      <c r="C15" s="18">
        <f>(20.321*1)*3</f>
        <v>60.963000000000008</v>
      </c>
    </row>
    <row r="16" spans="1:3" ht="31.5">
      <c r="A16" s="21" t="s">
        <v>32</v>
      </c>
      <c r="B16" s="58" t="s">
        <v>33</v>
      </c>
      <c r="C16" s="23">
        <f>SUM(C12:C15)*0.2359</f>
        <v>147.420987</v>
      </c>
    </row>
    <row r="17" spans="1:6" ht="15.75">
      <c r="A17" s="111" t="s">
        <v>27</v>
      </c>
      <c r="B17" s="112"/>
      <c r="C17" s="24">
        <f>SUM(C12:C16)</f>
        <v>772.35098699999992</v>
      </c>
      <c r="F17" s="45">
        <f>C17+C20+C21</f>
        <v>1072.042713465162</v>
      </c>
    </row>
    <row r="18" spans="1:6" ht="16.5" thickBot="1">
      <c r="A18" s="113" t="s">
        <v>28</v>
      </c>
      <c r="B18" s="114"/>
      <c r="C18" s="115"/>
      <c r="F18" s="45">
        <f>C22+C23+C24+C25+C26+C27+C28+C29+C30+C31+C32+C33</f>
        <v>251.83467563999994</v>
      </c>
    </row>
    <row r="19" spans="1:6" ht="15.75">
      <c r="A19" s="25"/>
      <c r="B19" s="26" t="s">
        <v>34</v>
      </c>
      <c r="C19" s="27">
        <v>8.0090000000000001E-5</v>
      </c>
      <c r="F19" s="45">
        <f>C34+C35</f>
        <v>173.82837717000001</v>
      </c>
    </row>
    <row r="20" spans="1:6" ht="16.5" thickBot="1">
      <c r="A20" s="28" t="s">
        <v>35</v>
      </c>
      <c r="B20" s="29" t="s">
        <v>36</v>
      </c>
      <c r="C20" s="30">
        <f>1009234*$C$19*3</f>
        <v>242.48865318</v>
      </c>
    </row>
    <row r="21" spans="1:6" ht="32.25" thickBot="1">
      <c r="A21" s="31" t="s">
        <v>32</v>
      </c>
      <c r="B21" s="32" t="s">
        <v>33</v>
      </c>
      <c r="C21" s="30">
        <f>C20*0.2359</f>
        <v>57.203073285161999</v>
      </c>
    </row>
    <row r="22" spans="1:6" ht="32.25" thickBot="1">
      <c r="A22" s="31" t="s">
        <v>37</v>
      </c>
      <c r="B22" s="32" t="s">
        <v>38</v>
      </c>
      <c r="C22" s="30">
        <f>93709*$C$19*3</f>
        <v>22.515461430000002</v>
      </c>
    </row>
    <row r="23" spans="1:6" ht="20.25" customHeight="1" thickBot="1">
      <c r="A23" s="31" t="s">
        <v>39</v>
      </c>
      <c r="B23" s="32" t="s">
        <v>40</v>
      </c>
      <c r="C23" s="30">
        <f>76039*$C$19*3</f>
        <v>18.269890530000001</v>
      </c>
    </row>
    <row r="24" spans="1:6" ht="18.75" customHeight="1" thickBot="1">
      <c r="A24" s="31" t="s">
        <v>41</v>
      </c>
      <c r="B24" s="32" t="s">
        <v>42</v>
      </c>
      <c r="C24" s="30">
        <f>84854*$C$19*3</f>
        <v>20.387870580000001</v>
      </c>
    </row>
    <row r="25" spans="1:6" ht="16.5" thickBot="1">
      <c r="A25" s="31" t="s">
        <v>43</v>
      </c>
      <c r="B25" s="32" t="s">
        <v>247</v>
      </c>
      <c r="C25" s="30">
        <f>127766*$C$19*3</f>
        <v>30.698336819999998</v>
      </c>
    </row>
    <row r="26" spans="1:6" ht="32.25" thickBot="1">
      <c r="A26" s="31" t="s">
        <v>45</v>
      </c>
      <c r="B26" s="32" t="s">
        <v>46</v>
      </c>
      <c r="C26" s="30">
        <f>170156*$C$19*3</f>
        <v>40.88338212</v>
      </c>
    </row>
    <row r="27" spans="1:6" ht="32.25" thickBot="1">
      <c r="A27" s="31" t="s">
        <v>47</v>
      </c>
      <c r="B27" s="32" t="s">
        <v>48</v>
      </c>
      <c r="C27" s="30">
        <f>377637*$C$19*3</f>
        <v>90.734841989999993</v>
      </c>
    </row>
    <row r="28" spans="1:6" ht="18" customHeight="1" thickBot="1">
      <c r="A28" s="31" t="s">
        <v>49</v>
      </c>
      <c r="B28" s="32" t="s">
        <v>50</v>
      </c>
      <c r="C28" s="30">
        <f>51508*$C$19*3</f>
        <v>12.37582716</v>
      </c>
    </row>
    <row r="29" spans="1:6" ht="18.75" customHeight="1" thickBot="1">
      <c r="A29" s="31" t="s">
        <v>51</v>
      </c>
      <c r="B29" s="32" t="s">
        <v>52</v>
      </c>
      <c r="C29" s="30">
        <f>27437*$C$19*3</f>
        <v>6.5922879899999991</v>
      </c>
    </row>
    <row r="30" spans="1:6" ht="21.75" customHeight="1" thickBot="1">
      <c r="A30" s="31" t="s">
        <v>53</v>
      </c>
      <c r="B30" s="32" t="s">
        <v>54</v>
      </c>
      <c r="C30" s="30">
        <f>1110*$C$19*3</f>
        <v>0.26669969999999998</v>
      </c>
    </row>
    <row r="31" spans="1:6" ht="32.25" thickBot="1">
      <c r="A31" s="31" t="s">
        <v>55</v>
      </c>
      <c r="B31" s="32" t="s">
        <v>56</v>
      </c>
      <c r="C31" s="30">
        <f>13237*$C$19*3</f>
        <v>3.1804539900000002</v>
      </c>
    </row>
    <row r="32" spans="1:6" ht="32.25" thickBot="1">
      <c r="A32" s="31" t="s">
        <v>57</v>
      </c>
      <c r="B32" s="32" t="s">
        <v>58</v>
      </c>
      <c r="C32" s="30">
        <f>8480*$C$19*3</f>
        <v>2.0374895999999998</v>
      </c>
    </row>
    <row r="33" spans="1:3" ht="32.25" thickBot="1">
      <c r="A33" s="31" t="s">
        <v>59</v>
      </c>
      <c r="B33" s="32" t="s">
        <v>60</v>
      </c>
      <c r="C33" s="30">
        <f>16199*$C$19*3</f>
        <v>3.8921337300000003</v>
      </c>
    </row>
    <row r="34" spans="1:3" ht="17.25" customHeight="1" thickBot="1">
      <c r="A34" s="31" t="s">
        <v>61</v>
      </c>
      <c r="B34" s="32" t="s">
        <v>62</v>
      </c>
      <c r="C34" s="30">
        <f>106687*$C$19*3</f>
        <v>25.633685489999998</v>
      </c>
    </row>
    <row r="35" spans="1:3" ht="32.25" thickBot="1">
      <c r="A35" s="31" t="s">
        <v>63</v>
      </c>
      <c r="B35" s="34" t="s">
        <v>64</v>
      </c>
      <c r="C35" s="30">
        <f>616784*$C$19*3</f>
        <v>148.19469168000001</v>
      </c>
    </row>
    <row r="36" spans="1:3" ht="15.75">
      <c r="A36" s="116" t="s">
        <v>29</v>
      </c>
      <c r="B36" s="117"/>
      <c r="C36" s="35">
        <f>SUM(C20:C35)</f>
        <v>725.35477927516195</v>
      </c>
    </row>
    <row r="37" spans="1:3" ht="15.75">
      <c r="A37" s="118" t="s">
        <v>65</v>
      </c>
      <c r="B37" s="119"/>
      <c r="C37" s="36">
        <f>C36+C17</f>
        <v>1497.7057662751617</v>
      </c>
    </row>
    <row r="38" spans="1:3" ht="15.75">
      <c r="A38" s="1"/>
      <c r="B38" s="1"/>
      <c r="C38" s="37"/>
    </row>
    <row r="39" spans="1:3" ht="15.75">
      <c r="A39" s="103" t="s">
        <v>66</v>
      </c>
      <c r="B39" s="104"/>
      <c r="C39" s="38">
        <v>3</v>
      </c>
    </row>
    <row r="40" spans="1:3" ht="15.75">
      <c r="A40" s="103" t="s">
        <v>67</v>
      </c>
      <c r="B40" s="104"/>
      <c r="C40" s="39">
        <f>ROUND(C37/C39,2)</f>
        <v>499.24</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E2552-3F21-48B8-A889-636F687CF794}">
  <sheetPr>
    <tabColor theme="8" tint="0.79998168889431442"/>
  </sheetPr>
  <dimension ref="A1:F40"/>
  <sheetViews>
    <sheetView zoomScaleNormal="100" workbookViewId="0">
      <selection activeCell="J7" sqref="J7"/>
    </sheetView>
  </sheetViews>
  <sheetFormatPr defaultRowHeight="12.75"/>
  <cols>
    <col min="1" max="1" width="10.7109375" customWidth="1"/>
    <col min="2" max="2" width="98.7109375" customWidth="1"/>
    <col min="3" max="3" width="25.5703125" customWidth="1"/>
  </cols>
  <sheetData>
    <row r="1" spans="1:3" ht="66.599999999999994"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6.150000000000006" customHeight="1">
      <c r="A6" s="102" t="s">
        <v>296</v>
      </c>
      <c r="B6" s="102"/>
      <c r="C6" s="102"/>
    </row>
    <row r="7" spans="1:3" ht="15.75">
      <c r="A7" s="101" t="s">
        <v>94</v>
      </c>
      <c r="B7" s="101"/>
      <c r="C7" s="101"/>
    </row>
    <row r="8" spans="1:3" ht="15.75">
      <c r="A8" s="98" t="s">
        <v>128</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55" t="s">
        <v>297</v>
      </c>
      <c r="C12" s="18">
        <f>(9.05*2)*2</f>
        <v>36.200000000000003</v>
      </c>
    </row>
    <row r="13" spans="1:3" ht="15.75">
      <c r="A13" s="109"/>
      <c r="B13" s="56" t="s">
        <v>298</v>
      </c>
      <c r="C13" s="18">
        <f>(13.564*40*3)*2</f>
        <v>3255.3599999999997</v>
      </c>
    </row>
    <row r="14" spans="1:3" ht="16.5" thickBot="1">
      <c r="A14" s="109"/>
      <c r="B14" s="57" t="s">
        <v>299</v>
      </c>
      <c r="C14" s="18">
        <f>(16.171*12)*2</f>
        <v>388.10399999999998</v>
      </c>
    </row>
    <row r="15" spans="1:3" ht="16.5" thickBot="1">
      <c r="A15" s="110"/>
      <c r="B15" s="57" t="s">
        <v>300</v>
      </c>
      <c r="C15" s="18">
        <f>(20.321*12)*2</f>
        <v>487.70400000000006</v>
      </c>
    </row>
    <row r="16" spans="1:3" ht="31.5">
      <c r="A16" s="21" t="s">
        <v>32</v>
      </c>
      <c r="B16" s="58" t="s">
        <v>33</v>
      </c>
      <c r="C16" s="23">
        <f>SUM(C12:C15)*0.2359</f>
        <v>983.08211119999987</v>
      </c>
    </row>
    <row r="17" spans="1:6" ht="15.75">
      <c r="A17" s="111" t="s">
        <v>27</v>
      </c>
      <c r="B17" s="112"/>
      <c r="C17" s="24">
        <f>SUM(C12:C16)</f>
        <v>5150.4501111999998</v>
      </c>
      <c r="F17" s="45">
        <f>C17+C20+C21</f>
        <v>7148.9687179593566</v>
      </c>
    </row>
    <row r="18" spans="1:6" ht="16.5" thickBot="1">
      <c r="A18" s="113" t="s">
        <v>28</v>
      </c>
      <c r="B18" s="114"/>
      <c r="C18" s="115"/>
      <c r="F18" s="45">
        <f>C22+C23+C24+C25+C26+C27+C28+C29+C30+C31+C32+C33</f>
        <v>1679.3799783199997</v>
      </c>
    </row>
    <row r="19" spans="1:6" ht="15.75">
      <c r="A19" s="25"/>
      <c r="B19" s="26" t="s">
        <v>34</v>
      </c>
      <c r="C19" s="27">
        <v>8.0113000000000005E-4</v>
      </c>
      <c r="F19" s="45">
        <f>C34+C35</f>
        <v>1159.1886444600002</v>
      </c>
    </row>
    <row r="20" spans="1:6" ht="16.5" thickBot="1">
      <c r="A20" s="28" t="s">
        <v>35</v>
      </c>
      <c r="B20" s="29" t="s">
        <v>36</v>
      </c>
      <c r="C20" s="30">
        <f>1009234*$C$19*2</f>
        <v>1617.0552688400001</v>
      </c>
    </row>
    <row r="21" spans="1:6" ht="32.25" thickBot="1">
      <c r="A21" s="31" t="s">
        <v>32</v>
      </c>
      <c r="B21" s="32" t="s">
        <v>33</v>
      </c>
      <c r="C21" s="30">
        <f>C20*0.2359</f>
        <v>381.46333791935604</v>
      </c>
    </row>
    <row r="22" spans="1:6" ht="32.25" thickBot="1">
      <c r="A22" s="31" t="s">
        <v>37</v>
      </c>
      <c r="B22" s="32" t="s">
        <v>38</v>
      </c>
      <c r="C22" s="30">
        <f>93709*$C$19*2</f>
        <v>150.14618234</v>
      </c>
    </row>
    <row r="23" spans="1:6" ht="21" customHeight="1" thickBot="1">
      <c r="A23" s="31" t="s">
        <v>39</v>
      </c>
      <c r="B23" s="32" t="s">
        <v>40</v>
      </c>
      <c r="C23" s="30">
        <f>76039*$C$19*2</f>
        <v>121.83424814000001</v>
      </c>
    </row>
    <row r="24" spans="1:6" ht="21" customHeight="1" thickBot="1">
      <c r="A24" s="31" t="s">
        <v>41</v>
      </c>
      <c r="B24" s="32" t="s">
        <v>42</v>
      </c>
      <c r="C24" s="30">
        <f>84854*$C$19*2</f>
        <v>135.95817004</v>
      </c>
    </row>
    <row r="25" spans="1:6" ht="16.5" thickBot="1">
      <c r="A25" s="31" t="s">
        <v>43</v>
      </c>
      <c r="B25" s="32" t="s">
        <v>247</v>
      </c>
      <c r="C25" s="30">
        <f>127766*$C$19*2</f>
        <v>204.71435116000001</v>
      </c>
    </row>
    <row r="26" spans="1:6" ht="32.25" thickBot="1">
      <c r="A26" s="31" t="s">
        <v>45</v>
      </c>
      <c r="B26" s="32" t="s">
        <v>46</v>
      </c>
      <c r="C26" s="30">
        <f>170156*$C$19*2</f>
        <v>272.63415256000002</v>
      </c>
    </row>
    <row r="27" spans="1:6" ht="32.25" thickBot="1">
      <c r="A27" s="31" t="s">
        <v>47</v>
      </c>
      <c r="B27" s="32" t="s">
        <v>48</v>
      </c>
      <c r="C27" s="30">
        <f>377637*$C$19*2</f>
        <v>605.07265962000008</v>
      </c>
    </row>
    <row r="28" spans="1:6" ht="21" customHeight="1" thickBot="1">
      <c r="A28" s="31" t="s">
        <v>49</v>
      </c>
      <c r="B28" s="32" t="s">
        <v>50</v>
      </c>
      <c r="C28" s="30">
        <f>51508*$C$19*2</f>
        <v>82.529208080000004</v>
      </c>
    </row>
    <row r="29" spans="1:6" ht="19.5" customHeight="1" thickBot="1">
      <c r="A29" s="31" t="s">
        <v>51</v>
      </c>
      <c r="B29" s="32" t="s">
        <v>52</v>
      </c>
      <c r="C29" s="30">
        <f>27437*$C$19*2</f>
        <v>43.961207620000003</v>
      </c>
    </row>
    <row r="30" spans="1:6" ht="18" customHeight="1" thickBot="1">
      <c r="A30" s="31" t="s">
        <v>53</v>
      </c>
      <c r="B30" s="32" t="s">
        <v>54</v>
      </c>
      <c r="C30" s="30">
        <f>1110*$C$19*2</f>
        <v>1.7785086000000001</v>
      </c>
    </row>
    <row r="31" spans="1:6" ht="32.25" thickBot="1">
      <c r="A31" s="31" t="s">
        <v>55</v>
      </c>
      <c r="B31" s="32" t="s">
        <v>56</v>
      </c>
      <c r="C31" s="30">
        <f>13237*$C$19*2</f>
        <v>21.209115620000002</v>
      </c>
    </row>
    <row r="32" spans="1:6" ht="32.25" thickBot="1">
      <c r="A32" s="31" t="s">
        <v>57</v>
      </c>
      <c r="B32" s="32" t="s">
        <v>58</v>
      </c>
      <c r="C32" s="30">
        <f>8480*$C$19*2</f>
        <v>13.5871648</v>
      </c>
    </row>
    <row r="33" spans="1:3" ht="32.25" thickBot="1">
      <c r="A33" s="31" t="s">
        <v>59</v>
      </c>
      <c r="B33" s="32" t="s">
        <v>60</v>
      </c>
      <c r="C33" s="30">
        <f>16199*$C$19*2</f>
        <v>25.955009740000001</v>
      </c>
    </row>
    <row r="34" spans="1:3" ht="18.75" customHeight="1" thickBot="1">
      <c r="A34" s="31" t="s">
        <v>61</v>
      </c>
      <c r="B34" s="32" t="s">
        <v>62</v>
      </c>
      <c r="C34" s="30">
        <f>106687*$C$19*2</f>
        <v>170.94031262000001</v>
      </c>
    </row>
    <row r="35" spans="1:3" ht="32.25" thickBot="1">
      <c r="A35" s="31" t="s">
        <v>63</v>
      </c>
      <c r="B35" s="34" t="s">
        <v>64</v>
      </c>
      <c r="C35" s="30">
        <f>616784*$C$19*2</f>
        <v>988.24833184000011</v>
      </c>
    </row>
    <row r="36" spans="1:3" ht="15.75">
      <c r="A36" s="116" t="s">
        <v>29</v>
      </c>
      <c r="B36" s="117"/>
      <c r="C36" s="35">
        <f>SUM(C20:C35)</f>
        <v>4837.0872295393574</v>
      </c>
    </row>
    <row r="37" spans="1:3" ht="15.75">
      <c r="A37" s="118" t="s">
        <v>65</v>
      </c>
      <c r="B37" s="119"/>
      <c r="C37" s="36">
        <f>C36+C17</f>
        <v>9987.5373407393563</v>
      </c>
    </row>
    <row r="38" spans="1:3" ht="15.75">
      <c r="A38" s="1"/>
      <c r="B38" s="1"/>
      <c r="C38" s="37"/>
    </row>
    <row r="39" spans="1:3" ht="15.75">
      <c r="A39" s="103" t="s">
        <v>66</v>
      </c>
      <c r="B39" s="104"/>
      <c r="C39" s="38">
        <v>2</v>
      </c>
    </row>
    <row r="40" spans="1:3" ht="15.75">
      <c r="A40" s="103" t="s">
        <v>67</v>
      </c>
      <c r="B40" s="104"/>
      <c r="C40" s="39">
        <f>ROUND(C37/C39,2)</f>
        <v>4993.7700000000004</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44A71-0042-45B4-B42F-F64075D287CF}">
  <sheetPr>
    <tabColor theme="8" tint="0.79998168889431442"/>
  </sheetPr>
  <dimension ref="A1:F40"/>
  <sheetViews>
    <sheetView zoomScaleNormal="100" workbookViewId="0">
      <selection activeCell="L9" sqref="L9"/>
    </sheetView>
  </sheetViews>
  <sheetFormatPr defaultRowHeight="12.75"/>
  <cols>
    <col min="1" max="1" width="10.7109375" customWidth="1"/>
    <col min="2" max="2" width="98.7109375" customWidth="1"/>
    <col min="3" max="3" width="25.5703125" customWidth="1"/>
  </cols>
  <sheetData>
    <row r="1" spans="1:3" ht="64.90000000000000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1.45" customHeight="1">
      <c r="A6" s="102" t="s">
        <v>301</v>
      </c>
      <c r="B6" s="102"/>
      <c r="C6" s="102"/>
    </row>
    <row r="7" spans="1:3" ht="15.75">
      <c r="A7" s="101" t="s">
        <v>94</v>
      </c>
      <c r="B7" s="101"/>
      <c r="C7" s="101"/>
    </row>
    <row r="8" spans="1:3" ht="15.75">
      <c r="A8" s="98" t="s">
        <v>102</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55" t="s">
        <v>302</v>
      </c>
      <c r="C12" s="18">
        <f>(9.05*1)*1</f>
        <v>9.0500000000000007</v>
      </c>
    </row>
    <row r="13" spans="1:3" ht="15.75">
      <c r="A13" s="109"/>
      <c r="B13" s="56" t="s">
        <v>288</v>
      </c>
      <c r="C13" s="18">
        <f>(13.564*4)*1</f>
        <v>54.256</v>
      </c>
    </row>
    <row r="14" spans="1:3" ht="16.5" thickBot="1">
      <c r="A14" s="109"/>
      <c r="B14" s="57" t="s">
        <v>289</v>
      </c>
      <c r="C14" s="18">
        <f>(16.171*0.5)*1</f>
        <v>8.0854999999999997</v>
      </c>
    </row>
    <row r="15" spans="1:3" ht="16.5" thickBot="1">
      <c r="A15" s="110"/>
      <c r="B15" s="57" t="s">
        <v>290</v>
      </c>
      <c r="C15" s="18">
        <f>(20.321*0.5)*1</f>
        <v>10.160500000000001</v>
      </c>
    </row>
    <row r="16" spans="1:3" ht="31.5">
      <c r="A16" s="21" t="s">
        <v>32</v>
      </c>
      <c r="B16" s="58" t="s">
        <v>33</v>
      </c>
      <c r="C16" s="23">
        <f>SUM(C12:C15)*0.2359</f>
        <v>19.238116799999997</v>
      </c>
    </row>
    <row r="17" spans="1:6" ht="15.75">
      <c r="A17" s="111" t="s">
        <v>27</v>
      </c>
      <c r="B17" s="112"/>
      <c r="C17" s="24">
        <f>SUM(C12:C16)</f>
        <v>100.79011679999999</v>
      </c>
    </row>
    <row r="18" spans="1:6" ht="16.5" thickBot="1">
      <c r="A18" s="113" t="s">
        <v>28</v>
      </c>
      <c r="B18" s="114"/>
      <c r="C18" s="115"/>
    </row>
    <row r="19" spans="1:6" ht="15.75">
      <c r="A19" s="25"/>
      <c r="B19" s="26" t="s">
        <v>34</v>
      </c>
      <c r="C19" s="27">
        <v>3.1350000000000003E-5</v>
      </c>
      <c r="F19" s="45">
        <f>C17+C20+C21</f>
        <v>139.89335742381002</v>
      </c>
    </row>
    <row r="20" spans="1:6" ht="16.5" thickBot="1">
      <c r="A20" s="28" t="s">
        <v>35</v>
      </c>
      <c r="B20" s="29" t="s">
        <v>36</v>
      </c>
      <c r="C20" s="30">
        <f>1009234*$C$19*1</f>
        <v>31.639485900000004</v>
      </c>
      <c r="F20" s="45">
        <f>C22+C23+C24+C25+C26+C27+C28+C29+C30+C31+C32+C33</f>
        <v>32.858938200000011</v>
      </c>
    </row>
    <row r="21" spans="1:6" ht="32.25" thickBot="1">
      <c r="A21" s="31" t="s">
        <v>32</v>
      </c>
      <c r="B21" s="32" t="s">
        <v>33</v>
      </c>
      <c r="C21" s="30">
        <f>C20*0.2359</f>
        <v>7.463754723810001</v>
      </c>
      <c r="F21" s="45">
        <f>C34+C35</f>
        <v>22.680815850000002</v>
      </c>
    </row>
    <row r="22" spans="1:6" ht="32.25" thickBot="1">
      <c r="A22" s="31" t="s">
        <v>37</v>
      </c>
      <c r="B22" s="32" t="s">
        <v>38</v>
      </c>
      <c r="C22" s="30">
        <f>93709*$C$19*1</f>
        <v>2.9377771500000005</v>
      </c>
    </row>
    <row r="23" spans="1:6" ht="17.25" customHeight="1" thickBot="1">
      <c r="A23" s="31" t="s">
        <v>39</v>
      </c>
      <c r="B23" s="32" t="s">
        <v>40</v>
      </c>
      <c r="C23" s="30">
        <f>76039*$C$19*1</f>
        <v>2.3838226500000004</v>
      </c>
    </row>
    <row r="24" spans="1:6" ht="18" customHeight="1" thickBot="1">
      <c r="A24" s="31" t="s">
        <v>41</v>
      </c>
      <c r="B24" s="32" t="s">
        <v>42</v>
      </c>
      <c r="C24" s="30">
        <f>84854*$C$19*1</f>
        <v>2.6601729000000001</v>
      </c>
    </row>
    <row r="25" spans="1:6" ht="16.5" thickBot="1">
      <c r="A25" s="31" t="s">
        <v>43</v>
      </c>
      <c r="B25" s="32" t="s">
        <v>247</v>
      </c>
      <c r="C25" s="30">
        <f>127766*$C$19*1</f>
        <v>4.0054641000000002</v>
      </c>
    </row>
    <row r="26" spans="1:6" ht="32.25" thickBot="1">
      <c r="A26" s="31" t="s">
        <v>45</v>
      </c>
      <c r="B26" s="32" t="s">
        <v>46</v>
      </c>
      <c r="C26" s="30">
        <f>170156*$C$19*1</f>
        <v>5.3343906000000008</v>
      </c>
    </row>
    <row r="27" spans="1:6" ht="32.25" thickBot="1">
      <c r="A27" s="31" t="s">
        <v>47</v>
      </c>
      <c r="B27" s="32" t="s">
        <v>48</v>
      </c>
      <c r="C27" s="30">
        <f>377637*$C$19*1</f>
        <v>11.838919950000001</v>
      </c>
    </row>
    <row r="28" spans="1:6" ht="18" customHeight="1" thickBot="1">
      <c r="A28" s="31" t="s">
        <v>49</v>
      </c>
      <c r="B28" s="32" t="s">
        <v>50</v>
      </c>
      <c r="C28" s="30">
        <f>51508*$C$19*1</f>
        <v>1.6147758000000001</v>
      </c>
    </row>
    <row r="29" spans="1:6" ht="18" customHeight="1" thickBot="1">
      <c r="A29" s="31" t="s">
        <v>51</v>
      </c>
      <c r="B29" s="32" t="s">
        <v>52</v>
      </c>
      <c r="C29" s="30">
        <f>27437*$C$19*1</f>
        <v>0.86014995000000005</v>
      </c>
    </row>
    <row r="30" spans="1:6" ht="15.75" customHeight="1" thickBot="1">
      <c r="A30" s="31" t="s">
        <v>53</v>
      </c>
      <c r="B30" s="32" t="s">
        <v>54</v>
      </c>
      <c r="C30" s="30">
        <f>1110*$C$19*1</f>
        <v>3.4798500000000003E-2</v>
      </c>
    </row>
    <row r="31" spans="1:6" ht="32.25" thickBot="1">
      <c r="A31" s="31" t="s">
        <v>55</v>
      </c>
      <c r="B31" s="32" t="s">
        <v>56</v>
      </c>
      <c r="C31" s="30">
        <f>13237*$C$19*1</f>
        <v>0.41497995000000004</v>
      </c>
    </row>
    <row r="32" spans="1:6" ht="32.25" thickBot="1">
      <c r="A32" s="31" t="s">
        <v>57</v>
      </c>
      <c r="B32" s="32" t="s">
        <v>58</v>
      </c>
      <c r="C32" s="30">
        <f>8480*$C$19*1</f>
        <v>0.26584800000000003</v>
      </c>
    </row>
    <row r="33" spans="1:3" ht="32.25" thickBot="1">
      <c r="A33" s="31" t="s">
        <v>59</v>
      </c>
      <c r="B33" s="32" t="s">
        <v>60</v>
      </c>
      <c r="C33" s="30">
        <f>16199*$C$19*1</f>
        <v>0.50783865000000006</v>
      </c>
    </row>
    <row r="34" spans="1:3" ht="20.25" customHeight="1" thickBot="1">
      <c r="A34" s="31" t="s">
        <v>61</v>
      </c>
      <c r="B34" s="32" t="s">
        <v>62</v>
      </c>
      <c r="C34" s="30">
        <f>106687*$C$19*1</f>
        <v>3.3446374500000005</v>
      </c>
    </row>
    <row r="35" spans="1:3" ht="32.25" thickBot="1">
      <c r="A35" s="31" t="s">
        <v>63</v>
      </c>
      <c r="B35" s="34" t="s">
        <v>64</v>
      </c>
      <c r="C35" s="30">
        <f>616784*$C$19*1</f>
        <v>19.336178400000001</v>
      </c>
    </row>
    <row r="36" spans="1:3" ht="15.75">
      <c r="A36" s="116" t="s">
        <v>29</v>
      </c>
      <c r="B36" s="117"/>
      <c r="C36" s="35">
        <f>SUM(C20:C35)</f>
        <v>94.642994673809994</v>
      </c>
    </row>
    <row r="37" spans="1:3" ht="15.75">
      <c r="A37" s="118" t="s">
        <v>65</v>
      </c>
      <c r="B37" s="119"/>
      <c r="C37" s="36">
        <f>C36+C17</f>
        <v>195.43311147380999</v>
      </c>
    </row>
    <row r="38" spans="1:3" ht="15.75">
      <c r="A38" s="1"/>
      <c r="B38" s="1"/>
      <c r="C38" s="37"/>
    </row>
    <row r="39" spans="1:3" ht="15.75">
      <c r="A39" s="103" t="s">
        <v>66</v>
      </c>
      <c r="B39" s="104"/>
      <c r="C39" s="38">
        <v>1</v>
      </c>
    </row>
    <row r="40" spans="1:3" ht="15.75">
      <c r="A40" s="103" t="s">
        <v>67</v>
      </c>
      <c r="B40" s="104"/>
      <c r="C40" s="39">
        <f>ROUND(C37/C39,2)</f>
        <v>195.43</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53664-164A-4311-BF38-2419045D7A1D}">
  <sheetPr>
    <tabColor theme="8" tint="0.79998168889431442"/>
  </sheetPr>
  <dimension ref="A1:F40"/>
  <sheetViews>
    <sheetView zoomScaleNormal="100" workbookViewId="0">
      <selection activeCell="H6" sqref="H6"/>
    </sheetView>
  </sheetViews>
  <sheetFormatPr defaultRowHeight="12.75"/>
  <cols>
    <col min="1" max="1" width="10.7109375" customWidth="1"/>
    <col min="2" max="2" width="98.7109375" customWidth="1"/>
    <col min="3" max="3" width="25.5703125" customWidth="1"/>
  </cols>
  <sheetData>
    <row r="1" spans="1:3" ht="66.599999999999994"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81" customHeight="1">
      <c r="A6" s="102" t="s">
        <v>303</v>
      </c>
      <c r="B6" s="102"/>
      <c r="C6" s="102"/>
    </row>
    <row r="7" spans="1:3" ht="15.75">
      <c r="A7" s="101" t="s">
        <v>94</v>
      </c>
      <c r="B7" s="101"/>
      <c r="C7" s="101"/>
    </row>
    <row r="8" spans="1:3" ht="15.75">
      <c r="A8" s="98" t="s">
        <v>102</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55" t="s">
        <v>272</v>
      </c>
      <c r="C12" s="18">
        <f>(9.05*1)*1</f>
        <v>9.0500000000000007</v>
      </c>
    </row>
    <row r="13" spans="1:3" ht="15.75">
      <c r="A13" s="109"/>
      <c r="B13" s="56" t="s">
        <v>284</v>
      </c>
      <c r="C13" s="18">
        <f>(13.564*8)*1</f>
        <v>108.512</v>
      </c>
    </row>
    <row r="14" spans="1:3" ht="16.5" thickBot="1">
      <c r="A14" s="109"/>
      <c r="B14" s="57" t="s">
        <v>274</v>
      </c>
      <c r="C14" s="18">
        <f>(16.171*1)*1</f>
        <v>16.170999999999999</v>
      </c>
    </row>
    <row r="15" spans="1:3" ht="16.5" thickBot="1">
      <c r="A15" s="110"/>
      <c r="B15" s="57" t="s">
        <v>275</v>
      </c>
      <c r="C15" s="18">
        <f>(20.321*1)*1</f>
        <v>20.321000000000002</v>
      </c>
    </row>
    <row r="16" spans="1:3" ht="31.5">
      <c r="A16" s="21" t="s">
        <v>32</v>
      </c>
      <c r="B16" s="58" t="s">
        <v>33</v>
      </c>
      <c r="C16" s="23">
        <f>SUM(C12:C15)*0.2359</f>
        <v>36.3413386</v>
      </c>
    </row>
    <row r="17" spans="1:6" ht="15.75">
      <c r="A17" s="111" t="s">
        <v>27</v>
      </c>
      <c r="B17" s="112"/>
      <c r="C17" s="24">
        <f>SUM(C12:C16)</f>
        <v>190.3953386</v>
      </c>
      <c r="F17" s="45">
        <f>C17+C20+C21</f>
        <v>264.27364616453798</v>
      </c>
    </row>
    <row r="18" spans="1:6" ht="16.5" thickBot="1">
      <c r="A18" s="113" t="s">
        <v>28</v>
      </c>
      <c r="B18" s="114"/>
      <c r="C18" s="115"/>
      <c r="F18" s="45">
        <f>C22+C23+C24+C25+C26+C27+C28+C29+C31+C30+C32+C33</f>
        <v>62.080858360000008</v>
      </c>
    </row>
    <row r="19" spans="1:6" ht="15.75">
      <c r="A19" s="25"/>
      <c r="B19" s="26" t="s">
        <v>34</v>
      </c>
      <c r="C19" s="27">
        <v>5.923E-5</v>
      </c>
      <c r="F19" s="45">
        <f>C34+C35</f>
        <v>42.851187330000002</v>
      </c>
    </row>
    <row r="20" spans="1:6" ht="16.5" thickBot="1">
      <c r="A20" s="28" t="s">
        <v>35</v>
      </c>
      <c r="B20" s="29" t="s">
        <v>36</v>
      </c>
      <c r="C20" s="30">
        <f>1009234*$C$19*1</f>
        <v>59.776929819999999</v>
      </c>
    </row>
    <row r="21" spans="1:6" ht="32.25" thickBot="1">
      <c r="A21" s="31" t="s">
        <v>32</v>
      </c>
      <c r="B21" s="32" t="s">
        <v>33</v>
      </c>
      <c r="C21" s="30">
        <f>C20*0.2359</f>
        <v>14.101377744538</v>
      </c>
    </row>
    <row r="22" spans="1:6" ht="32.25" thickBot="1">
      <c r="A22" s="31" t="s">
        <v>37</v>
      </c>
      <c r="B22" s="32" t="s">
        <v>38</v>
      </c>
      <c r="C22" s="30">
        <f>93709*$C$19*1</f>
        <v>5.5503840699999998</v>
      </c>
    </row>
    <row r="23" spans="1:6" ht="18.75" customHeight="1" thickBot="1">
      <c r="A23" s="31" t="s">
        <v>39</v>
      </c>
      <c r="B23" s="32" t="s">
        <v>40</v>
      </c>
      <c r="C23" s="30">
        <f>76039*$C$19*1</f>
        <v>4.5037899699999997</v>
      </c>
    </row>
    <row r="24" spans="1:6" ht="18.75" customHeight="1" thickBot="1">
      <c r="A24" s="31" t="s">
        <v>41</v>
      </c>
      <c r="B24" s="32" t="s">
        <v>42</v>
      </c>
      <c r="C24" s="30">
        <f>84854*$C$19*1</f>
        <v>5.0259024200000004</v>
      </c>
    </row>
    <row r="25" spans="1:6" ht="16.5" thickBot="1">
      <c r="A25" s="31" t="s">
        <v>43</v>
      </c>
      <c r="B25" s="32" t="s">
        <v>247</v>
      </c>
      <c r="C25" s="30">
        <f>127766*$C$19*1</f>
        <v>7.5675801800000002</v>
      </c>
    </row>
    <row r="26" spans="1:6" ht="32.25" thickBot="1">
      <c r="A26" s="31" t="s">
        <v>45</v>
      </c>
      <c r="B26" s="32" t="s">
        <v>46</v>
      </c>
      <c r="C26" s="30">
        <f>170156*$C$19*1</f>
        <v>10.07833988</v>
      </c>
    </row>
    <row r="27" spans="1:6" ht="32.25" thickBot="1">
      <c r="A27" s="31" t="s">
        <v>47</v>
      </c>
      <c r="B27" s="32" t="s">
        <v>48</v>
      </c>
      <c r="C27" s="30">
        <f>377637*$C$19*1</f>
        <v>22.367439510000001</v>
      </c>
    </row>
    <row r="28" spans="1:6" ht="18.75" customHeight="1" thickBot="1">
      <c r="A28" s="31" t="s">
        <v>49</v>
      </c>
      <c r="B28" s="32" t="s">
        <v>50</v>
      </c>
      <c r="C28" s="30">
        <f>51508*$C$19*1</f>
        <v>3.0508188399999998</v>
      </c>
    </row>
    <row r="29" spans="1:6" ht="18.75" customHeight="1" thickBot="1">
      <c r="A29" s="31" t="s">
        <v>51</v>
      </c>
      <c r="B29" s="32" t="s">
        <v>52</v>
      </c>
      <c r="C29" s="30">
        <f>27437*$C$19*1</f>
        <v>1.6250935099999999</v>
      </c>
    </row>
    <row r="30" spans="1:6" ht="18" customHeight="1" thickBot="1">
      <c r="A30" s="31" t="s">
        <v>53</v>
      </c>
      <c r="B30" s="32" t="s">
        <v>54</v>
      </c>
      <c r="C30" s="30">
        <f>1110*$C$19*1</f>
        <v>6.5745300000000007E-2</v>
      </c>
    </row>
    <row r="31" spans="1:6" ht="32.25" thickBot="1">
      <c r="A31" s="31" t="s">
        <v>55</v>
      </c>
      <c r="B31" s="32" t="s">
        <v>56</v>
      </c>
      <c r="C31" s="30">
        <f>13237*$C$19*1</f>
        <v>0.78402751000000004</v>
      </c>
    </row>
    <row r="32" spans="1:6" ht="32.25" thickBot="1">
      <c r="A32" s="31" t="s">
        <v>57</v>
      </c>
      <c r="B32" s="32" t="s">
        <v>58</v>
      </c>
      <c r="C32" s="30">
        <f>8480*$C$19*1</f>
        <v>0.50227040000000001</v>
      </c>
    </row>
    <row r="33" spans="1:3" ht="32.25" thickBot="1">
      <c r="A33" s="31" t="s">
        <v>59</v>
      </c>
      <c r="B33" s="32" t="s">
        <v>60</v>
      </c>
      <c r="C33" s="30">
        <f>16199*$C$19*1</f>
        <v>0.95946677000000002</v>
      </c>
    </row>
    <row r="34" spans="1:3" ht="19.5" customHeight="1" thickBot="1">
      <c r="A34" s="31" t="s">
        <v>61</v>
      </c>
      <c r="B34" s="32" t="s">
        <v>62</v>
      </c>
      <c r="C34" s="30">
        <f>106687*$C$19*1</f>
        <v>6.31907101</v>
      </c>
    </row>
    <row r="35" spans="1:3" ht="32.25" thickBot="1">
      <c r="A35" s="31" t="s">
        <v>63</v>
      </c>
      <c r="B35" s="34" t="s">
        <v>64</v>
      </c>
      <c r="C35" s="30">
        <f>616784*$C$19*1</f>
        <v>36.53211632</v>
      </c>
    </row>
    <row r="36" spans="1:3" ht="15.75">
      <c r="A36" s="116" t="s">
        <v>29</v>
      </c>
      <c r="B36" s="117"/>
      <c r="C36" s="35">
        <f>SUM(C20:C35)</f>
        <v>178.810353254538</v>
      </c>
    </row>
    <row r="37" spans="1:3" ht="15.75">
      <c r="A37" s="118" t="s">
        <v>65</v>
      </c>
      <c r="B37" s="119"/>
      <c r="C37" s="36">
        <f>C36+C17</f>
        <v>369.20569185453803</v>
      </c>
    </row>
    <row r="38" spans="1:3" ht="15.75">
      <c r="A38" s="1"/>
      <c r="B38" s="1"/>
      <c r="C38" s="37"/>
    </row>
    <row r="39" spans="1:3" ht="15.75">
      <c r="A39" s="103" t="s">
        <v>66</v>
      </c>
      <c r="B39" s="104"/>
      <c r="C39" s="38">
        <v>1</v>
      </c>
    </row>
    <row r="40" spans="1:3" ht="15.75">
      <c r="A40" s="103" t="s">
        <v>67</v>
      </c>
      <c r="B40" s="104"/>
      <c r="C40" s="39">
        <f>ROUND(C37/C39,2)</f>
        <v>369.21</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044A5-054A-45A6-BDC5-541E490DDF0C}">
  <sheetPr>
    <tabColor theme="8" tint="0.79998168889431442"/>
  </sheetPr>
  <dimension ref="A1:F40"/>
  <sheetViews>
    <sheetView zoomScaleNormal="100" workbookViewId="0">
      <selection activeCell="I11" sqref="I11"/>
    </sheetView>
  </sheetViews>
  <sheetFormatPr defaultRowHeight="12.75"/>
  <cols>
    <col min="1" max="1" width="10.7109375" customWidth="1"/>
    <col min="2" max="2" width="98.7109375" customWidth="1"/>
    <col min="3" max="3" width="25.5703125" customWidth="1"/>
  </cols>
  <sheetData>
    <row r="1" spans="1:3" ht="71.45"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9.900000000000006" customHeight="1">
      <c r="A6" s="102" t="s">
        <v>304</v>
      </c>
      <c r="B6" s="102"/>
      <c r="C6" s="102"/>
    </row>
    <row r="7" spans="1:3" ht="15.75">
      <c r="A7" s="101" t="s">
        <v>94</v>
      </c>
      <c r="B7" s="101"/>
      <c r="C7" s="101"/>
    </row>
    <row r="8" spans="1:3" ht="15.75">
      <c r="A8" s="98" t="s">
        <v>102</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55" t="s">
        <v>305</v>
      </c>
      <c r="C12" s="18">
        <f>(9.05*0.5)*1</f>
        <v>4.5250000000000004</v>
      </c>
    </row>
    <row r="13" spans="1:3" ht="15.75">
      <c r="A13" s="109"/>
      <c r="B13" s="56" t="s">
        <v>306</v>
      </c>
      <c r="C13" s="18">
        <f>(13.564*3)*1</f>
        <v>40.692</v>
      </c>
    </row>
    <row r="14" spans="1:3" ht="16.5" thickBot="1">
      <c r="A14" s="109"/>
      <c r="B14" s="57" t="s">
        <v>289</v>
      </c>
      <c r="C14" s="18">
        <f>(16.171*0.5)*1</f>
        <v>8.0854999999999997</v>
      </c>
    </row>
    <row r="15" spans="1:3" ht="16.5" thickBot="1">
      <c r="A15" s="110"/>
      <c r="B15" s="57" t="s">
        <v>290</v>
      </c>
      <c r="C15" s="18">
        <f>(20.321*0.5)*1</f>
        <v>10.160500000000001</v>
      </c>
    </row>
    <row r="16" spans="1:3" ht="31.5">
      <c r="A16" s="21" t="s">
        <v>32</v>
      </c>
      <c r="B16" s="58" t="s">
        <v>33</v>
      </c>
      <c r="C16" s="23">
        <f>SUM(C12:C15)*0.2359</f>
        <v>14.970921699999998</v>
      </c>
    </row>
    <row r="17" spans="1:6" ht="15.75">
      <c r="A17" s="111" t="s">
        <v>27</v>
      </c>
      <c r="B17" s="112"/>
      <c r="C17" s="24">
        <f>SUM(C12:C16)</f>
        <v>78.433921699999985</v>
      </c>
      <c r="F17" s="45">
        <f>C17+C20+C21</f>
        <v>108.86834183463999</v>
      </c>
    </row>
    <row r="18" spans="1:6" ht="16.5" thickBot="1">
      <c r="A18" s="113" t="s">
        <v>28</v>
      </c>
      <c r="B18" s="114"/>
      <c r="C18" s="115"/>
      <c r="F18" s="45">
        <f>C22+C23+C24+C25+C26+C27+C28+C29+C30+C31+C32+C33</f>
        <v>25.574420799999995</v>
      </c>
    </row>
    <row r="19" spans="1:6" ht="15.75">
      <c r="A19" s="25"/>
      <c r="B19" s="26" t="s">
        <v>34</v>
      </c>
      <c r="C19" s="27">
        <v>2.44E-5</v>
      </c>
      <c r="F19" s="45">
        <f>C34+C35</f>
        <v>17.652692399999999</v>
      </c>
    </row>
    <row r="20" spans="1:6" ht="16.5" thickBot="1">
      <c r="A20" s="28" t="s">
        <v>35</v>
      </c>
      <c r="B20" s="29" t="s">
        <v>36</v>
      </c>
      <c r="C20" s="30">
        <f>1009234*$C$19*1</f>
        <v>24.625309600000001</v>
      </c>
    </row>
    <row r="21" spans="1:6" ht="32.25" thickBot="1">
      <c r="A21" s="31" t="s">
        <v>32</v>
      </c>
      <c r="B21" s="32" t="s">
        <v>33</v>
      </c>
      <c r="C21" s="30">
        <f>C20*0.2359</f>
        <v>5.8091105346400003</v>
      </c>
    </row>
    <row r="22" spans="1:6" ht="32.25" thickBot="1">
      <c r="A22" s="31" t="s">
        <v>37</v>
      </c>
      <c r="B22" s="32" t="s">
        <v>38</v>
      </c>
      <c r="C22" s="30">
        <f>93709*$C$19*1</f>
        <v>2.2864996</v>
      </c>
    </row>
    <row r="23" spans="1:6" ht="21" customHeight="1" thickBot="1">
      <c r="A23" s="31" t="s">
        <v>39</v>
      </c>
      <c r="B23" s="32" t="s">
        <v>40</v>
      </c>
      <c r="C23" s="30">
        <f>76039*$C$19*1</f>
        <v>1.8553516000000001</v>
      </c>
    </row>
    <row r="24" spans="1:6" ht="21.75" customHeight="1" thickBot="1">
      <c r="A24" s="31" t="s">
        <v>41</v>
      </c>
      <c r="B24" s="32" t="s">
        <v>42</v>
      </c>
      <c r="C24" s="30">
        <f>84854*$C$19*1</f>
        <v>2.0704376</v>
      </c>
    </row>
    <row r="25" spans="1:6" ht="16.5" thickBot="1">
      <c r="A25" s="31" t="s">
        <v>43</v>
      </c>
      <c r="B25" s="32" t="s">
        <v>247</v>
      </c>
      <c r="C25" s="30">
        <f>127766*$C$19*1</f>
        <v>3.1174903999999999</v>
      </c>
    </row>
    <row r="26" spans="1:6" ht="32.25" thickBot="1">
      <c r="A26" s="31" t="s">
        <v>45</v>
      </c>
      <c r="B26" s="32" t="s">
        <v>46</v>
      </c>
      <c r="C26" s="30">
        <f>170156*$C$19*1</f>
        <v>4.1518063999999999</v>
      </c>
    </row>
    <row r="27" spans="1:6" ht="32.25" thickBot="1">
      <c r="A27" s="31" t="s">
        <v>47</v>
      </c>
      <c r="B27" s="32" t="s">
        <v>48</v>
      </c>
      <c r="C27" s="30">
        <f>377637*$C$19*1</f>
        <v>9.2143428000000007</v>
      </c>
    </row>
    <row r="28" spans="1:6" ht="17.25" customHeight="1" thickBot="1">
      <c r="A28" s="31" t="s">
        <v>49</v>
      </c>
      <c r="B28" s="32" t="s">
        <v>50</v>
      </c>
      <c r="C28" s="30">
        <f>51508*$C$19*1</f>
        <v>1.2567952</v>
      </c>
    </row>
    <row r="29" spans="1:6" ht="21" customHeight="1" thickBot="1">
      <c r="A29" s="31" t="s">
        <v>51</v>
      </c>
      <c r="B29" s="32" t="s">
        <v>52</v>
      </c>
      <c r="C29" s="30">
        <f>27437*$C$19*1</f>
        <v>0.66946280000000002</v>
      </c>
    </row>
    <row r="30" spans="1:6" ht="21" customHeight="1" thickBot="1">
      <c r="A30" s="31" t="s">
        <v>53</v>
      </c>
      <c r="B30" s="32" t="s">
        <v>54</v>
      </c>
      <c r="C30" s="30">
        <f>1110*$C$19*1</f>
        <v>2.7084E-2</v>
      </c>
    </row>
    <row r="31" spans="1:6" ht="32.25" thickBot="1">
      <c r="A31" s="31" t="s">
        <v>55</v>
      </c>
      <c r="B31" s="32" t="s">
        <v>56</v>
      </c>
      <c r="C31" s="30">
        <f>13237*$C$19*1</f>
        <v>0.32298280000000001</v>
      </c>
    </row>
    <row r="32" spans="1:6" ht="32.25" thickBot="1">
      <c r="A32" s="31" t="s">
        <v>57</v>
      </c>
      <c r="B32" s="32" t="s">
        <v>58</v>
      </c>
      <c r="C32" s="30">
        <f>8480*$C$19*1</f>
        <v>0.20691200000000001</v>
      </c>
    </row>
    <row r="33" spans="1:3" ht="32.25" thickBot="1">
      <c r="A33" s="31" t="s">
        <v>59</v>
      </c>
      <c r="B33" s="32" t="s">
        <v>60</v>
      </c>
      <c r="C33" s="30">
        <f>16199*$C$19*1</f>
        <v>0.39525559999999998</v>
      </c>
    </row>
    <row r="34" spans="1:3" ht="18.75" customHeight="1" thickBot="1">
      <c r="A34" s="31" t="s">
        <v>61</v>
      </c>
      <c r="B34" s="32" t="s">
        <v>62</v>
      </c>
      <c r="C34" s="30">
        <f>106687*$C$19*1</f>
        <v>2.6031628000000002</v>
      </c>
    </row>
    <row r="35" spans="1:3" ht="32.25" thickBot="1">
      <c r="A35" s="31" t="s">
        <v>63</v>
      </c>
      <c r="B35" s="34" t="s">
        <v>64</v>
      </c>
      <c r="C35" s="30">
        <f>616784*$C$19*1</f>
        <v>15.0495296</v>
      </c>
    </row>
    <row r="36" spans="1:3" ht="15.75">
      <c r="A36" s="116" t="s">
        <v>29</v>
      </c>
      <c r="B36" s="117"/>
      <c r="C36" s="35">
        <f>SUM(C20:C35)</f>
        <v>73.661533334639984</v>
      </c>
    </row>
    <row r="37" spans="1:3" ht="15.75">
      <c r="A37" s="118" t="s">
        <v>65</v>
      </c>
      <c r="B37" s="119"/>
      <c r="C37" s="36">
        <f>C36+C17</f>
        <v>152.09545503463997</v>
      </c>
    </row>
    <row r="38" spans="1:3" ht="15.75">
      <c r="A38" s="1"/>
      <c r="B38" s="1"/>
      <c r="C38" s="37"/>
    </row>
    <row r="39" spans="1:3" ht="15.75">
      <c r="A39" s="103" t="s">
        <v>66</v>
      </c>
      <c r="B39" s="104"/>
      <c r="C39" s="38">
        <v>1</v>
      </c>
    </row>
    <row r="40" spans="1:3" ht="15.75">
      <c r="A40" s="103" t="s">
        <v>67</v>
      </c>
      <c r="B40" s="104"/>
      <c r="C40" s="39">
        <f>ROUND(C37/C39,2)</f>
        <v>152.1</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2F89E-4C7A-417C-9416-EAE4D81355C9}">
  <sheetPr>
    <tabColor rgb="FFFFFF00"/>
  </sheetPr>
  <dimension ref="A1:F38"/>
  <sheetViews>
    <sheetView zoomScaleNormal="100" workbookViewId="0">
      <selection activeCell="F26" sqref="F26"/>
    </sheetView>
  </sheetViews>
  <sheetFormatPr defaultRowHeight="12.75"/>
  <cols>
    <col min="1" max="1" width="10.7109375" customWidth="1"/>
    <col min="2" max="2" width="98.85546875" customWidth="1"/>
    <col min="3" max="3" width="25.5703125" customWidth="1"/>
  </cols>
  <sheetData>
    <row r="1" spans="1:3" ht="78"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55.9" customHeight="1">
      <c r="A6" s="102" t="s">
        <v>192</v>
      </c>
      <c r="B6" s="102"/>
      <c r="C6" s="102"/>
    </row>
    <row r="7" spans="1:3" ht="15.75">
      <c r="A7" s="101" t="s">
        <v>94</v>
      </c>
      <c r="B7" s="101"/>
      <c r="C7" s="101"/>
    </row>
    <row r="8" spans="1:3" ht="15.75">
      <c r="A8" s="98" t="s">
        <v>193</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17" t="s">
        <v>194</v>
      </c>
      <c r="C12" s="18">
        <f>(9.05*1)*40</f>
        <v>362</v>
      </c>
    </row>
    <row r="13" spans="1:3" ht="33" customHeight="1">
      <c r="A13" s="109"/>
      <c r="B13" s="19" t="s">
        <v>195</v>
      </c>
      <c r="C13" s="18">
        <f>(10.628*40*2)*40</f>
        <v>34009.599999999999</v>
      </c>
    </row>
    <row r="14" spans="1:3" ht="15.75">
      <c r="A14" s="109"/>
      <c r="B14" s="19" t="s">
        <v>196</v>
      </c>
      <c r="C14" s="18">
        <f>(16.843*7)*40</f>
        <v>4716.04</v>
      </c>
    </row>
    <row r="15" spans="1:3" ht="16.5" thickBot="1">
      <c r="A15" s="110"/>
      <c r="B15" s="20" t="s">
        <v>197</v>
      </c>
      <c r="C15" s="18">
        <f>(19.4*7)*40</f>
        <v>5431.9999999999991</v>
      </c>
    </row>
    <row r="16" spans="1:3" ht="32.25" thickBot="1">
      <c r="A16" s="21" t="s">
        <v>32</v>
      </c>
      <c r="B16" s="22" t="s">
        <v>33</v>
      </c>
      <c r="C16" s="23">
        <f>SUM(C12:C15)*0.2359</f>
        <v>10502.183075999999</v>
      </c>
    </row>
    <row r="17" spans="1:6" ht="15.75">
      <c r="A17" s="111" t="s">
        <v>27</v>
      </c>
      <c r="B17" s="112"/>
      <c r="C17" s="24">
        <f>SUM(C12:C16)</f>
        <v>55021.823076000001</v>
      </c>
      <c r="F17" s="45">
        <f>C17+C20+C21</f>
        <v>76372.317187830326</v>
      </c>
    </row>
    <row r="18" spans="1:6" ht="16.5" thickBot="1">
      <c r="A18" s="113" t="s">
        <v>28</v>
      </c>
      <c r="B18" s="114"/>
      <c r="C18" s="115"/>
      <c r="F18" s="45">
        <f>C22+C23+C24+C25+C26+C27+C28+C29+C30+C31</f>
        <v>71265.444186799999</v>
      </c>
    </row>
    <row r="19" spans="1:6" ht="15.75">
      <c r="A19" s="25"/>
      <c r="B19" s="26" t="s">
        <v>34</v>
      </c>
      <c r="C19" s="27">
        <v>4.2792999999999998E-4</v>
      </c>
      <c r="F19" s="45">
        <f>C32+C33</f>
        <v>12383.7978012</v>
      </c>
    </row>
    <row r="20" spans="1:6" ht="16.5" thickBot="1">
      <c r="A20" s="28" t="s">
        <v>35</v>
      </c>
      <c r="B20" s="29" t="s">
        <v>36</v>
      </c>
      <c r="C20" s="30">
        <f>1009234*$C$19*40</f>
        <v>17275.2602248</v>
      </c>
    </row>
    <row r="21" spans="1:6" ht="32.25" thickBot="1">
      <c r="A21" s="31" t="s">
        <v>32</v>
      </c>
      <c r="B21" s="32" t="s">
        <v>33</v>
      </c>
      <c r="C21" s="30">
        <f>C20*0.2359</f>
        <v>4075.2338870303201</v>
      </c>
    </row>
    <row r="22" spans="1:6" ht="32.25" thickBot="1">
      <c r="A22" s="31" t="s">
        <v>37</v>
      </c>
      <c r="B22" s="32" t="s">
        <v>38</v>
      </c>
      <c r="C22" s="30">
        <f>93709*$C$19*40</f>
        <v>1604.0356947999999</v>
      </c>
    </row>
    <row r="23" spans="1:6" ht="21.75" customHeight="1" thickBot="1">
      <c r="A23" s="31" t="s">
        <v>39</v>
      </c>
      <c r="B23" s="32" t="s">
        <v>40</v>
      </c>
      <c r="C23" s="30">
        <f>76039*$C$19*40</f>
        <v>1301.5747708000001</v>
      </c>
    </row>
    <row r="24" spans="1:6" ht="18" customHeight="1" thickBot="1">
      <c r="A24" s="31" t="s">
        <v>41</v>
      </c>
      <c r="B24" s="32" t="s">
        <v>42</v>
      </c>
      <c r="C24" s="30">
        <f>84854*$C$19*40</f>
        <v>1452.4628887999997</v>
      </c>
    </row>
    <row r="25" spans="1:6" ht="32.25" thickBot="1">
      <c r="A25" s="31" t="s">
        <v>43</v>
      </c>
      <c r="B25" s="92" t="s">
        <v>198</v>
      </c>
      <c r="C25" s="30">
        <f>1400*40</f>
        <v>56000</v>
      </c>
    </row>
    <row r="26" spans="1:6" ht="32.25" thickBot="1">
      <c r="A26" s="31" t="s">
        <v>45</v>
      </c>
      <c r="B26" s="32" t="s">
        <v>46</v>
      </c>
      <c r="C26" s="30">
        <f>170156*$C$19*40</f>
        <v>2912.5942832000001</v>
      </c>
    </row>
    <row r="27" spans="1:6" ht="32.25" thickBot="1">
      <c r="A27" s="31" t="s">
        <v>47</v>
      </c>
      <c r="B27" s="32" t="s">
        <v>48</v>
      </c>
      <c r="C27" s="30">
        <f>377637*$C$19*40</f>
        <v>6464.0880563999999</v>
      </c>
    </row>
    <row r="28" spans="1:6" ht="17.25" customHeight="1" thickBot="1">
      <c r="A28" s="31" t="s">
        <v>49</v>
      </c>
      <c r="B28" s="32" t="s">
        <v>50</v>
      </c>
      <c r="C28" s="30">
        <f>51508*$C$19*40</f>
        <v>881.6727376</v>
      </c>
    </row>
    <row r="29" spans="1:6" ht="32.25" thickBot="1">
      <c r="A29" s="31" t="s">
        <v>55</v>
      </c>
      <c r="B29" s="32" t="s">
        <v>56</v>
      </c>
      <c r="C29" s="30">
        <f>13237*$C$19*40</f>
        <v>226.58037640000001</v>
      </c>
    </row>
    <row r="30" spans="1:6" ht="32.25" thickBot="1">
      <c r="A30" s="31" t="s">
        <v>57</v>
      </c>
      <c r="B30" s="32" t="s">
        <v>58</v>
      </c>
      <c r="C30" s="30">
        <f>8480*$C$19*40</f>
        <v>145.15385599999999</v>
      </c>
    </row>
    <row r="31" spans="1:6" ht="32.25" thickBot="1">
      <c r="A31" s="31" t="s">
        <v>59</v>
      </c>
      <c r="B31" s="32" t="s">
        <v>60</v>
      </c>
      <c r="C31" s="30">
        <f>16199*$C$19*40</f>
        <v>277.2815228</v>
      </c>
    </row>
    <row r="32" spans="1:6" ht="18.75" customHeight="1" thickBot="1">
      <c r="A32" s="31" t="s">
        <v>61</v>
      </c>
      <c r="B32" s="32" t="s">
        <v>62</v>
      </c>
      <c r="C32" s="30">
        <f>106687*$C$19*40</f>
        <v>1826.1827163999999</v>
      </c>
    </row>
    <row r="33" spans="1:3" ht="32.25" thickBot="1">
      <c r="A33" s="31" t="s">
        <v>63</v>
      </c>
      <c r="B33" s="34" t="s">
        <v>64</v>
      </c>
      <c r="C33" s="30">
        <f>616784*$C$19*40</f>
        <v>10557.6150848</v>
      </c>
    </row>
    <row r="34" spans="1:3" ht="15.75">
      <c r="A34" s="116" t="s">
        <v>29</v>
      </c>
      <c r="B34" s="117"/>
      <c r="C34" s="35">
        <f>SUM(C20:C33)</f>
        <v>104999.73609983032</v>
      </c>
    </row>
    <row r="35" spans="1:3" ht="15.75">
      <c r="A35" s="118" t="s">
        <v>65</v>
      </c>
      <c r="B35" s="119"/>
      <c r="C35" s="36">
        <f>C34+C17</f>
        <v>160021.55917583033</v>
      </c>
    </row>
    <row r="36" spans="1:3" ht="15.75">
      <c r="A36" s="1"/>
      <c r="B36" s="1"/>
      <c r="C36" s="37"/>
    </row>
    <row r="37" spans="1:3" ht="15.75">
      <c r="A37" s="103" t="s">
        <v>66</v>
      </c>
      <c r="B37" s="104"/>
      <c r="C37" s="38">
        <v>40</v>
      </c>
    </row>
    <row r="38" spans="1:3" ht="15.75">
      <c r="A38" s="103" t="s">
        <v>67</v>
      </c>
      <c r="B38" s="104"/>
      <c r="C38" s="39">
        <f>ROUND(C35/C37,2)</f>
        <v>4000.54</v>
      </c>
    </row>
  </sheetData>
  <mergeCells count="14">
    <mergeCell ref="A37:B37"/>
    <mergeCell ref="A38:B38"/>
    <mergeCell ref="A11:C11"/>
    <mergeCell ref="A12:A15"/>
    <mergeCell ref="A17:B17"/>
    <mergeCell ref="A18:C18"/>
    <mergeCell ref="A34:B34"/>
    <mergeCell ref="A35:B35"/>
    <mergeCell ref="A8:B8"/>
    <mergeCell ref="B1:C1"/>
    <mergeCell ref="A3:C3"/>
    <mergeCell ref="A5:C5"/>
    <mergeCell ref="A6:C6"/>
    <mergeCell ref="A7:C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28555-41E0-402F-A96D-CDFC0E955DFC}">
  <sheetPr>
    <tabColor rgb="FFFFFF00"/>
  </sheetPr>
  <dimension ref="A1:E40"/>
  <sheetViews>
    <sheetView zoomScaleNormal="100" workbookViewId="0">
      <selection activeCell="E24" sqref="E24"/>
    </sheetView>
  </sheetViews>
  <sheetFormatPr defaultRowHeight="12.75"/>
  <cols>
    <col min="1" max="1" width="10.7109375" customWidth="1"/>
    <col min="2" max="2" width="98.85546875" customWidth="1"/>
    <col min="3" max="3" width="25.5703125" customWidth="1"/>
  </cols>
  <sheetData>
    <row r="1" spans="1:3" ht="76.90000000000000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46.9" customHeight="1">
      <c r="A6" s="102" t="s">
        <v>199</v>
      </c>
      <c r="B6" s="102"/>
      <c r="C6" s="102"/>
    </row>
    <row r="7" spans="1:3" ht="15.75">
      <c r="A7" s="101" t="s">
        <v>94</v>
      </c>
      <c r="B7" s="101"/>
      <c r="C7" s="101"/>
    </row>
    <row r="8" spans="1:3" ht="15.75">
      <c r="A8" s="98" t="s">
        <v>128</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17" t="s">
        <v>194</v>
      </c>
      <c r="C12" s="18">
        <f>(9.05*1)*2</f>
        <v>18.100000000000001</v>
      </c>
    </row>
    <row r="13" spans="1:3" ht="14.25" customHeight="1">
      <c r="A13" s="109"/>
      <c r="B13" s="19" t="s">
        <v>200</v>
      </c>
      <c r="C13" s="18">
        <f>(10.628*32*2)*2</f>
        <v>1360.384</v>
      </c>
    </row>
    <row r="14" spans="1:3" ht="15.75">
      <c r="A14" s="109"/>
      <c r="B14" s="19" t="s">
        <v>201</v>
      </c>
      <c r="C14" s="18">
        <f>(16.843*4.5)*2</f>
        <v>151.58699999999999</v>
      </c>
    </row>
    <row r="15" spans="1:3" ht="16.5" thickBot="1">
      <c r="A15" s="110"/>
      <c r="B15" s="20" t="s">
        <v>202</v>
      </c>
      <c r="C15" s="18">
        <f>(19.4*4.5)*2</f>
        <v>174.6</v>
      </c>
    </row>
    <row r="16" spans="1:3" ht="32.25" thickBot="1">
      <c r="A16" s="21" t="s">
        <v>32</v>
      </c>
      <c r="B16" s="22" t="s">
        <v>33</v>
      </c>
      <c r="C16" s="23">
        <f>SUM(C12:C15)*0.2359</f>
        <v>402.13188889999998</v>
      </c>
    </row>
    <row r="17" spans="1:5" ht="15.75">
      <c r="A17" s="111" t="s">
        <v>27</v>
      </c>
      <c r="B17" s="112"/>
      <c r="C17" s="24">
        <f>SUM(C12:C16)</f>
        <v>2106.8028888999997</v>
      </c>
    </row>
    <row r="18" spans="1:5" ht="16.5" thickBot="1">
      <c r="A18" s="113" t="s">
        <v>28</v>
      </c>
      <c r="B18" s="114"/>
      <c r="C18" s="115"/>
      <c r="E18" s="45">
        <f>C17+C20+C21</f>
        <v>2924.3163169592517</v>
      </c>
    </row>
    <row r="19" spans="1:5" ht="15.75">
      <c r="A19" s="25"/>
      <c r="B19" s="26" t="s">
        <v>34</v>
      </c>
      <c r="C19" s="27">
        <v>3.2770999999999999E-4</v>
      </c>
      <c r="E19" s="45">
        <f>C22+C23+C24+C25+C26+C27+C28+C29+C30+C31+C32+C33</f>
        <v>1603.2262837200001</v>
      </c>
    </row>
    <row r="20" spans="1:5" ht="16.5" thickBot="1">
      <c r="A20" s="28" t="s">
        <v>35</v>
      </c>
      <c r="B20" s="29" t="s">
        <v>36</v>
      </c>
      <c r="C20" s="30">
        <f>1009234*$C$19*2</f>
        <v>661.47214827999994</v>
      </c>
      <c r="E20" s="45">
        <f>C34+C35</f>
        <v>474.17736281999998</v>
      </c>
    </row>
    <row r="21" spans="1:5" ht="32.25" thickBot="1">
      <c r="A21" s="31" t="s">
        <v>32</v>
      </c>
      <c r="B21" s="32" t="s">
        <v>33</v>
      </c>
      <c r="C21" s="30">
        <f>C20*0.2359</f>
        <v>156.04127977925199</v>
      </c>
      <c r="D21" s="45"/>
    </row>
    <row r="22" spans="1:5" ht="32.25" thickBot="1">
      <c r="A22" s="31" t="s">
        <v>37</v>
      </c>
      <c r="B22" s="32" t="s">
        <v>38</v>
      </c>
      <c r="C22" s="30">
        <f>93709*$C$19*2</f>
        <v>61.418752779999998</v>
      </c>
    </row>
    <row r="23" spans="1:5" ht="18.75" customHeight="1" thickBot="1">
      <c r="A23" s="31" t="s">
        <v>39</v>
      </c>
      <c r="B23" s="32" t="s">
        <v>40</v>
      </c>
      <c r="C23" s="30">
        <f>76039*$C$19*2</f>
        <v>49.83748138</v>
      </c>
    </row>
    <row r="24" spans="1:5" ht="18.75" customHeight="1" thickBot="1">
      <c r="A24" s="31" t="s">
        <v>41</v>
      </c>
      <c r="B24" s="32" t="s">
        <v>42</v>
      </c>
      <c r="C24" s="30">
        <f>84854*$C$19*2</f>
        <v>55.615008679999995</v>
      </c>
    </row>
    <row r="25" spans="1:5" ht="32.25" thickBot="1">
      <c r="A25" s="31" t="s">
        <v>43</v>
      </c>
      <c r="B25" s="92" t="s">
        <v>203</v>
      </c>
      <c r="C25" s="30">
        <f>500*2</f>
        <v>1000</v>
      </c>
    </row>
    <row r="26" spans="1:5" ht="32.25" thickBot="1">
      <c r="A26" s="31" t="s">
        <v>45</v>
      </c>
      <c r="B26" s="32" t="s">
        <v>46</v>
      </c>
      <c r="C26" s="30">
        <f>170156*$C$19*2</f>
        <v>111.52364552</v>
      </c>
    </row>
    <row r="27" spans="1:5" ht="32.25" thickBot="1">
      <c r="A27" s="31" t="s">
        <v>47</v>
      </c>
      <c r="B27" s="32" t="s">
        <v>48</v>
      </c>
      <c r="C27" s="30">
        <f>377637*$C$19*2</f>
        <v>247.51084254</v>
      </c>
    </row>
    <row r="28" spans="1:5" ht="19.5" customHeight="1" thickBot="1">
      <c r="A28" s="31" t="s">
        <v>49</v>
      </c>
      <c r="B28" s="32" t="s">
        <v>50</v>
      </c>
      <c r="C28" s="30">
        <f>51508*$C$19*2</f>
        <v>33.759373359999998</v>
      </c>
    </row>
    <row r="29" spans="1:5" ht="16.5" customHeight="1" thickBot="1">
      <c r="A29" s="31" t="s">
        <v>51</v>
      </c>
      <c r="B29" s="32" t="s">
        <v>52</v>
      </c>
      <c r="C29" s="30">
        <f>27437*$C$19*2</f>
        <v>17.982758539999999</v>
      </c>
    </row>
    <row r="30" spans="1:5" ht="18.75" customHeight="1" thickBot="1">
      <c r="A30" s="31" t="s">
        <v>53</v>
      </c>
      <c r="B30" s="32" t="s">
        <v>54</v>
      </c>
      <c r="C30" s="30">
        <f>1110*$C$19*2</f>
        <v>0.72751619999999995</v>
      </c>
    </row>
    <row r="31" spans="1:5" s="2" customFormat="1" ht="32.25" thickBot="1">
      <c r="A31" s="31" t="s">
        <v>55</v>
      </c>
      <c r="B31" s="32" t="s">
        <v>56</v>
      </c>
      <c r="C31" s="30">
        <f>13237*$C$19*2</f>
        <v>8.6757945400000001</v>
      </c>
    </row>
    <row r="32" spans="1:5" ht="32.25" thickBot="1">
      <c r="A32" s="31" t="s">
        <v>57</v>
      </c>
      <c r="B32" s="32" t="s">
        <v>58</v>
      </c>
      <c r="C32" s="30">
        <f>8480*$C$19*2</f>
        <v>5.5579615999999996</v>
      </c>
    </row>
    <row r="33" spans="1:3" ht="32.25" thickBot="1">
      <c r="A33" s="31" t="s">
        <v>59</v>
      </c>
      <c r="B33" s="32" t="s">
        <v>60</v>
      </c>
      <c r="C33" s="30">
        <f>16199*$C$19*2</f>
        <v>10.61714858</v>
      </c>
    </row>
    <row r="34" spans="1:3" ht="19.5" customHeight="1" thickBot="1">
      <c r="A34" s="31" t="s">
        <v>61</v>
      </c>
      <c r="B34" s="32" t="s">
        <v>62</v>
      </c>
      <c r="C34" s="30">
        <f>106687*$C$19*2</f>
        <v>69.924793539999996</v>
      </c>
    </row>
    <row r="35" spans="1:3" ht="32.25" thickBot="1">
      <c r="A35" s="31" t="s">
        <v>63</v>
      </c>
      <c r="B35" s="34" t="s">
        <v>64</v>
      </c>
      <c r="C35" s="30">
        <f>616784*$C$19*2</f>
        <v>404.25256927999999</v>
      </c>
    </row>
    <row r="36" spans="1:3" ht="15.75">
      <c r="A36" s="116" t="s">
        <v>29</v>
      </c>
      <c r="B36" s="117"/>
      <c r="C36" s="35">
        <f>SUM(C20:C35)</f>
        <v>2894.9170745992519</v>
      </c>
    </row>
    <row r="37" spans="1:3" ht="15.75">
      <c r="A37" s="118" t="s">
        <v>65</v>
      </c>
      <c r="B37" s="119"/>
      <c r="C37" s="36">
        <f>C36+C17</f>
        <v>5001.7199634992521</v>
      </c>
    </row>
    <row r="38" spans="1:3" ht="15.75">
      <c r="A38" s="1"/>
      <c r="B38" s="1"/>
      <c r="C38" s="37"/>
    </row>
    <row r="39" spans="1:3" ht="15.75">
      <c r="A39" s="103" t="s">
        <v>66</v>
      </c>
      <c r="B39" s="104"/>
      <c r="C39" s="38">
        <v>2</v>
      </c>
    </row>
    <row r="40" spans="1:3" ht="15.75">
      <c r="A40" s="103" t="s">
        <v>67</v>
      </c>
      <c r="B40" s="104"/>
      <c r="C40" s="39">
        <f>ROUNDDOWN(C37/C39,2)</f>
        <v>2500.85</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pageSetup paperSize="9" scale="6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854A8-335E-4CBF-8EBE-12CB3CE3A5C4}">
  <sheetPr>
    <tabColor rgb="FFFFFF00"/>
  </sheetPr>
  <dimension ref="A1:F39"/>
  <sheetViews>
    <sheetView zoomScaleNormal="100" workbookViewId="0">
      <selection activeCell="F24" sqref="F24"/>
    </sheetView>
  </sheetViews>
  <sheetFormatPr defaultRowHeight="12.75"/>
  <cols>
    <col min="1" max="1" width="10.7109375" customWidth="1"/>
    <col min="2" max="2" width="98.85546875" customWidth="1"/>
    <col min="3" max="3" width="25.5703125" customWidth="1"/>
  </cols>
  <sheetData>
    <row r="1" spans="1:6" ht="71.45"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49.9" customHeight="1">
      <c r="A6" s="102" t="s">
        <v>204</v>
      </c>
      <c r="B6" s="102"/>
      <c r="C6" s="102"/>
    </row>
    <row r="7" spans="1:6" ht="15.75">
      <c r="A7" s="101" t="s">
        <v>94</v>
      </c>
      <c r="B7" s="101"/>
      <c r="C7" s="101"/>
    </row>
    <row r="8" spans="1:6" ht="15.75">
      <c r="A8" s="98" t="s">
        <v>128</v>
      </c>
      <c r="B8" s="98"/>
      <c r="C8" s="40"/>
    </row>
    <row r="9" spans="1:6" ht="15.75">
      <c r="A9" s="43"/>
      <c r="B9" s="43"/>
      <c r="C9" s="40"/>
    </row>
    <row r="10" spans="1:6" ht="63">
      <c r="A10" s="14" t="s">
        <v>24</v>
      </c>
      <c r="B10" s="15" t="s">
        <v>25</v>
      </c>
      <c r="C10" s="16" t="s">
        <v>30</v>
      </c>
    </row>
    <row r="11" spans="1:6" ht="16.5" thickBot="1">
      <c r="A11" s="105" t="s">
        <v>26</v>
      </c>
      <c r="B11" s="106"/>
      <c r="C11" s="107"/>
    </row>
    <row r="12" spans="1:6" ht="15.75">
      <c r="A12" s="108" t="s">
        <v>31</v>
      </c>
      <c r="B12" s="17" t="s">
        <v>194</v>
      </c>
      <c r="C12" s="18">
        <f>(9.05*1)*2</f>
        <v>18.100000000000001</v>
      </c>
    </row>
    <row r="13" spans="1:6" ht="15.75">
      <c r="A13" s="109"/>
      <c r="B13" s="19" t="s">
        <v>205</v>
      </c>
      <c r="C13" s="18">
        <f>(10.628*5)*2</f>
        <v>106.28</v>
      </c>
    </row>
    <row r="14" spans="1:6" ht="15.75">
      <c r="A14" s="109"/>
      <c r="B14" s="19" t="s">
        <v>206</v>
      </c>
      <c r="C14" s="18">
        <f>(16.843*1)*2</f>
        <v>33.686</v>
      </c>
    </row>
    <row r="15" spans="1:6" ht="16.5" thickBot="1">
      <c r="A15" s="110"/>
      <c r="B15" s="20" t="s">
        <v>207</v>
      </c>
      <c r="C15" s="18">
        <f>(19.4*1)*2</f>
        <v>38.799999999999997</v>
      </c>
      <c r="F15" s="45">
        <f>C17+C20+C21</f>
        <v>337.72823055541994</v>
      </c>
    </row>
    <row r="16" spans="1:6" ht="32.25" thickBot="1">
      <c r="A16" s="21" t="s">
        <v>32</v>
      </c>
      <c r="B16" s="22" t="s">
        <v>33</v>
      </c>
      <c r="C16" s="23">
        <f>SUM(C12:C15)*0.2359</f>
        <v>46.440689399999997</v>
      </c>
      <c r="F16" s="45">
        <f>C22+C23+C24+C25+C26+C27+C28+C29+C30+C31+C32</f>
        <v>2606.7908969999999</v>
      </c>
    </row>
    <row r="17" spans="1:6" ht="15.75">
      <c r="A17" s="111" t="s">
        <v>27</v>
      </c>
      <c r="B17" s="112"/>
      <c r="C17" s="24">
        <f>SUM(C12:C16)</f>
        <v>243.30668939999998</v>
      </c>
      <c r="F17" s="45">
        <f>C33+C34</f>
        <v>54.766754699999993</v>
      </c>
    </row>
    <row r="18" spans="1:6" ht="16.5" thickBot="1">
      <c r="A18" s="113" t="s">
        <v>28</v>
      </c>
      <c r="B18" s="114"/>
      <c r="C18" s="115"/>
    </row>
    <row r="19" spans="1:6" ht="15.75">
      <c r="A19" s="25"/>
      <c r="B19" s="26" t="s">
        <v>34</v>
      </c>
      <c r="C19" s="27">
        <v>3.7849999999999998E-5</v>
      </c>
    </row>
    <row r="20" spans="1:6" ht="16.5" thickBot="1">
      <c r="A20" s="28" t="s">
        <v>35</v>
      </c>
      <c r="B20" s="29" t="s">
        <v>36</v>
      </c>
      <c r="C20" s="30">
        <f>1009234*$C$19*2</f>
        <v>76.399013799999992</v>
      </c>
    </row>
    <row r="21" spans="1:6" ht="32.25" thickBot="1">
      <c r="A21" s="31" t="s">
        <v>32</v>
      </c>
      <c r="B21" s="32" t="s">
        <v>33</v>
      </c>
      <c r="C21" s="30">
        <f>C20*0.2359</f>
        <v>18.022527355419999</v>
      </c>
    </row>
    <row r="22" spans="1:6" ht="32.25" thickBot="1">
      <c r="A22" s="31" t="s">
        <v>37</v>
      </c>
      <c r="B22" s="32" t="s">
        <v>38</v>
      </c>
      <c r="C22" s="30">
        <f>93709*$C$19*2</f>
        <v>7.0937712999999993</v>
      </c>
    </row>
    <row r="23" spans="1:6" ht="18" customHeight="1" thickBot="1">
      <c r="A23" s="31" t="s">
        <v>39</v>
      </c>
      <c r="B23" s="32" t="s">
        <v>40</v>
      </c>
      <c r="C23" s="30">
        <f>76039*$C$19*2</f>
        <v>5.7561523000000001</v>
      </c>
    </row>
    <row r="24" spans="1:6" ht="18" customHeight="1" thickBot="1">
      <c r="A24" s="31" t="s">
        <v>41</v>
      </c>
      <c r="B24" s="32" t="s">
        <v>42</v>
      </c>
      <c r="C24" s="30">
        <f>84854*$C$19*2</f>
        <v>6.4234477999999999</v>
      </c>
    </row>
    <row r="25" spans="1:6" ht="32.25" thickBot="1">
      <c r="A25" s="31" t="s">
        <v>43</v>
      </c>
      <c r="B25" s="32" t="s">
        <v>208</v>
      </c>
      <c r="C25" s="30">
        <f>1275*2</f>
        <v>2550</v>
      </c>
    </row>
    <row r="26" spans="1:6" ht="32.25" thickBot="1">
      <c r="A26" s="31" t="s">
        <v>47</v>
      </c>
      <c r="B26" s="32" t="s">
        <v>48</v>
      </c>
      <c r="C26" s="30">
        <f>377637*$C$19*2</f>
        <v>28.587120899999999</v>
      </c>
    </row>
    <row r="27" spans="1:6" ht="19.5" customHeight="1" thickBot="1">
      <c r="A27" s="31" t="s">
        <v>49</v>
      </c>
      <c r="B27" s="32" t="s">
        <v>50</v>
      </c>
      <c r="C27" s="30">
        <f>51508*$C$19*2</f>
        <v>3.8991555999999998</v>
      </c>
    </row>
    <row r="28" spans="1:6" ht="18" customHeight="1" thickBot="1">
      <c r="A28" s="31" t="s">
        <v>51</v>
      </c>
      <c r="B28" s="32" t="s">
        <v>52</v>
      </c>
      <c r="C28" s="30">
        <f>27437*$C$19*2</f>
        <v>2.0769809000000001</v>
      </c>
    </row>
    <row r="29" spans="1:6" ht="18.75" customHeight="1" thickBot="1">
      <c r="A29" s="31" t="s">
        <v>53</v>
      </c>
      <c r="B29" s="32" t="s">
        <v>54</v>
      </c>
      <c r="C29" s="30">
        <f>1110*$C$19*2</f>
        <v>8.4026999999999991E-2</v>
      </c>
    </row>
    <row r="30" spans="1:6" ht="32.25" thickBot="1">
      <c r="A30" s="31" t="s">
        <v>55</v>
      </c>
      <c r="B30" s="32" t="s">
        <v>56</v>
      </c>
      <c r="C30" s="30">
        <f>13237*$C$19*2</f>
        <v>1.0020408999999999</v>
      </c>
      <c r="D30" s="2"/>
      <c r="E30" s="2"/>
      <c r="F30" s="2"/>
    </row>
    <row r="31" spans="1:6" ht="32.25" thickBot="1">
      <c r="A31" s="31" t="s">
        <v>57</v>
      </c>
      <c r="B31" s="32" t="s">
        <v>58</v>
      </c>
      <c r="C31" s="30">
        <f>8480*$C$19*2</f>
        <v>0.64193599999999995</v>
      </c>
    </row>
    <row r="32" spans="1:6" ht="32.25" thickBot="1">
      <c r="A32" s="31" t="s">
        <v>59</v>
      </c>
      <c r="B32" s="32" t="s">
        <v>60</v>
      </c>
      <c r="C32" s="30">
        <f>16199*$C$19*2</f>
        <v>1.2262643</v>
      </c>
    </row>
    <row r="33" spans="1:3" ht="18" customHeight="1" thickBot="1">
      <c r="A33" s="31" t="s">
        <v>61</v>
      </c>
      <c r="B33" s="32" t="s">
        <v>62</v>
      </c>
      <c r="C33" s="30">
        <f>106687*$C$19*2</f>
        <v>8.0762058999999997</v>
      </c>
    </row>
    <row r="34" spans="1:3" ht="32.25" thickBot="1">
      <c r="A34" s="31" t="s">
        <v>63</v>
      </c>
      <c r="B34" s="34" t="s">
        <v>64</v>
      </c>
      <c r="C34" s="30">
        <f>616784*$C$19*2</f>
        <v>46.690548799999995</v>
      </c>
    </row>
    <row r="35" spans="1:3" ht="15.75">
      <c r="A35" s="116" t="s">
        <v>29</v>
      </c>
      <c r="B35" s="117"/>
      <c r="C35" s="35">
        <f>SUM(C20:C34)</f>
        <v>2755.97919285542</v>
      </c>
    </row>
    <row r="36" spans="1:3" ht="15.75">
      <c r="A36" s="118" t="s">
        <v>65</v>
      </c>
      <c r="B36" s="119"/>
      <c r="C36" s="36">
        <f>C35+C17</f>
        <v>2999.2858822554199</v>
      </c>
    </row>
    <row r="37" spans="1:3" ht="15.75">
      <c r="A37" s="1"/>
      <c r="B37" s="1"/>
      <c r="C37" s="37"/>
    </row>
    <row r="38" spans="1:3" ht="15.75">
      <c r="A38" s="103" t="s">
        <v>66</v>
      </c>
      <c r="B38" s="104"/>
      <c r="C38" s="38">
        <v>2</v>
      </c>
    </row>
    <row r="39" spans="1:3" ht="15.75">
      <c r="A39" s="103" t="s">
        <v>67</v>
      </c>
      <c r="B39" s="104"/>
      <c r="C39" s="39">
        <f>ROUND(C36/C38,2)</f>
        <v>1499.64</v>
      </c>
    </row>
  </sheetData>
  <mergeCells count="14">
    <mergeCell ref="A38:B38"/>
    <mergeCell ref="A39:B39"/>
    <mergeCell ref="A11:C11"/>
    <mergeCell ref="A12:A15"/>
    <mergeCell ref="A17:B17"/>
    <mergeCell ref="A18:C18"/>
    <mergeCell ref="A35:B35"/>
    <mergeCell ref="A36:B36"/>
    <mergeCell ref="A8:B8"/>
    <mergeCell ref="B1:C1"/>
    <mergeCell ref="A3:C3"/>
    <mergeCell ref="A5:C5"/>
    <mergeCell ref="A6:C6"/>
    <mergeCell ref="A7:C7"/>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76568-9450-4327-9A97-A291D9A19951}">
  <sheetPr>
    <tabColor rgb="FFFFFF00"/>
  </sheetPr>
  <dimension ref="A1:F40"/>
  <sheetViews>
    <sheetView zoomScaleNormal="100" workbookViewId="0">
      <selection activeCell="A6" sqref="A6:C6"/>
    </sheetView>
  </sheetViews>
  <sheetFormatPr defaultRowHeight="12.75"/>
  <cols>
    <col min="1" max="1" width="10.7109375" customWidth="1"/>
    <col min="2" max="2" width="98.85546875" customWidth="1"/>
    <col min="3" max="3" width="25.5703125" customWidth="1"/>
  </cols>
  <sheetData>
    <row r="1" spans="1:3" ht="69"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51.75" customHeight="1">
      <c r="A6" s="102" t="s">
        <v>209</v>
      </c>
      <c r="B6" s="102"/>
      <c r="C6" s="102"/>
    </row>
    <row r="7" spans="1:3" ht="15.75">
      <c r="A7" s="101" t="s">
        <v>94</v>
      </c>
      <c r="B7" s="101"/>
      <c r="C7" s="101"/>
    </row>
    <row r="8" spans="1:3" ht="15.75">
      <c r="A8" s="98" t="s">
        <v>128</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17" t="s">
        <v>194</v>
      </c>
      <c r="C12" s="18">
        <f>(9.05*1)*2</f>
        <v>18.100000000000001</v>
      </c>
    </row>
    <row r="13" spans="1:3" ht="16.5" customHeight="1">
      <c r="A13" s="109"/>
      <c r="B13" s="19" t="s">
        <v>210</v>
      </c>
      <c r="C13" s="18">
        <f>(10.628*24*2)*2</f>
        <v>1020.288</v>
      </c>
    </row>
    <row r="14" spans="1:3" ht="15.75">
      <c r="A14" s="109"/>
      <c r="B14" s="19" t="s">
        <v>211</v>
      </c>
      <c r="C14" s="18">
        <f>(16.843*1.2)*2</f>
        <v>40.423200000000001</v>
      </c>
    </row>
    <row r="15" spans="1:3" ht="16.5" thickBot="1">
      <c r="A15" s="110"/>
      <c r="B15" s="20" t="s">
        <v>212</v>
      </c>
      <c r="C15" s="18">
        <f>(19.4*1.2)*2</f>
        <v>46.559999999999995</v>
      </c>
    </row>
    <row r="16" spans="1:3" ht="32.25" thickBot="1">
      <c r="A16" s="21" t="s">
        <v>32</v>
      </c>
      <c r="B16" s="22" t="s">
        <v>33</v>
      </c>
      <c r="C16" s="23">
        <f>SUM(C12:C15)*0.2359</f>
        <v>265.47506607999998</v>
      </c>
    </row>
    <row r="17" spans="1:6" ht="15.75">
      <c r="A17" s="111" t="s">
        <v>27</v>
      </c>
      <c r="B17" s="112"/>
      <c r="C17" s="24">
        <f>SUM(C12:C16)</f>
        <v>1390.8462660799999</v>
      </c>
      <c r="F17" s="45">
        <f>C17+C20+C21</f>
        <v>1930.5333523036079</v>
      </c>
    </row>
    <row r="18" spans="1:6" ht="16.5" thickBot="1">
      <c r="A18" s="113" t="s">
        <v>28</v>
      </c>
      <c r="B18" s="114"/>
      <c r="C18" s="115"/>
      <c r="F18" s="45">
        <f>C22+C23+C24+C25+C26+C27+C28+C29+C30+C31+C32+C33</f>
        <v>2158.22396088</v>
      </c>
    </row>
    <row r="19" spans="1:6" ht="15.75">
      <c r="A19" s="25"/>
      <c r="B19" s="26" t="s">
        <v>34</v>
      </c>
      <c r="C19" s="27">
        <v>2.1634000000000001E-4</v>
      </c>
      <c r="F19" s="45">
        <f>C34+C35</f>
        <v>313.03143227999999</v>
      </c>
    </row>
    <row r="20" spans="1:6" ht="16.5" thickBot="1">
      <c r="A20" s="28" t="s">
        <v>35</v>
      </c>
      <c r="B20" s="29" t="s">
        <v>36</v>
      </c>
      <c r="C20" s="30">
        <f>1009234*$C$19*2</f>
        <v>436.67536712000003</v>
      </c>
    </row>
    <row r="21" spans="1:6" ht="32.25" thickBot="1">
      <c r="A21" s="31" t="s">
        <v>32</v>
      </c>
      <c r="B21" s="32" t="s">
        <v>33</v>
      </c>
      <c r="C21" s="30">
        <f>C20*0.2359</f>
        <v>103.011719103608</v>
      </c>
    </row>
    <row r="22" spans="1:6" ht="32.25" thickBot="1">
      <c r="A22" s="31" t="s">
        <v>37</v>
      </c>
      <c r="B22" s="32" t="s">
        <v>38</v>
      </c>
      <c r="C22" s="30">
        <f>93709*$C$19*2</f>
        <v>40.546010119999998</v>
      </c>
    </row>
    <row r="23" spans="1:6" ht="18" customHeight="1" thickBot="1">
      <c r="A23" s="31" t="s">
        <v>39</v>
      </c>
      <c r="B23" s="32" t="s">
        <v>40</v>
      </c>
      <c r="C23" s="30">
        <f>76039*$C$19*2</f>
        <v>32.90055452</v>
      </c>
    </row>
    <row r="24" spans="1:6" ht="18" customHeight="1" thickBot="1">
      <c r="A24" s="31" t="s">
        <v>41</v>
      </c>
      <c r="B24" s="32" t="s">
        <v>42</v>
      </c>
      <c r="C24" s="30">
        <f>84854*$C$19*2</f>
        <v>36.71462872</v>
      </c>
    </row>
    <row r="25" spans="1:6" ht="32.25" thickBot="1">
      <c r="A25" s="31" t="s">
        <v>43</v>
      </c>
      <c r="B25" s="32" t="s">
        <v>213</v>
      </c>
      <c r="C25" s="30">
        <f>880*2</f>
        <v>1760</v>
      </c>
    </row>
    <row r="26" spans="1:6" ht="32.25" thickBot="1">
      <c r="A26" s="31" t="s">
        <v>45</v>
      </c>
      <c r="B26" s="32" t="s">
        <v>46</v>
      </c>
      <c r="C26" s="30">
        <f>170156*$C$19*2</f>
        <v>73.623098080000005</v>
      </c>
    </row>
    <row r="27" spans="1:6" ht="32.25" thickBot="1">
      <c r="A27" s="31" t="s">
        <v>47</v>
      </c>
      <c r="B27" s="32" t="s">
        <v>48</v>
      </c>
      <c r="C27" s="30">
        <f>377637*$C$19*2</f>
        <v>163.39597716</v>
      </c>
    </row>
    <row r="28" spans="1:6" ht="18.75" customHeight="1" thickBot="1">
      <c r="A28" s="31" t="s">
        <v>49</v>
      </c>
      <c r="B28" s="32" t="s">
        <v>50</v>
      </c>
      <c r="C28" s="30">
        <f>51508*$C$19*2</f>
        <v>22.286481439999999</v>
      </c>
    </row>
    <row r="29" spans="1:6" ht="17.25" customHeight="1" thickBot="1">
      <c r="A29" s="31" t="s">
        <v>51</v>
      </c>
      <c r="B29" s="32" t="s">
        <v>52</v>
      </c>
      <c r="C29" s="30">
        <f>27437*$C$19*2</f>
        <v>11.87144116</v>
      </c>
    </row>
    <row r="30" spans="1:6" ht="16.5" customHeight="1" thickBot="1">
      <c r="A30" s="31" t="s">
        <v>53</v>
      </c>
      <c r="B30" s="32" t="s">
        <v>54</v>
      </c>
      <c r="C30" s="30">
        <f>1110*$C$19*2</f>
        <v>0.4802748</v>
      </c>
    </row>
    <row r="31" spans="1:6" ht="32.25" thickBot="1">
      <c r="A31" s="31" t="s">
        <v>55</v>
      </c>
      <c r="B31" s="32" t="s">
        <v>56</v>
      </c>
      <c r="C31" s="30">
        <f>13237*$C$19*2</f>
        <v>5.7273851599999999</v>
      </c>
      <c r="D31" s="2"/>
      <c r="E31" s="2"/>
      <c r="F31" s="2"/>
    </row>
    <row r="32" spans="1:6" ht="32.25" thickBot="1">
      <c r="A32" s="31" t="s">
        <v>57</v>
      </c>
      <c r="B32" s="32" t="s">
        <v>58</v>
      </c>
      <c r="C32" s="30">
        <f>8480*$C$19*2</f>
        <v>3.6691264000000001</v>
      </c>
    </row>
    <row r="33" spans="1:3" ht="32.25" thickBot="1">
      <c r="A33" s="31" t="s">
        <v>59</v>
      </c>
      <c r="B33" s="32" t="s">
        <v>60</v>
      </c>
      <c r="C33" s="30">
        <f>16199*$C$19*2</f>
        <v>7.0089833200000005</v>
      </c>
    </row>
    <row r="34" spans="1:3" ht="16.5" customHeight="1" thickBot="1">
      <c r="A34" s="31" t="s">
        <v>61</v>
      </c>
      <c r="B34" s="32" t="s">
        <v>62</v>
      </c>
      <c r="C34" s="30">
        <f>106687*$C$19*2</f>
        <v>46.161331160000003</v>
      </c>
    </row>
    <row r="35" spans="1:3" ht="32.25" thickBot="1">
      <c r="A35" s="31" t="s">
        <v>63</v>
      </c>
      <c r="B35" s="34" t="s">
        <v>64</v>
      </c>
      <c r="C35" s="30">
        <f>616784*$C$19*2</f>
        <v>266.87010112000002</v>
      </c>
    </row>
    <row r="36" spans="1:3" ht="15.75">
      <c r="A36" s="116" t="s">
        <v>29</v>
      </c>
      <c r="B36" s="117"/>
      <c r="C36" s="35">
        <f>SUM(C20:C35)</f>
        <v>3010.9424793836079</v>
      </c>
    </row>
    <row r="37" spans="1:3" ht="15.75">
      <c r="A37" s="118" t="s">
        <v>65</v>
      </c>
      <c r="B37" s="119"/>
      <c r="C37" s="36">
        <f>C36+C17</f>
        <v>4401.7887454636075</v>
      </c>
    </row>
    <row r="38" spans="1:3" ht="15.75">
      <c r="A38" s="1"/>
      <c r="B38" s="1"/>
      <c r="C38" s="37"/>
    </row>
    <row r="39" spans="1:3" ht="15.75">
      <c r="A39" s="103" t="s">
        <v>66</v>
      </c>
      <c r="B39" s="104"/>
      <c r="C39" s="38">
        <v>2</v>
      </c>
    </row>
    <row r="40" spans="1:3" ht="15.75">
      <c r="A40" s="103" t="s">
        <v>67</v>
      </c>
      <c r="B40" s="104"/>
      <c r="C40" s="39">
        <f>ROUND(C37/C39,2)</f>
        <v>2200.89</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655E6-FFF8-4560-B666-E2503547CC31}">
  <sheetPr>
    <tabColor rgb="FFFFFF00"/>
  </sheetPr>
  <dimension ref="A1:F38"/>
  <sheetViews>
    <sheetView zoomScaleNormal="100" workbookViewId="0">
      <selection activeCell="A6" sqref="A6:C6"/>
    </sheetView>
  </sheetViews>
  <sheetFormatPr defaultRowHeight="12.75"/>
  <cols>
    <col min="1" max="1" width="10.7109375" customWidth="1"/>
    <col min="2" max="2" width="98.85546875" customWidth="1"/>
    <col min="3" max="3" width="25.5703125" customWidth="1"/>
  </cols>
  <sheetData>
    <row r="1" spans="1:3" ht="81.599999999999994"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46.15" customHeight="1">
      <c r="A6" s="102" t="s">
        <v>214</v>
      </c>
      <c r="B6" s="102"/>
      <c r="C6" s="102"/>
    </row>
    <row r="7" spans="1:3" ht="15.75">
      <c r="A7" s="101" t="s">
        <v>94</v>
      </c>
      <c r="B7" s="101"/>
      <c r="C7" s="101"/>
    </row>
    <row r="8" spans="1:3" ht="15.75">
      <c r="A8" s="98" t="s">
        <v>128</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17" t="s">
        <v>194</v>
      </c>
      <c r="C12" s="18">
        <f>(9.05*1)*2</f>
        <v>18.100000000000001</v>
      </c>
    </row>
    <row r="13" spans="1:3" ht="18.75" customHeight="1">
      <c r="A13" s="109"/>
      <c r="B13" s="19" t="s">
        <v>215</v>
      </c>
      <c r="C13" s="18">
        <f>(10.628*12*2)*2</f>
        <v>510.14400000000001</v>
      </c>
    </row>
    <row r="14" spans="1:3" ht="15.75">
      <c r="A14" s="109"/>
      <c r="B14" s="19" t="s">
        <v>211</v>
      </c>
      <c r="C14" s="18">
        <f>(16.843*1.2)*2</f>
        <v>40.423200000000001</v>
      </c>
    </row>
    <row r="15" spans="1:3" ht="16.5" thickBot="1">
      <c r="A15" s="110"/>
      <c r="B15" s="20" t="s">
        <v>212</v>
      </c>
      <c r="C15" s="18">
        <f>(19.4*1.2)*2</f>
        <v>46.559999999999995</v>
      </c>
    </row>
    <row r="16" spans="1:3" ht="32.25" thickBot="1">
      <c r="A16" s="21" t="s">
        <v>32</v>
      </c>
      <c r="B16" s="22" t="s">
        <v>33</v>
      </c>
      <c r="C16" s="23">
        <f>SUM(C12:C15)*0.2359</f>
        <v>145.13209647999997</v>
      </c>
    </row>
    <row r="17" spans="1:6" ht="15.75">
      <c r="A17" s="111" t="s">
        <v>27</v>
      </c>
      <c r="B17" s="112"/>
      <c r="C17" s="24">
        <f>SUM(C12:C16)</f>
        <v>760.3592964799999</v>
      </c>
      <c r="F17" s="45">
        <f>C17+C20+C21</f>
        <v>1055.398548063924</v>
      </c>
    </row>
    <row r="18" spans="1:6" ht="16.5" thickBot="1">
      <c r="A18" s="113" t="s">
        <v>28</v>
      </c>
      <c r="B18" s="114"/>
      <c r="C18" s="115"/>
      <c r="F18" s="45">
        <f>C22+C23+C24+C25+C26+C27+C28+C29+C30+C31</f>
        <v>1173.6091027800001</v>
      </c>
    </row>
    <row r="19" spans="1:6" ht="15.75">
      <c r="A19" s="25"/>
      <c r="B19" s="26" t="s">
        <v>34</v>
      </c>
      <c r="C19" s="27">
        <v>1.1827E-4</v>
      </c>
      <c r="F19" s="45">
        <f>C32+C33</f>
        <v>171.12983034000001</v>
      </c>
    </row>
    <row r="20" spans="1:6" ht="16.5" thickBot="1">
      <c r="A20" s="28" t="s">
        <v>35</v>
      </c>
      <c r="B20" s="29" t="s">
        <v>36</v>
      </c>
      <c r="C20" s="30">
        <f>1009234*$C$19*2</f>
        <v>238.72421036</v>
      </c>
    </row>
    <row r="21" spans="1:6" ht="32.25" thickBot="1">
      <c r="A21" s="31" t="s">
        <v>32</v>
      </c>
      <c r="B21" s="32" t="s">
        <v>33</v>
      </c>
      <c r="C21" s="30">
        <f>C20*0.2359</f>
        <v>56.315041223923998</v>
      </c>
    </row>
    <row r="22" spans="1:6" ht="32.25" thickBot="1">
      <c r="A22" s="31" t="s">
        <v>37</v>
      </c>
      <c r="B22" s="32" t="s">
        <v>38</v>
      </c>
      <c r="C22" s="30">
        <f>93709*$C$19*2</f>
        <v>22.165926860000003</v>
      </c>
    </row>
    <row r="23" spans="1:6" ht="19.5" customHeight="1" thickBot="1">
      <c r="A23" s="31" t="s">
        <v>39</v>
      </c>
      <c r="B23" s="32" t="s">
        <v>40</v>
      </c>
      <c r="C23" s="30">
        <f>76039*$C$19*2</f>
        <v>17.986265060000001</v>
      </c>
    </row>
    <row r="24" spans="1:6" ht="20.25" customHeight="1" thickBot="1">
      <c r="A24" s="31" t="s">
        <v>41</v>
      </c>
      <c r="B24" s="32" t="s">
        <v>42</v>
      </c>
      <c r="C24" s="30">
        <f>84854*$C$19*2</f>
        <v>20.071365159999999</v>
      </c>
    </row>
    <row r="25" spans="1:6" ht="32.25" thickBot="1">
      <c r="A25" s="31" t="s">
        <v>43</v>
      </c>
      <c r="B25" s="32" t="s">
        <v>216</v>
      </c>
      <c r="C25" s="30">
        <f>480*2</f>
        <v>960</v>
      </c>
    </row>
    <row r="26" spans="1:6" ht="32.25" thickBot="1">
      <c r="A26" s="31" t="s">
        <v>45</v>
      </c>
      <c r="B26" s="32" t="s">
        <v>46</v>
      </c>
      <c r="C26" s="30">
        <f>170156*$C$19*2</f>
        <v>40.248700239999998</v>
      </c>
    </row>
    <row r="27" spans="1:6" ht="32.25" thickBot="1">
      <c r="A27" s="31" t="s">
        <v>47</v>
      </c>
      <c r="B27" s="32" t="s">
        <v>48</v>
      </c>
      <c r="C27" s="30">
        <f>377637*$C$19*2</f>
        <v>89.326255979999999</v>
      </c>
    </row>
    <row r="28" spans="1:6" ht="21" customHeight="1" thickBot="1">
      <c r="A28" s="31" t="s">
        <v>49</v>
      </c>
      <c r="B28" s="32" t="s">
        <v>50</v>
      </c>
      <c r="C28" s="30">
        <f>51508*$C$19*2</f>
        <v>12.18370232</v>
      </c>
    </row>
    <row r="29" spans="1:6" ht="18" customHeight="1" thickBot="1">
      <c r="A29" s="31" t="s">
        <v>51</v>
      </c>
      <c r="B29" s="32" t="s">
        <v>52</v>
      </c>
      <c r="C29" s="30">
        <f>27437*$C$19*2</f>
        <v>6.4899479800000002</v>
      </c>
    </row>
    <row r="30" spans="1:6" ht="32.25" thickBot="1">
      <c r="A30" s="31" t="s">
        <v>55</v>
      </c>
      <c r="B30" s="32" t="s">
        <v>56</v>
      </c>
      <c r="C30" s="30">
        <f>13237*$C$19*2</f>
        <v>3.13107998</v>
      </c>
      <c r="D30" s="2"/>
      <c r="E30" s="2"/>
      <c r="F30" s="2"/>
    </row>
    <row r="31" spans="1:6" ht="32.25" thickBot="1">
      <c r="A31" s="31" t="s">
        <v>57</v>
      </c>
      <c r="B31" s="32" t="s">
        <v>58</v>
      </c>
      <c r="C31" s="30">
        <f>8480*$C$19*2</f>
        <v>2.0058592000000002</v>
      </c>
    </row>
    <row r="32" spans="1:6" ht="15.75" customHeight="1" thickBot="1">
      <c r="A32" s="31" t="s">
        <v>61</v>
      </c>
      <c r="B32" s="32" t="s">
        <v>62</v>
      </c>
      <c r="C32" s="30">
        <f>106687*$C$19*2</f>
        <v>25.235742980000001</v>
      </c>
    </row>
    <row r="33" spans="1:3" ht="32.25" thickBot="1">
      <c r="A33" s="31" t="s">
        <v>63</v>
      </c>
      <c r="B33" s="34" t="s">
        <v>64</v>
      </c>
      <c r="C33" s="30">
        <f>616784*$C$19*2</f>
        <v>145.89408736000001</v>
      </c>
    </row>
    <row r="34" spans="1:3" ht="15.75">
      <c r="A34" s="116" t="s">
        <v>29</v>
      </c>
      <c r="B34" s="117"/>
      <c r="C34" s="35">
        <f>SUM(C20:C33)</f>
        <v>1639.7781847039241</v>
      </c>
    </row>
    <row r="35" spans="1:3" ht="15.75">
      <c r="A35" s="118" t="s">
        <v>65</v>
      </c>
      <c r="B35" s="119"/>
      <c r="C35" s="36">
        <f>C34+C17</f>
        <v>2400.1374811839241</v>
      </c>
    </row>
    <row r="36" spans="1:3" ht="15.75">
      <c r="A36" s="1"/>
      <c r="B36" s="1"/>
      <c r="C36" s="37"/>
    </row>
    <row r="37" spans="1:3" ht="15.75">
      <c r="A37" s="103" t="s">
        <v>66</v>
      </c>
      <c r="B37" s="104"/>
      <c r="C37" s="38">
        <v>2</v>
      </c>
    </row>
    <row r="38" spans="1:3" ht="15.75">
      <c r="A38" s="103" t="s">
        <v>67</v>
      </c>
      <c r="B38" s="104"/>
      <c r="C38" s="39">
        <f>ROUND(C35/C37,2)</f>
        <v>1200.07</v>
      </c>
    </row>
  </sheetData>
  <mergeCells count="14">
    <mergeCell ref="A37:B37"/>
    <mergeCell ref="A38:B38"/>
    <mergeCell ref="A11:C11"/>
    <mergeCell ref="A12:A15"/>
    <mergeCell ref="A17:B17"/>
    <mergeCell ref="A18:C18"/>
    <mergeCell ref="A34:B34"/>
    <mergeCell ref="A35:B35"/>
    <mergeCell ref="A8:B8"/>
    <mergeCell ref="B1:C1"/>
    <mergeCell ref="A3:C3"/>
    <mergeCell ref="A5:C5"/>
    <mergeCell ref="A6:C6"/>
    <mergeCell ref="A7:C7"/>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13006-63C2-4336-ACB3-FADC9373C84E}">
  <sheetPr>
    <tabColor rgb="FFFFFF00"/>
  </sheetPr>
  <dimension ref="A1:F38"/>
  <sheetViews>
    <sheetView zoomScaleNormal="100" workbookViewId="0">
      <selection activeCell="A6" sqref="A6:C6"/>
    </sheetView>
  </sheetViews>
  <sheetFormatPr defaultRowHeight="12.75"/>
  <cols>
    <col min="1" max="1" width="10.7109375" customWidth="1"/>
    <col min="2" max="2" width="98.85546875" customWidth="1"/>
    <col min="3" max="3" width="25.5703125" customWidth="1"/>
  </cols>
  <sheetData>
    <row r="1" spans="1:6" ht="68.45"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51" customHeight="1">
      <c r="A6" s="102" t="s">
        <v>217</v>
      </c>
      <c r="B6" s="102"/>
      <c r="C6" s="102"/>
    </row>
    <row r="7" spans="1:6" ht="15.75">
      <c r="A7" s="101" t="s">
        <v>94</v>
      </c>
      <c r="B7" s="101"/>
      <c r="C7" s="101"/>
    </row>
    <row r="8" spans="1:6" ht="15.75">
      <c r="A8" s="98" t="s">
        <v>128</v>
      </c>
      <c r="B8" s="98"/>
      <c r="C8" s="40"/>
    </row>
    <row r="9" spans="1:6" ht="15.75">
      <c r="A9" s="43"/>
      <c r="B9" s="43"/>
      <c r="C9" s="40"/>
    </row>
    <row r="10" spans="1:6" ht="63">
      <c r="A10" s="14" t="s">
        <v>24</v>
      </c>
      <c r="B10" s="15" t="s">
        <v>25</v>
      </c>
      <c r="C10" s="16" t="s">
        <v>30</v>
      </c>
    </row>
    <row r="11" spans="1:6" ht="16.5" thickBot="1">
      <c r="A11" s="105" t="s">
        <v>26</v>
      </c>
      <c r="B11" s="106"/>
      <c r="C11" s="107"/>
    </row>
    <row r="12" spans="1:6" ht="15.75">
      <c r="A12" s="108" t="s">
        <v>31</v>
      </c>
      <c r="B12" s="17" t="s">
        <v>194</v>
      </c>
      <c r="C12" s="18">
        <f>(9.05*1)*2</f>
        <v>18.100000000000001</v>
      </c>
    </row>
    <row r="13" spans="1:6" ht="15.75">
      <c r="A13" s="109"/>
      <c r="B13" s="19" t="s">
        <v>218</v>
      </c>
      <c r="C13" s="18">
        <f>(10.628*3.5)*2</f>
        <v>74.396000000000001</v>
      </c>
    </row>
    <row r="14" spans="1:6" ht="16.5" thickBot="1">
      <c r="A14" s="110"/>
      <c r="B14" s="20" t="s">
        <v>219</v>
      </c>
      <c r="C14" s="18">
        <f>(19.4*1)*2</f>
        <v>38.799999999999997</v>
      </c>
    </row>
    <row r="15" spans="1:6" ht="32.25" thickBot="1">
      <c r="A15" s="21" t="s">
        <v>32</v>
      </c>
      <c r="B15" s="22" t="s">
        <v>33</v>
      </c>
      <c r="C15" s="23">
        <f>SUM(C12:C14)*0.2359</f>
        <v>30.972726399999999</v>
      </c>
    </row>
    <row r="16" spans="1:6" ht="15.75">
      <c r="A16" s="111" t="s">
        <v>27</v>
      </c>
      <c r="B16" s="112"/>
      <c r="C16" s="24">
        <f>SUM(C12:C15)</f>
        <v>162.26872639999999</v>
      </c>
      <c r="F16" s="45">
        <f>C16+C19+C20</f>
        <v>225.23305133428801</v>
      </c>
    </row>
    <row r="17" spans="1:6" ht="16.5" thickBot="1">
      <c r="A17" s="113" t="s">
        <v>28</v>
      </c>
      <c r="B17" s="114"/>
      <c r="C17" s="115"/>
      <c r="F17" s="45">
        <f>C21+C22+C23+C24+C25+C26+C27+C28+C29+C30+C31</f>
        <v>1737.8706008000001</v>
      </c>
    </row>
    <row r="18" spans="1:6" ht="15.75">
      <c r="A18" s="25"/>
      <c r="B18" s="26" t="s">
        <v>34</v>
      </c>
      <c r="C18" s="27">
        <v>2.5239999999999999E-5</v>
      </c>
      <c r="F18" s="45">
        <f>C32+C33</f>
        <v>36.520816080000003</v>
      </c>
    </row>
    <row r="19" spans="1:6" ht="16.5" thickBot="1">
      <c r="A19" s="28" t="s">
        <v>35</v>
      </c>
      <c r="B19" s="29" t="s">
        <v>36</v>
      </c>
      <c r="C19" s="30">
        <f>1009234*$C$18*2</f>
        <v>50.946132319999997</v>
      </c>
    </row>
    <row r="20" spans="1:6" ht="32.25" thickBot="1">
      <c r="A20" s="31" t="s">
        <v>32</v>
      </c>
      <c r="B20" s="32" t="s">
        <v>33</v>
      </c>
      <c r="C20" s="30">
        <f>C19*0.2359</f>
        <v>12.018192614287999</v>
      </c>
    </row>
    <row r="21" spans="1:6" ht="32.25" thickBot="1">
      <c r="A21" s="31" t="s">
        <v>37</v>
      </c>
      <c r="B21" s="32" t="s">
        <v>38</v>
      </c>
      <c r="C21" s="30">
        <f>93709*$C$18*2</f>
        <v>4.73043032</v>
      </c>
    </row>
    <row r="22" spans="1:6" ht="18" customHeight="1" thickBot="1">
      <c r="A22" s="31" t="s">
        <v>39</v>
      </c>
      <c r="B22" s="32" t="s">
        <v>40</v>
      </c>
      <c r="C22" s="30">
        <f>76039*$C$18*2</f>
        <v>3.8384487199999997</v>
      </c>
    </row>
    <row r="23" spans="1:6" ht="18" customHeight="1" thickBot="1">
      <c r="A23" s="31" t="s">
        <v>41</v>
      </c>
      <c r="B23" s="32" t="s">
        <v>42</v>
      </c>
      <c r="C23" s="30">
        <f>84854*$C$18*2</f>
        <v>4.2834299199999997</v>
      </c>
    </row>
    <row r="24" spans="1:6" ht="32.25" thickBot="1">
      <c r="A24" s="31" t="s">
        <v>43</v>
      </c>
      <c r="B24" s="32" t="s">
        <v>220</v>
      </c>
      <c r="C24" s="30">
        <f>850*2</f>
        <v>1700</v>
      </c>
    </row>
    <row r="25" spans="1:6" ht="32.25" thickBot="1">
      <c r="A25" s="31" t="s">
        <v>47</v>
      </c>
      <c r="B25" s="32" t="s">
        <v>48</v>
      </c>
      <c r="C25" s="30">
        <f>377637*$C$18*2</f>
        <v>19.063115759999999</v>
      </c>
    </row>
    <row r="26" spans="1:6" ht="21" customHeight="1" thickBot="1">
      <c r="A26" s="31" t="s">
        <v>49</v>
      </c>
      <c r="B26" s="32" t="s">
        <v>50</v>
      </c>
      <c r="C26" s="30">
        <f>51508*$C$18*2</f>
        <v>2.6001238399999997</v>
      </c>
    </row>
    <row r="27" spans="1:6" ht="21" customHeight="1" thickBot="1">
      <c r="A27" s="31" t="s">
        <v>51</v>
      </c>
      <c r="B27" s="32" t="s">
        <v>52</v>
      </c>
      <c r="C27" s="30">
        <f>27437*$C$18*2</f>
        <v>1.38501976</v>
      </c>
    </row>
    <row r="28" spans="1:6" ht="21" customHeight="1" thickBot="1">
      <c r="A28" s="31" t="s">
        <v>53</v>
      </c>
      <c r="B28" s="32" t="s">
        <v>54</v>
      </c>
      <c r="C28" s="30">
        <f>1110*$C$18*2</f>
        <v>5.6032800000000001E-2</v>
      </c>
    </row>
    <row r="29" spans="1:6" ht="32.25" thickBot="1">
      <c r="A29" s="31" t="s">
        <v>55</v>
      </c>
      <c r="B29" s="32" t="s">
        <v>56</v>
      </c>
      <c r="C29" s="30">
        <f>13237*$C$18*2</f>
        <v>0.66820375999999992</v>
      </c>
      <c r="D29" s="2"/>
      <c r="E29" s="2"/>
    </row>
    <row r="30" spans="1:6" ht="32.25" thickBot="1">
      <c r="A30" s="31" t="s">
        <v>57</v>
      </c>
      <c r="B30" s="32" t="s">
        <v>58</v>
      </c>
      <c r="C30" s="30">
        <f>8480*$C$18*2</f>
        <v>0.42807039999999996</v>
      </c>
    </row>
    <row r="31" spans="1:6" ht="32.25" thickBot="1">
      <c r="A31" s="31" t="s">
        <v>59</v>
      </c>
      <c r="B31" s="32" t="s">
        <v>60</v>
      </c>
      <c r="C31" s="30">
        <f>16199*$C$18*2</f>
        <v>0.81772551999999998</v>
      </c>
    </row>
    <row r="32" spans="1:6" ht="17.25" customHeight="1" thickBot="1">
      <c r="A32" s="31" t="s">
        <v>61</v>
      </c>
      <c r="B32" s="32" t="s">
        <v>62</v>
      </c>
      <c r="C32" s="30">
        <f>106687*$C$18*2</f>
        <v>5.3855597599999996</v>
      </c>
    </row>
    <row r="33" spans="1:3" ht="32.25" thickBot="1">
      <c r="A33" s="31" t="s">
        <v>63</v>
      </c>
      <c r="B33" s="34" t="s">
        <v>64</v>
      </c>
      <c r="C33" s="30">
        <f>616784*$C$18*2</f>
        <v>31.13525632</v>
      </c>
    </row>
    <row r="34" spans="1:3" ht="15.75">
      <c r="A34" s="116" t="s">
        <v>29</v>
      </c>
      <c r="B34" s="117"/>
      <c r="C34" s="35">
        <f>SUM(C19:C33)</f>
        <v>1837.3557418142882</v>
      </c>
    </row>
    <row r="35" spans="1:3" ht="15.75">
      <c r="A35" s="118" t="s">
        <v>65</v>
      </c>
      <c r="B35" s="119"/>
      <c r="C35" s="36">
        <f>C34+C16</f>
        <v>1999.6244682142883</v>
      </c>
    </row>
    <row r="36" spans="1:3" ht="15.75">
      <c r="A36" s="1"/>
      <c r="B36" s="1"/>
      <c r="C36" s="37"/>
    </row>
    <row r="37" spans="1:3" ht="15.75">
      <c r="A37" s="103" t="s">
        <v>66</v>
      </c>
      <c r="B37" s="104"/>
      <c r="C37" s="38">
        <v>2</v>
      </c>
    </row>
    <row r="38" spans="1:3" ht="15.75">
      <c r="A38" s="103" t="s">
        <v>67</v>
      </c>
      <c r="B38" s="104"/>
      <c r="C38" s="39">
        <f>ROUND(C35/C37,2)</f>
        <v>999.81</v>
      </c>
    </row>
  </sheetData>
  <mergeCells count="14">
    <mergeCell ref="A37:B37"/>
    <mergeCell ref="A38:B38"/>
    <mergeCell ref="A11:C11"/>
    <mergeCell ref="A12:A14"/>
    <mergeCell ref="A16:B16"/>
    <mergeCell ref="A17:C17"/>
    <mergeCell ref="A34:B34"/>
    <mergeCell ref="A35:B35"/>
    <mergeCell ref="A8:B8"/>
    <mergeCell ref="B1:C1"/>
    <mergeCell ref="A3:C3"/>
    <mergeCell ref="A5:C5"/>
    <mergeCell ref="A6:C6"/>
    <mergeCell ref="A7:C7"/>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2EF06-68A7-402E-9446-DF281E7538EA}">
  <sheetPr>
    <tabColor rgb="FFFFFF00"/>
  </sheetPr>
  <dimension ref="A1:F38"/>
  <sheetViews>
    <sheetView zoomScaleNormal="100" workbookViewId="0">
      <selection activeCell="A6" sqref="A6:C6"/>
    </sheetView>
  </sheetViews>
  <sheetFormatPr defaultRowHeight="12.75"/>
  <cols>
    <col min="1" max="1" width="10.7109375" customWidth="1"/>
    <col min="2" max="2" width="98.85546875" customWidth="1"/>
    <col min="3" max="3" width="25.5703125" customWidth="1"/>
  </cols>
  <sheetData>
    <row r="1" spans="1:3" ht="69"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51.75" customHeight="1">
      <c r="A6" s="102" t="s">
        <v>221</v>
      </c>
      <c r="B6" s="102"/>
      <c r="C6" s="102"/>
    </row>
    <row r="7" spans="1:3" ht="15.75">
      <c r="A7" s="101" t="s">
        <v>94</v>
      </c>
      <c r="B7" s="101"/>
      <c r="C7" s="101"/>
    </row>
    <row r="8" spans="1:3" ht="15.75">
      <c r="A8" s="98" t="s">
        <v>97</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17" t="s">
        <v>194</v>
      </c>
      <c r="C12" s="18">
        <f>(9.05*1)*3</f>
        <v>27.150000000000002</v>
      </c>
    </row>
    <row r="13" spans="1:3" ht="16.5" customHeight="1">
      <c r="A13" s="109"/>
      <c r="B13" s="19" t="s">
        <v>195</v>
      </c>
      <c r="C13" s="18">
        <f>(10.628*40*2)*3</f>
        <v>2550.7200000000003</v>
      </c>
    </row>
    <row r="14" spans="1:3" ht="15.75">
      <c r="A14" s="109"/>
      <c r="B14" s="19" t="s">
        <v>196</v>
      </c>
      <c r="C14" s="18">
        <f>(16.843*7)*3</f>
        <v>353.70299999999997</v>
      </c>
    </row>
    <row r="15" spans="1:3" ht="16.5" thickBot="1">
      <c r="A15" s="110"/>
      <c r="B15" s="20" t="s">
        <v>222</v>
      </c>
      <c r="C15" s="18">
        <f>(19.4*7)*3</f>
        <v>407.4</v>
      </c>
    </row>
    <row r="16" spans="1:3" ht="32.25" thickBot="1">
      <c r="A16" s="21" t="s">
        <v>32</v>
      </c>
      <c r="B16" s="22" t="s">
        <v>33</v>
      </c>
      <c r="C16" s="23">
        <f>SUM(C12:C15)*0.2359</f>
        <v>787.66373070000009</v>
      </c>
    </row>
    <row r="17" spans="1:6" ht="15.75">
      <c r="A17" s="111" t="s">
        <v>27</v>
      </c>
      <c r="B17" s="112"/>
      <c r="C17" s="24">
        <f>SUM(C12:C16)</f>
        <v>4126.6367307</v>
      </c>
      <c r="F17" s="45">
        <f>C17+C20+C21</f>
        <v>5727.9237890872746</v>
      </c>
    </row>
    <row r="18" spans="1:6" ht="16.5" thickBot="1">
      <c r="A18" s="113" t="s">
        <v>28</v>
      </c>
      <c r="B18" s="114"/>
      <c r="C18" s="115"/>
      <c r="F18" s="45">
        <f>C22+C23+C24+C25+C26+C27+C28+C29+C30+C31</f>
        <v>5344.9083140100001</v>
      </c>
    </row>
    <row r="19" spans="1:6" ht="15.75">
      <c r="A19" s="25"/>
      <c r="B19" s="26" t="s">
        <v>34</v>
      </c>
      <c r="C19" s="27">
        <v>4.2792999999999998E-4</v>
      </c>
      <c r="F19" s="45">
        <f>C32+C33</f>
        <v>928.78483509</v>
      </c>
    </row>
    <row r="20" spans="1:6" ht="16.5" thickBot="1">
      <c r="A20" s="28" t="s">
        <v>35</v>
      </c>
      <c r="B20" s="29" t="s">
        <v>36</v>
      </c>
      <c r="C20" s="30">
        <f>1009234*$C$19*3</f>
        <v>1295.6445168599998</v>
      </c>
    </row>
    <row r="21" spans="1:6" ht="32.25" thickBot="1">
      <c r="A21" s="31" t="s">
        <v>32</v>
      </c>
      <c r="B21" s="32" t="s">
        <v>33</v>
      </c>
      <c r="C21" s="30">
        <f>C20*0.2359</f>
        <v>305.64254152727398</v>
      </c>
    </row>
    <row r="22" spans="1:6" ht="32.25" thickBot="1">
      <c r="A22" s="31" t="s">
        <v>37</v>
      </c>
      <c r="B22" s="32" t="s">
        <v>38</v>
      </c>
      <c r="C22" s="30">
        <f>93709*$C$19*3</f>
        <v>120.30267710999999</v>
      </c>
    </row>
    <row r="23" spans="1:6" ht="17.25" customHeight="1" thickBot="1">
      <c r="A23" s="31" t="s">
        <v>39</v>
      </c>
      <c r="B23" s="32" t="s">
        <v>40</v>
      </c>
      <c r="C23" s="30">
        <f>76039*$C$19*3</f>
        <v>97.618107809999998</v>
      </c>
    </row>
    <row r="24" spans="1:6" ht="16.5" customHeight="1" thickBot="1">
      <c r="A24" s="31" t="s">
        <v>41</v>
      </c>
      <c r="B24" s="32" t="s">
        <v>42</v>
      </c>
      <c r="C24" s="30">
        <f>84854*$C$19*3</f>
        <v>108.93471665999999</v>
      </c>
    </row>
    <row r="25" spans="1:6" ht="32.25" thickBot="1">
      <c r="A25" s="31" t="s">
        <v>43</v>
      </c>
      <c r="B25" s="32" t="s">
        <v>198</v>
      </c>
      <c r="C25" s="30">
        <f>1400*3</f>
        <v>4200</v>
      </c>
    </row>
    <row r="26" spans="1:6" ht="32.25" thickBot="1">
      <c r="A26" s="31" t="s">
        <v>45</v>
      </c>
      <c r="B26" s="32" t="s">
        <v>46</v>
      </c>
      <c r="C26" s="30">
        <f>170156*$C$19*3</f>
        <v>218.44457123999999</v>
      </c>
    </row>
    <row r="27" spans="1:6" ht="32.25" thickBot="1">
      <c r="A27" s="31" t="s">
        <v>47</v>
      </c>
      <c r="B27" s="32" t="s">
        <v>48</v>
      </c>
      <c r="C27" s="30">
        <f>377637*$C$19*3</f>
        <v>484.80660422999995</v>
      </c>
    </row>
    <row r="28" spans="1:6" ht="19.5" customHeight="1" thickBot="1">
      <c r="A28" s="31" t="s">
        <v>49</v>
      </c>
      <c r="B28" s="32" t="s">
        <v>50</v>
      </c>
      <c r="C28" s="30">
        <f>51508*$C$19*3</f>
        <v>66.12545532</v>
      </c>
    </row>
    <row r="29" spans="1:6" ht="32.25" thickBot="1">
      <c r="A29" s="31" t="s">
        <v>55</v>
      </c>
      <c r="B29" s="32" t="s">
        <v>56</v>
      </c>
      <c r="C29" s="30">
        <f>13237*$C$19*3</f>
        <v>16.993528229999999</v>
      </c>
      <c r="D29" s="2"/>
      <c r="E29" s="2"/>
    </row>
    <row r="30" spans="1:6" ht="32.25" thickBot="1">
      <c r="A30" s="31" t="s">
        <v>57</v>
      </c>
      <c r="B30" s="32" t="s">
        <v>58</v>
      </c>
      <c r="C30" s="30">
        <f>8480*$C$19*3</f>
        <v>10.886539199999998</v>
      </c>
    </row>
    <row r="31" spans="1:6" ht="32.25" thickBot="1">
      <c r="A31" s="31" t="s">
        <v>59</v>
      </c>
      <c r="B31" s="32" t="s">
        <v>60</v>
      </c>
      <c r="C31" s="30">
        <f>16199*$C$19*3</f>
        <v>20.796114209999999</v>
      </c>
    </row>
    <row r="32" spans="1:6" ht="21" customHeight="1" thickBot="1">
      <c r="A32" s="31" t="s">
        <v>61</v>
      </c>
      <c r="B32" s="32" t="s">
        <v>62</v>
      </c>
      <c r="C32" s="30">
        <f>106687*$C$19*3</f>
        <v>136.96370372999999</v>
      </c>
    </row>
    <row r="33" spans="1:3" ht="32.25" thickBot="1">
      <c r="A33" s="31" t="s">
        <v>63</v>
      </c>
      <c r="B33" s="34" t="s">
        <v>64</v>
      </c>
      <c r="C33" s="30">
        <f>616784*$C$19*3</f>
        <v>791.82113135999998</v>
      </c>
    </row>
    <row r="34" spans="1:3" ht="15.75">
      <c r="A34" s="116" t="s">
        <v>29</v>
      </c>
      <c r="B34" s="117"/>
      <c r="C34" s="35">
        <f>SUM(C20:C33)</f>
        <v>7874.9802074872732</v>
      </c>
    </row>
    <row r="35" spans="1:3" ht="15.75">
      <c r="A35" s="118" t="s">
        <v>65</v>
      </c>
      <c r="B35" s="119"/>
      <c r="C35" s="36">
        <f>C34+C17</f>
        <v>12001.616938187273</v>
      </c>
    </row>
    <row r="36" spans="1:3" ht="15.75">
      <c r="A36" s="1"/>
      <c r="B36" s="1"/>
      <c r="C36" s="37"/>
    </row>
    <row r="37" spans="1:3" ht="15.75">
      <c r="A37" s="103" t="s">
        <v>66</v>
      </c>
      <c r="B37" s="104"/>
      <c r="C37" s="38">
        <v>3</v>
      </c>
    </row>
    <row r="38" spans="1:3" ht="15.75">
      <c r="A38" s="103" t="s">
        <v>67</v>
      </c>
      <c r="B38" s="104"/>
      <c r="C38" s="39">
        <f>ROUND(C35/C37,2)</f>
        <v>4000.54</v>
      </c>
    </row>
  </sheetData>
  <mergeCells count="14">
    <mergeCell ref="A37:B37"/>
    <mergeCell ref="A38:B38"/>
    <mergeCell ref="A11:C11"/>
    <mergeCell ref="A12:A15"/>
    <mergeCell ref="A17:B17"/>
    <mergeCell ref="A18:C18"/>
    <mergeCell ref="A34:B34"/>
    <mergeCell ref="A35:B35"/>
    <mergeCell ref="A8:B8"/>
    <mergeCell ref="B1:C1"/>
    <mergeCell ref="A3:C3"/>
    <mergeCell ref="A5:C5"/>
    <mergeCell ref="A6:C6"/>
    <mergeCell ref="A7:C7"/>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A125C-08D0-4158-AC84-CF0B87E8215A}">
  <sheetPr>
    <tabColor rgb="FFFFFF00"/>
  </sheetPr>
  <dimension ref="A1:F37"/>
  <sheetViews>
    <sheetView zoomScaleNormal="100" workbookViewId="0">
      <selection activeCell="F24" sqref="F24"/>
    </sheetView>
  </sheetViews>
  <sheetFormatPr defaultRowHeight="12.75"/>
  <cols>
    <col min="1" max="1" width="10.7109375" customWidth="1"/>
    <col min="2" max="2" width="98.85546875" customWidth="1"/>
    <col min="3" max="3" width="25.5703125" customWidth="1"/>
  </cols>
  <sheetData>
    <row r="1" spans="1:3" ht="70.5"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49.5" customHeight="1">
      <c r="A6" s="102" t="s">
        <v>223</v>
      </c>
      <c r="B6" s="102"/>
      <c r="C6" s="102"/>
    </row>
    <row r="7" spans="1:3" ht="15.75">
      <c r="A7" s="101" t="s">
        <v>94</v>
      </c>
      <c r="B7" s="101"/>
      <c r="C7" s="101"/>
    </row>
    <row r="8" spans="1:3" ht="15.75">
      <c r="A8" s="98" t="s">
        <v>186</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17" t="s">
        <v>194</v>
      </c>
      <c r="C12" s="18">
        <f>(9.05*1)*200</f>
        <v>1810.0000000000002</v>
      </c>
    </row>
    <row r="13" spans="1:3" ht="15.75">
      <c r="A13" s="109"/>
      <c r="B13" s="19" t="s">
        <v>224</v>
      </c>
      <c r="C13" s="18">
        <f>(10.628*7)*200</f>
        <v>14879.2</v>
      </c>
    </row>
    <row r="14" spans="1:3" ht="15.75">
      <c r="A14" s="109"/>
      <c r="B14" s="19" t="s">
        <v>225</v>
      </c>
      <c r="C14" s="18">
        <f>(16.843*2)*200</f>
        <v>6737.2</v>
      </c>
    </row>
    <row r="15" spans="1:3" ht="16.5" thickBot="1">
      <c r="A15" s="110"/>
      <c r="B15" s="20" t="s">
        <v>226</v>
      </c>
      <c r="C15" s="18">
        <f>(19.4*2)*200</f>
        <v>7759.9999999999991</v>
      </c>
    </row>
    <row r="16" spans="1:3" ht="32.25" thickBot="1">
      <c r="A16" s="21" t="s">
        <v>32</v>
      </c>
      <c r="B16" s="22" t="s">
        <v>33</v>
      </c>
      <c r="C16" s="23">
        <f>SUM(C12:C15)*0.2359</f>
        <v>7356.87176</v>
      </c>
    </row>
    <row r="17" spans="1:6" ht="15.75">
      <c r="A17" s="111" t="s">
        <v>27</v>
      </c>
      <c r="B17" s="112"/>
      <c r="C17" s="24">
        <f>SUM(C12:C16)</f>
        <v>38543.271760000003</v>
      </c>
      <c r="F17" s="45">
        <f>C17+C20+C21</f>
        <v>53498.546244194004</v>
      </c>
    </row>
    <row r="18" spans="1:6" ht="16.5" thickBot="1">
      <c r="A18" s="113" t="s">
        <v>28</v>
      </c>
      <c r="B18" s="114"/>
      <c r="C18" s="115"/>
      <c r="F18" s="45">
        <f>C22+C23+C24+C25+C26+C27+C28+C29+C30</f>
        <v>37818.90681</v>
      </c>
    </row>
    <row r="19" spans="1:6" ht="15.75">
      <c r="A19" s="25"/>
      <c r="B19" s="26" t="s">
        <v>34</v>
      </c>
      <c r="C19" s="27">
        <v>5.995E-5</v>
      </c>
      <c r="F19" s="45">
        <f>C31+C32</f>
        <v>8674.4172900000012</v>
      </c>
    </row>
    <row r="20" spans="1:6" ht="16.5" thickBot="1">
      <c r="A20" s="28" t="s">
        <v>35</v>
      </c>
      <c r="B20" s="29" t="s">
        <v>36</v>
      </c>
      <c r="C20" s="30">
        <f>1009234*$C$19*200</f>
        <v>12100.71566</v>
      </c>
    </row>
    <row r="21" spans="1:6" ht="32.25" thickBot="1">
      <c r="A21" s="31" t="s">
        <v>32</v>
      </c>
      <c r="B21" s="32" t="s">
        <v>33</v>
      </c>
      <c r="C21" s="30">
        <f>C20*0.2359</f>
        <v>2854.558824194</v>
      </c>
    </row>
    <row r="22" spans="1:6" ht="32.25" thickBot="1">
      <c r="A22" s="31" t="s">
        <v>37</v>
      </c>
      <c r="B22" s="32" t="s">
        <v>38</v>
      </c>
      <c r="C22" s="30">
        <f>93709*$C$19*200</f>
        <v>1123.5709099999999</v>
      </c>
    </row>
    <row r="23" spans="1:6" ht="16.5" customHeight="1" thickBot="1">
      <c r="A23" s="31" t="s">
        <v>39</v>
      </c>
      <c r="B23" s="32" t="s">
        <v>40</v>
      </c>
      <c r="C23" s="30">
        <f>76039*$C$19*200</f>
        <v>911.70761000000005</v>
      </c>
    </row>
    <row r="24" spans="1:6" ht="32.25" thickBot="1">
      <c r="A24" s="31" t="s">
        <v>43</v>
      </c>
      <c r="B24" s="32" t="s">
        <v>227</v>
      </c>
      <c r="C24" s="30">
        <f>150*200</f>
        <v>30000</v>
      </c>
    </row>
    <row r="25" spans="1:6" ht="32.25" thickBot="1">
      <c r="A25" s="31" t="s">
        <v>47</v>
      </c>
      <c r="B25" s="32" t="s">
        <v>48</v>
      </c>
      <c r="C25" s="30">
        <f>377637*$C$19*200</f>
        <v>4527.8676299999997</v>
      </c>
    </row>
    <row r="26" spans="1:6" ht="17.25" customHeight="1" thickBot="1">
      <c r="A26" s="31" t="s">
        <v>49</v>
      </c>
      <c r="B26" s="32" t="s">
        <v>50</v>
      </c>
      <c r="C26" s="30">
        <f>51508*$C$19*200</f>
        <v>617.58091999999999</v>
      </c>
    </row>
    <row r="27" spans="1:6" ht="16.5" customHeight="1" thickBot="1">
      <c r="A27" s="31" t="s">
        <v>51</v>
      </c>
      <c r="B27" s="32" t="s">
        <v>52</v>
      </c>
      <c r="C27" s="30">
        <f>27437*$C$19*200</f>
        <v>328.96963</v>
      </c>
    </row>
    <row r="28" spans="1:6" ht="16.5" customHeight="1" thickBot="1">
      <c r="A28" s="31" t="s">
        <v>53</v>
      </c>
      <c r="B28" s="32" t="s">
        <v>54</v>
      </c>
      <c r="C28" s="30">
        <f>1110*$C$19*200</f>
        <v>13.308900000000001</v>
      </c>
    </row>
    <row r="29" spans="1:6" ht="32.25" thickBot="1">
      <c r="A29" s="31" t="s">
        <v>57</v>
      </c>
      <c r="B29" s="32" t="s">
        <v>58</v>
      </c>
      <c r="C29" s="30">
        <f>8480*$C$19*200</f>
        <v>101.6752</v>
      </c>
    </row>
    <row r="30" spans="1:6" ht="32.25" thickBot="1">
      <c r="A30" s="31" t="s">
        <v>59</v>
      </c>
      <c r="B30" s="32" t="s">
        <v>60</v>
      </c>
      <c r="C30" s="30">
        <f>16199*$C$19*200</f>
        <v>194.22601</v>
      </c>
    </row>
    <row r="31" spans="1:6" ht="15.75" customHeight="1" thickBot="1">
      <c r="A31" s="31" t="s">
        <v>61</v>
      </c>
      <c r="B31" s="32" t="s">
        <v>62</v>
      </c>
      <c r="C31" s="30">
        <f>106687*$C$19*200</f>
        <v>1279.17713</v>
      </c>
    </row>
    <row r="32" spans="1:6" ht="32.25" thickBot="1">
      <c r="A32" s="31" t="s">
        <v>63</v>
      </c>
      <c r="B32" s="34" t="s">
        <v>64</v>
      </c>
      <c r="C32" s="30">
        <f>616784*$C$19*200</f>
        <v>7395.2401600000003</v>
      </c>
    </row>
    <row r="33" spans="1:3" ht="15.75">
      <c r="A33" s="116" t="s">
        <v>29</v>
      </c>
      <c r="B33" s="117"/>
      <c r="C33" s="35">
        <f>SUM(C20:C32)</f>
        <v>61448.598584193998</v>
      </c>
    </row>
    <row r="34" spans="1:3" ht="15.75">
      <c r="A34" s="118" t="s">
        <v>65</v>
      </c>
      <c r="B34" s="119"/>
      <c r="C34" s="36">
        <f>C33+C17</f>
        <v>99991.870344194002</v>
      </c>
    </row>
    <row r="35" spans="1:3" ht="15.75">
      <c r="A35" s="1"/>
      <c r="B35" s="1"/>
      <c r="C35" s="37"/>
    </row>
    <row r="36" spans="1:3" ht="15.75">
      <c r="A36" s="103" t="s">
        <v>66</v>
      </c>
      <c r="B36" s="104"/>
      <c r="C36" s="38">
        <v>200</v>
      </c>
    </row>
    <row r="37" spans="1:3" ht="15.75">
      <c r="A37" s="103" t="s">
        <v>67</v>
      </c>
      <c r="B37" s="104"/>
      <c r="C37" s="39">
        <f>C34/C36</f>
        <v>499.95935172097001</v>
      </c>
    </row>
  </sheetData>
  <mergeCells count="14">
    <mergeCell ref="A36:B36"/>
    <mergeCell ref="A37:B37"/>
    <mergeCell ref="A11:C11"/>
    <mergeCell ref="A12:A15"/>
    <mergeCell ref="A17:B17"/>
    <mergeCell ref="A18:C18"/>
    <mergeCell ref="A33:B33"/>
    <mergeCell ref="A34:B34"/>
    <mergeCell ref="A8:B8"/>
    <mergeCell ref="B1:C1"/>
    <mergeCell ref="A3:C3"/>
    <mergeCell ref="A5:C5"/>
    <mergeCell ref="A6:C6"/>
    <mergeCell ref="A7:C7"/>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59960-0B1C-4695-976F-7AA152FFE5E9}">
  <sheetPr>
    <tabColor rgb="FFFFFF00"/>
  </sheetPr>
  <dimension ref="A1:F35"/>
  <sheetViews>
    <sheetView zoomScaleNormal="100" workbookViewId="0">
      <selection activeCell="F24" sqref="F24"/>
    </sheetView>
  </sheetViews>
  <sheetFormatPr defaultRowHeight="12.75"/>
  <cols>
    <col min="1" max="1" width="10.7109375" customWidth="1"/>
    <col min="2" max="2" width="98.85546875" customWidth="1"/>
    <col min="3" max="3" width="25.5703125" customWidth="1"/>
  </cols>
  <sheetData>
    <row r="1" spans="1:3" ht="69"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48" customHeight="1">
      <c r="A6" s="102" t="s">
        <v>228</v>
      </c>
      <c r="B6" s="102"/>
      <c r="C6" s="102"/>
    </row>
    <row r="7" spans="1:3" ht="15.75">
      <c r="A7" s="101" t="s">
        <v>94</v>
      </c>
      <c r="B7" s="101"/>
      <c r="C7" s="101"/>
    </row>
    <row r="8" spans="1:3" ht="15.75">
      <c r="A8" s="98" t="s">
        <v>229</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17" t="s">
        <v>194</v>
      </c>
      <c r="C12" s="18">
        <f>(9.05*1)*13</f>
        <v>117.65</v>
      </c>
    </row>
    <row r="13" spans="1:3" ht="15.75">
      <c r="A13" s="109"/>
      <c r="B13" s="19" t="s">
        <v>230</v>
      </c>
      <c r="C13" s="18">
        <f>(10.628*10)*13</f>
        <v>1381.64</v>
      </c>
    </row>
    <row r="14" spans="1:3" ht="15.75">
      <c r="A14" s="109"/>
      <c r="B14" s="19" t="s">
        <v>225</v>
      </c>
      <c r="C14" s="18">
        <f>(16.843*2)*13</f>
        <v>437.91800000000001</v>
      </c>
    </row>
    <row r="15" spans="1:3" ht="16.5" thickBot="1">
      <c r="A15" s="110"/>
      <c r="B15" s="20" t="s">
        <v>231</v>
      </c>
      <c r="C15" s="18">
        <f>(19.4*2)*13</f>
        <v>504.4</v>
      </c>
    </row>
    <row r="16" spans="1:3" ht="32.25" thickBot="1">
      <c r="A16" s="21" t="s">
        <v>32</v>
      </c>
      <c r="B16" s="22" t="s">
        <v>33</v>
      </c>
      <c r="C16" s="23">
        <f>SUM(C12:C15)*0.2359</f>
        <v>575.97532720000004</v>
      </c>
    </row>
    <row r="17" spans="1:6" ht="15.75">
      <c r="A17" s="111" t="s">
        <v>27</v>
      </c>
      <c r="B17" s="112"/>
      <c r="C17" s="24">
        <f>SUM(C12:C16)</f>
        <v>3017.5833272</v>
      </c>
      <c r="F17" s="45">
        <f>C17+C20+C21</f>
        <v>4188.4728031422383</v>
      </c>
    </row>
    <row r="18" spans="1:6" ht="16.5" thickBot="1">
      <c r="A18" s="113" t="s">
        <v>28</v>
      </c>
      <c r="B18" s="114"/>
      <c r="C18" s="115"/>
      <c r="F18" s="45">
        <f>C22+C23+C24+C25+C26+C27+C28</f>
        <v>2809.9897320300001</v>
      </c>
    </row>
    <row r="19" spans="1:6" ht="15.75">
      <c r="A19" s="25"/>
      <c r="B19" s="26" t="s">
        <v>34</v>
      </c>
      <c r="C19" s="27">
        <v>7.2210000000000002E-5</v>
      </c>
      <c r="F19" s="45">
        <f>C29+C30</f>
        <v>679.14393183000004</v>
      </c>
    </row>
    <row r="20" spans="1:6" ht="16.5" thickBot="1">
      <c r="A20" s="28" t="s">
        <v>35</v>
      </c>
      <c r="B20" s="29" t="s">
        <v>36</v>
      </c>
      <c r="C20" s="30">
        <f>1009234*$C$19*13</f>
        <v>947.39823282000009</v>
      </c>
    </row>
    <row r="21" spans="1:6" ht="32.25" thickBot="1">
      <c r="A21" s="31" t="s">
        <v>32</v>
      </c>
      <c r="B21" s="32" t="s">
        <v>33</v>
      </c>
      <c r="C21" s="33">
        <f>C20*0.2359</f>
        <v>223.49124312223802</v>
      </c>
    </row>
    <row r="22" spans="1:6" ht="19.5" customHeight="1" thickBot="1">
      <c r="A22" s="31" t="s">
        <v>39</v>
      </c>
      <c r="B22" s="32" t="s">
        <v>40</v>
      </c>
      <c r="C22" s="30">
        <f>76039*$C$19*13</f>
        <v>71.380090469999999</v>
      </c>
    </row>
    <row r="23" spans="1:6" ht="32.25" thickBot="1">
      <c r="A23" s="31" t="s">
        <v>43</v>
      </c>
      <c r="B23" s="32" t="s">
        <v>232</v>
      </c>
      <c r="C23" s="30">
        <f>177*13</f>
        <v>2301</v>
      </c>
    </row>
    <row r="24" spans="1:6" ht="32.25" thickBot="1">
      <c r="A24" s="31" t="s">
        <v>47</v>
      </c>
      <c r="B24" s="32" t="s">
        <v>48</v>
      </c>
      <c r="C24" s="30">
        <f>377637*$C$19*13</f>
        <v>354.49918100999997</v>
      </c>
    </row>
    <row r="25" spans="1:6" ht="20.25" customHeight="1" thickBot="1">
      <c r="A25" s="31" t="s">
        <v>49</v>
      </c>
      <c r="B25" s="32" t="s">
        <v>50</v>
      </c>
      <c r="C25" s="30">
        <f>51508*$C$19*13</f>
        <v>48.352104839999996</v>
      </c>
    </row>
    <row r="26" spans="1:6" ht="17.25" customHeight="1" thickBot="1">
      <c r="A26" s="31" t="s">
        <v>51</v>
      </c>
      <c r="B26" s="32" t="s">
        <v>52</v>
      </c>
      <c r="C26" s="30">
        <f>27437*$C$19*13</f>
        <v>25.755935010000002</v>
      </c>
    </row>
    <row r="27" spans="1:6" ht="17.25" customHeight="1" thickBot="1">
      <c r="A27" s="31" t="s">
        <v>53</v>
      </c>
      <c r="B27" s="32" t="s">
        <v>54</v>
      </c>
      <c r="C27" s="30">
        <f>1110*$C$19*13</f>
        <v>1.0419903000000001</v>
      </c>
    </row>
    <row r="28" spans="1:6" ht="32.25" thickBot="1">
      <c r="A28" s="31" t="s">
        <v>57</v>
      </c>
      <c r="B28" s="32" t="s">
        <v>58</v>
      </c>
      <c r="C28" s="30">
        <f>8480*$C$19*13</f>
        <v>7.9604303999999999</v>
      </c>
    </row>
    <row r="29" spans="1:6" ht="18" customHeight="1" thickBot="1">
      <c r="A29" s="31" t="s">
        <v>61</v>
      </c>
      <c r="B29" s="32" t="s">
        <v>62</v>
      </c>
      <c r="C29" s="30">
        <f>106687*$C$19*13</f>
        <v>100.15028751</v>
      </c>
    </row>
    <row r="30" spans="1:6" ht="32.25" thickBot="1">
      <c r="A30" s="31" t="s">
        <v>63</v>
      </c>
      <c r="B30" s="34" t="s">
        <v>64</v>
      </c>
      <c r="C30" s="30">
        <f>616784*$C$19*13</f>
        <v>578.99364432000004</v>
      </c>
    </row>
    <row r="31" spans="1:6" ht="15.75">
      <c r="A31" s="116" t="s">
        <v>29</v>
      </c>
      <c r="B31" s="117"/>
      <c r="C31" s="35">
        <f>SUM(C20:C30)</f>
        <v>4660.0231398022379</v>
      </c>
    </row>
    <row r="32" spans="1:6" ht="15.75">
      <c r="A32" s="118" t="s">
        <v>65</v>
      </c>
      <c r="B32" s="119"/>
      <c r="C32" s="36">
        <f>C31+C17</f>
        <v>7677.6064670022379</v>
      </c>
    </row>
    <row r="33" spans="1:3" ht="15.75">
      <c r="A33" s="1"/>
      <c r="B33" s="1"/>
      <c r="C33" s="37"/>
    </row>
    <row r="34" spans="1:3" ht="15.75">
      <c r="A34" s="103" t="s">
        <v>66</v>
      </c>
      <c r="B34" s="104"/>
      <c r="C34" s="38">
        <v>13</v>
      </c>
    </row>
    <row r="35" spans="1:3" ht="15.75">
      <c r="A35" s="103" t="s">
        <v>67</v>
      </c>
      <c r="B35" s="104"/>
      <c r="C35" s="39">
        <f>ROUNDDOWN(C32/C34,2)</f>
        <v>590.58000000000004</v>
      </c>
    </row>
  </sheetData>
  <mergeCells count="14">
    <mergeCell ref="A34:B34"/>
    <mergeCell ref="A35:B35"/>
    <mergeCell ref="A11:C11"/>
    <mergeCell ref="A12:A15"/>
    <mergeCell ref="A17:B17"/>
    <mergeCell ref="A18:C18"/>
    <mergeCell ref="A31:B31"/>
    <mergeCell ref="A32:B32"/>
    <mergeCell ref="A8:B8"/>
    <mergeCell ref="B1:C1"/>
    <mergeCell ref="A3:C3"/>
    <mergeCell ref="A5:C5"/>
    <mergeCell ref="A6:C6"/>
    <mergeCell ref="A7:C7"/>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BF577-7B83-41F5-98D4-50B326650316}">
  <sheetPr>
    <tabColor rgb="FFFFFF00"/>
  </sheetPr>
  <dimension ref="A1:F37"/>
  <sheetViews>
    <sheetView zoomScaleNormal="100" workbookViewId="0">
      <selection activeCell="F2" sqref="F2"/>
    </sheetView>
  </sheetViews>
  <sheetFormatPr defaultRowHeight="12.75"/>
  <cols>
    <col min="1" max="1" width="10.7109375" customWidth="1"/>
    <col min="2" max="2" width="98.85546875" customWidth="1"/>
    <col min="3" max="3" width="25.5703125" customWidth="1"/>
  </cols>
  <sheetData>
    <row r="1" spans="1:3" ht="64.15000000000000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55.9" customHeight="1">
      <c r="A6" s="102" t="s">
        <v>326</v>
      </c>
      <c r="B6" s="102"/>
      <c r="C6" s="102"/>
    </row>
    <row r="7" spans="1:3" ht="15.75">
      <c r="A7" s="101" t="s">
        <v>94</v>
      </c>
      <c r="B7" s="101"/>
      <c r="C7" s="101"/>
    </row>
    <row r="8" spans="1:3" ht="15.75">
      <c r="A8" s="98" t="s">
        <v>141</v>
      </c>
      <c r="B8" s="98"/>
      <c r="C8" s="40"/>
    </row>
    <row r="9" spans="1:3" ht="15.75">
      <c r="A9" s="43"/>
      <c r="B9" s="43"/>
      <c r="C9" s="40"/>
    </row>
    <row r="10" spans="1:3" ht="63">
      <c r="A10" s="14" t="s">
        <v>24</v>
      </c>
      <c r="B10" s="15" t="s">
        <v>25</v>
      </c>
      <c r="C10" s="16" t="s">
        <v>30</v>
      </c>
    </row>
    <row r="11" spans="1:3" ht="16.5" thickBot="1">
      <c r="A11" s="105" t="s">
        <v>26</v>
      </c>
      <c r="B11" s="106"/>
      <c r="C11" s="107"/>
    </row>
    <row r="12" spans="1:3" ht="15.75">
      <c r="A12" s="108" t="s">
        <v>31</v>
      </c>
      <c r="B12" s="17" t="s">
        <v>194</v>
      </c>
      <c r="C12" s="18">
        <f>(9.05*1)*5</f>
        <v>45.25</v>
      </c>
    </row>
    <row r="13" spans="1:3" ht="15.75">
      <c r="A13" s="109"/>
      <c r="B13" s="19" t="s">
        <v>233</v>
      </c>
      <c r="C13" s="18">
        <f>(10.628*4)*5</f>
        <v>212.56</v>
      </c>
    </row>
    <row r="14" spans="1:3" ht="15.75">
      <c r="A14" s="109"/>
      <c r="B14" s="19" t="s">
        <v>206</v>
      </c>
      <c r="C14" s="18">
        <f>(16.843*4)*5</f>
        <v>336.86</v>
      </c>
    </row>
    <row r="15" spans="1:3" ht="16.5" thickBot="1">
      <c r="A15" s="110"/>
      <c r="B15" s="20" t="s">
        <v>207</v>
      </c>
      <c r="C15" s="18">
        <f>(19.4*1)*5</f>
        <v>97</v>
      </c>
    </row>
    <row r="16" spans="1:3" ht="32.25" thickBot="1">
      <c r="A16" s="21" t="s">
        <v>32</v>
      </c>
      <c r="B16" s="22" t="s">
        <v>33</v>
      </c>
      <c r="C16" s="23">
        <f>SUM(C12:C15)*0.2359</f>
        <v>163.16495300000003</v>
      </c>
    </row>
    <row r="17" spans="1:6" ht="15.75">
      <c r="A17" s="111" t="s">
        <v>27</v>
      </c>
      <c r="B17" s="112"/>
      <c r="C17" s="24">
        <f>SUM(C12:C16)</f>
        <v>854.83495300000004</v>
      </c>
      <c r="F17" s="45">
        <f>C17+C20+C21</f>
        <v>1065.3812693412801</v>
      </c>
    </row>
    <row r="18" spans="1:6" ht="16.5" thickBot="1">
      <c r="A18" s="113" t="s">
        <v>28</v>
      </c>
      <c r="B18" s="114"/>
      <c r="C18" s="115"/>
      <c r="F18" s="45">
        <f>C22+C23+C24+C25+C26+C27+C28+C29+C30</f>
        <v>124.40104240000001</v>
      </c>
    </row>
    <row r="19" spans="1:6" ht="15.75">
      <c r="A19" s="25"/>
      <c r="B19" s="26" t="s">
        <v>34</v>
      </c>
      <c r="C19" s="27">
        <v>3.3760000000000002E-5</v>
      </c>
      <c r="F19" s="45">
        <f>C31+C32</f>
        <v>122.12190480000001</v>
      </c>
    </row>
    <row r="20" spans="1:6" ht="16.5" thickBot="1">
      <c r="A20" s="28" t="s">
        <v>35</v>
      </c>
      <c r="B20" s="29" t="s">
        <v>36</v>
      </c>
      <c r="C20" s="30">
        <f>1009234*$C$19*5</f>
        <v>170.35869919999999</v>
      </c>
    </row>
    <row r="21" spans="1:6" ht="32.25" thickBot="1">
      <c r="A21" s="31" t="s">
        <v>32</v>
      </c>
      <c r="B21" s="32" t="s">
        <v>33</v>
      </c>
      <c r="C21" s="30">
        <f>C20*0.2359</f>
        <v>40.187617141280001</v>
      </c>
    </row>
    <row r="22" spans="1:6" ht="32.25" thickBot="1">
      <c r="A22" s="31" t="s">
        <v>37</v>
      </c>
      <c r="B22" s="32" t="s">
        <v>38</v>
      </c>
      <c r="C22" s="30">
        <f>93709*$C$19*5</f>
        <v>15.818079200000001</v>
      </c>
    </row>
    <row r="23" spans="1:6" ht="18" customHeight="1" thickBot="1">
      <c r="A23" s="31" t="s">
        <v>39</v>
      </c>
      <c r="B23" s="32" t="s">
        <v>40</v>
      </c>
      <c r="C23" s="30">
        <f>76039*$C$19*5</f>
        <v>12.835383200000001</v>
      </c>
    </row>
    <row r="24" spans="1:6" ht="15.75" customHeight="1" thickBot="1">
      <c r="A24" s="31" t="s">
        <v>41</v>
      </c>
      <c r="B24" s="32" t="s">
        <v>42</v>
      </c>
      <c r="C24" s="30">
        <f>84854*$C$19*5</f>
        <v>14.323355200000002</v>
      </c>
    </row>
    <row r="25" spans="1:6" ht="32.25" thickBot="1">
      <c r="A25" s="31" t="s">
        <v>47</v>
      </c>
      <c r="B25" s="32" t="s">
        <v>48</v>
      </c>
      <c r="C25" s="30">
        <f>377637*$C$19*5</f>
        <v>63.745125600000001</v>
      </c>
    </row>
    <row r="26" spans="1:6" ht="18.75" customHeight="1" thickBot="1">
      <c r="A26" s="31" t="s">
        <v>49</v>
      </c>
      <c r="B26" s="32" t="s">
        <v>50</v>
      </c>
      <c r="C26" s="30">
        <f>51508*$C$19*5</f>
        <v>8.6945504000000007</v>
      </c>
    </row>
    <row r="27" spans="1:6" ht="17.25" customHeight="1" thickBot="1">
      <c r="A27" s="31" t="s">
        <v>51</v>
      </c>
      <c r="B27" s="32" t="s">
        <v>52</v>
      </c>
      <c r="C27" s="30">
        <f>27437*$C$19*5</f>
        <v>4.6313656000000005</v>
      </c>
    </row>
    <row r="28" spans="1:6" ht="18.75" customHeight="1" thickBot="1">
      <c r="A28" s="31" t="s">
        <v>53</v>
      </c>
      <c r="B28" s="32" t="s">
        <v>54</v>
      </c>
      <c r="C28" s="30">
        <f>1110*$C$19*5</f>
        <v>0.18736800000000001</v>
      </c>
    </row>
    <row r="29" spans="1:6" ht="32.25" thickBot="1">
      <c r="A29" s="31" t="s">
        <v>57</v>
      </c>
      <c r="B29" s="32" t="s">
        <v>58</v>
      </c>
      <c r="C29" s="30">
        <f>8480*$C$19*5</f>
        <v>1.431424</v>
      </c>
    </row>
    <row r="30" spans="1:6" ht="32.25" thickBot="1">
      <c r="A30" s="31" t="s">
        <v>59</v>
      </c>
      <c r="B30" s="32" t="s">
        <v>60</v>
      </c>
      <c r="C30" s="30">
        <f>16199*$C$19*5</f>
        <v>2.7343912000000001</v>
      </c>
    </row>
    <row r="31" spans="1:6" ht="18.75" customHeight="1" thickBot="1">
      <c r="A31" s="31" t="s">
        <v>61</v>
      </c>
      <c r="B31" s="32" t="s">
        <v>62</v>
      </c>
      <c r="C31" s="30">
        <f>106687*$C$19*5</f>
        <v>18.0087656</v>
      </c>
    </row>
    <row r="32" spans="1:6" ht="32.25" thickBot="1">
      <c r="A32" s="31" t="s">
        <v>63</v>
      </c>
      <c r="B32" s="34" t="s">
        <v>64</v>
      </c>
      <c r="C32" s="30">
        <f>616784*$C$19*5</f>
        <v>104.11313920000001</v>
      </c>
    </row>
    <row r="33" spans="1:3" ht="15.75">
      <c r="A33" s="116" t="s">
        <v>29</v>
      </c>
      <c r="B33" s="117"/>
      <c r="C33" s="35">
        <f>SUM(C20:C32)</f>
        <v>457.06926354127995</v>
      </c>
    </row>
    <row r="34" spans="1:3" ht="15.75">
      <c r="A34" s="118" t="s">
        <v>65</v>
      </c>
      <c r="B34" s="119"/>
      <c r="C34" s="36">
        <f>C33+C17</f>
        <v>1311.90421654128</v>
      </c>
    </row>
    <row r="35" spans="1:3" ht="15.75">
      <c r="A35" s="1"/>
      <c r="B35" s="1"/>
      <c r="C35" s="37"/>
    </row>
    <row r="36" spans="1:3" ht="15.75">
      <c r="A36" s="103" t="s">
        <v>66</v>
      </c>
      <c r="B36" s="104"/>
      <c r="C36" s="38">
        <v>5</v>
      </c>
    </row>
    <row r="37" spans="1:3" ht="15.75">
      <c r="A37" s="103" t="s">
        <v>67</v>
      </c>
      <c r="B37" s="104"/>
      <c r="C37" s="39">
        <f>ROUND(C34/C36,2)</f>
        <v>262.38</v>
      </c>
    </row>
  </sheetData>
  <mergeCells count="14">
    <mergeCell ref="A36:B36"/>
    <mergeCell ref="A37:B37"/>
    <mergeCell ref="A11:C11"/>
    <mergeCell ref="A12:A15"/>
    <mergeCell ref="A17:B17"/>
    <mergeCell ref="A18:C18"/>
    <mergeCell ref="A33:B33"/>
    <mergeCell ref="A34:B34"/>
    <mergeCell ref="A8:B8"/>
    <mergeCell ref="B1:C1"/>
    <mergeCell ref="A3:C3"/>
    <mergeCell ref="A5:C5"/>
    <mergeCell ref="A6:C6"/>
    <mergeCell ref="A7:C7"/>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E99F4-A715-4499-B7B0-4D1707C7D040}">
  <sheetPr>
    <tabColor rgb="FFFFFF00"/>
  </sheetPr>
  <dimension ref="A1:F29"/>
  <sheetViews>
    <sheetView zoomScaleNormal="100" workbookViewId="0">
      <selection activeCell="F21" sqref="F21"/>
    </sheetView>
  </sheetViews>
  <sheetFormatPr defaultRowHeight="12.75"/>
  <cols>
    <col min="1" max="1" width="10.7109375" customWidth="1"/>
    <col min="2" max="2" width="98.85546875" customWidth="1"/>
    <col min="3" max="3" width="25.5703125" customWidth="1"/>
  </cols>
  <sheetData>
    <row r="1" spans="1:6" ht="63.6"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53.45" customHeight="1">
      <c r="A6" s="102" t="s">
        <v>234</v>
      </c>
      <c r="B6" s="102"/>
      <c r="C6" s="102"/>
    </row>
    <row r="7" spans="1:6" ht="15.75">
      <c r="A7" s="101" t="s">
        <v>94</v>
      </c>
      <c r="B7" s="101"/>
      <c r="C7" s="101"/>
    </row>
    <row r="8" spans="1:6" ht="15.75">
      <c r="A8" s="98" t="s">
        <v>235</v>
      </c>
      <c r="B8" s="98"/>
      <c r="C8" s="40"/>
    </row>
    <row r="9" spans="1:6" ht="15.75">
      <c r="A9" s="43"/>
      <c r="B9" s="43"/>
      <c r="C9" s="40"/>
    </row>
    <row r="10" spans="1:6" ht="63">
      <c r="A10" s="14" t="s">
        <v>24</v>
      </c>
      <c r="B10" s="15" t="s">
        <v>25</v>
      </c>
      <c r="C10" s="16" t="s">
        <v>30</v>
      </c>
    </row>
    <row r="11" spans="1:6" ht="16.5" thickBot="1">
      <c r="A11" s="105" t="s">
        <v>26</v>
      </c>
      <c r="B11" s="106"/>
      <c r="C11" s="107"/>
    </row>
    <row r="12" spans="1:6" ht="15.75">
      <c r="A12" s="108" t="s">
        <v>31</v>
      </c>
      <c r="B12" s="17" t="s">
        <v>194</v>
      </c>
      <c r="C12" s="18">
        <f>(9.05*1)*80</f>
        <v>724</v>
      </c>
    </row>
    <row r="13" spans="1:6" ht="15.75">
      <c r="A13" s="109"/>
      <c r="B13" s="19" t="s">
        <v>236</v>
      </c>
      <c r="C13" s="18">
        <f>(10.628*1)*80</f>
        <v>850.24</v>
      </c>
    </row>
    <row r="14" spans="1:6" ht="32.25" thickBot="1">
      <c r="A14" s="21" t="s">
        <v>32</v>
      </c>
      <c r="B14" s="22" t="s">
        <v>33</v>
      </c>
      <c r="C14" s="23">
        <f>SUM(C12:C13)*0.2359</f>
        <v>371.36321600000002</v>
      </c>
    </row>
    <row r="15" spans="1:6" ht="15.75">
      <c r="A15" s="111" t="s">
        <v>27</v>
      </c>
      <c r="B15" s="112"/>
      <c r="C15" s="24">
        <f>SUM(C12:C14)</f>
        <v>1945.603216</v>
      </c>
      <c r="F15" s="45">
        <f>C15+C18+C19</f>
        <v>2700.9755452433596</v>
      </c>
    </row>
    <row r="16" spans="1:6" ht="16.5" thickBot="1">
      <c r="A16" s="113" t="s">
        <v>28</v>
      </c>
      <c r="B16" s="114"/>
      <c r="C16" s="115"/>
      <c r="F16" s="45">
        <f>C20+C21+C22</f>
        <v>28861.197696799998</v>
      </c>
    </row>
    <row r="17" spans="1:6" ht="15.75">
      <c r="A17" s="25"/>
      <c r="B17" s="26" t="s">
        <v>34</v>
      </c>
      <c r="C17" s="27">
        <v>7.5700000000000004E-6</v>
      </c>
      <c r="F17" s="45">
        <f>C23+C24</f>
        <v>438.13403760000006</v>
      </c>
    </row>
    <row r="18" spans="1:6" ht="16.5" thickBot="1">
      <c r="A18" s="28" t="s">
        <v>35</v>
      </c>
      <c r="B18" s="29" t="s">
        <v>36</v>
      </c>
      <c r="C18" s="30">
        <f>1009234*$C$17*80</f>
        <v>611.19211040000005</v>
      </c>
    </row>
    <row r="19" spans="1:6" ht="32.25" thickBot="1">
      <c r="A19" s="31" t="s">
        <v>32</v>
      </c>
      <c r="B19" s="32" t="s">
        <v>33</v>
      </c>
      <c r="C19" s="30">
        <f>C18*0.2359</f>
        <v>144.18021884336002</v>
      </c>
    </row>
    <row r="20" spans="1:6" ht="19.5" customHeight="1" thickBot="1">
      <c r="A20" s="31" t="s">
        <v>41</v>
      </c>
      <c r="B20" s="32" t="s">
        <v>42</v>
      </c>
      <c r="C20" s="30">
        <f>84854*$C$17*80</f>
        <v>51.387582400000007</v>
      </c>
    </row>
    <row r="21" spans="1:6" ht="32.25" thickBot="1">
      <c r="A21" s="31" t="s">
        <v>43</v>
      </c>
      <c r="B21" s="32" t="s">
        <v>237</v>
      </c>
      <c r="C21" s="30">
        <f>360*80</f>
        <v>28800</v>
      </c>
    </row>
    <row r="22" spans="1:6" ht="32.25" thickBot="1">
      <c r="A22" s="31" t="s">
        <v>59</v>
      </c>
      <c r="B22" s="32" t="s">
        <v>60</v>
      </c>
      <c r="C22" s="30">
        <f>16199*$C$17*80</f>
        <v>9.8101143999999998</v>
      </c>
    </row>
    <row r="23" spans="1:6" ht="18" customHeight="1" thickBot="1">
      <c r="A23" s="31" t="s">
        <v>61</v>
      </c>
      <c r="B23" s="32" t="s">
        <v>62</v>
      </c>
      <c r="C23" s="30">
        <f>106687*$C$17*80</f>
        <v>64.609647200000012</v>
      </c>
    </row>
    <row r="24" spans="1:6" ht="32.25" thickBot="1">
      <c r="A24" s="31" t="s">
        <v>63</v>
      </c>
      <c r="B24" s="34" t="s">
        <v>64</v>
      </c>
      <c r="C24" s="30">
        <f>616784*$C$17*80</f>
        <v>373.52439040000002</v>
      </c>
    </row>
    <row r="25" spans="1:6" ht="15.75">
      <c r="A25" s="116" t="s">
        <v>29</v>
      </c>
      <c r="B25" s="117"/>
      <c r="C25" s="35">
        <f>SUM(C18:C24)</f>
        <v>30054.704063643359</v>
      </c>
    </row>
    <row r="26" spans="1:6" ht="15.75">
      <c r="A26" s="118" t="s">
        <v>65</v>
      </c>
      <c r="B26" s="119"/>
      <c r="C26" s="36">
        <f>C25+C15</f>
        <v>32000.307279643359</v>
      </c>
    </row>
    <row r="27" spans="1:6" ht="15.75">
      <c r="A27" s="1"/>
      <c r="B27" s="1"/>
      <c r="C27" s="37"/>
    </row>
    <row r="28" spans="1:6" ht="15.75">
      <c r="A28" s="103" t="s">
        <v>66</v>
      </c>
      <c r="B28" s="104"/>
      <c r="C28" s="38">
        <v>80</v>
      </c>
    </row>
    <row r="29" spans="1:6" ht="15.75">
      <c r="A29" s="103" t="s">
        <v>67</v>
      </c>
      <c r="B29" s="104"/>
      <c r="C29" s="39">
        <f>C26/C28</f>
        <v>400.00384099554196</v>
      </c>
    </row>
  </sheetData>
  <mergeCells count="14">
    <mergeCell ref="A28:B28"/>
    <mergeCell ref="A29:B29"/>
    <mergeCell ref="A11:C11"/>
    <mergeCell ref="A12:A13"/>
    <mergeCell ref="A15:B15"/>
    <mergeCell ref="A16:C16"/>
    <mergeCell ref="A25:B25"/>
    <mergeCell ref="A26:B26"/>
    <mergeCell ref="A8:B8"/>
    <mergeCell ref="B1:C1"/>
    <mergeCell ref="A3:C3"/>
    <mergeCell ref="A5:C5"/>
    <mergeCell ref="A6:C6"/>
    <mergeCell ref="A7:C7"/>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E589E-9F56-423E-AE11-71B8840AB43E}">
  <sheetPr>
    <tabColor rgb="FFFFFF00"/>
  </sheetPr>
  <dimension ref="A1:F29"/>
  <sheetViews>
    <sheetView zoomScaleNormal="100" workbookViewId="0">
      <selection activeCell="F21" sqref="F21"/>
    </sheetView>
  </sheetViews>
  <sheetFormatPr defaultRowHeight="12.75"/>
  <cols>
    <col min="1" max="1" width="10.7109375" customWidth="1"/>
    <col min="2" max="2" width="98.85546875" customWidth="1"/>
    <col min="3" max="3" width="25.5703125" customWidth="1"/>
  </cols>
  <sheetData>
    <row r="1" spans="1:6" ht="64.150000000000006"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48.6" customHeight="1">
      <c r="A6" s="102" t="s">
        <v>238</v>
      </c>
      <c r="B6" s="102"/>
      <c r="C6" s="102"/>
    </row>
    <row r="7" spans="1:6" ht="15.75">
      <c r="A7" s="101" t="s">
        <v>94</v>
      </c>
      <c r="B7" s="101"/>
      <c r="C7" s="101"/>
    </row>
    <row r="8" spans="1:6" ht="15.75">
      <c r="A8" s="98" t="s">
        <v>104</v>
      </c>
      <c r="B8" s="98"/>
      <c r="C8" s="40"/>
    </row>
    <row r="9" spans="1:6" ht="15.75">
      <c r="A9" s="43"/>
      <c r="B9" s="43"/>
      <c r="C9" s="40"/>
    </row>
    <row r="10" spans="1:6" ht="63">
      <c r="A10" s="14" t="s">
        <v>24</v>
      </c>
      <c r="B10" s="15" t="s">
        <v>25</v>
      </c>
      <c r="C10" s="16" t="s">
        <v>30</v>
      </c>
    </row>
    <row r="11" spans="1:6" ht="39" customHeight="1" thickBot="1">
      <c r="A11" s="105" t="s">
        <v>26</v>
      </c>
      <c r="B11" s="106"/>
      <c r="C11" s="107"/>
    </row>
    <row r="12" spans="1:6" ht="15.75">
      <c r="A12" s="108" t="s">
        <v>31</v>
      </c>
      <c r="B12" s="17" t="s">
        <v>194</v>
      </c>
      <c r="C12" s="18">
        <f>(9.05*1)*20</f>
        <v>181</v>
      </c>
    </row>
    <row r="13" spans="1:6" ht="15.75">
      <c r="A13" s="109"/>
      <c r="B13" s="19" t="s">
        <v>236</v>
      </c>
      <c r="C13" s="18">
        <f>(10.628*1)*20</f>
        <v>212.56</v>
      </c>
    </row>
    <row r="14" spans="1:6" ht="32.25" thickBot="1">
      <c r="A14" s="21" t="s">
        <v>32</v>
      </c>
      <c r="B14" s="22" t="s">
        <v>33</v>
      </c>
      <c r="C14" s="23">
        <f>SUM(C12:C13)*0.2359</f>
        <v>92.840804000000006</v>
      </c>
    </row>
    <row r="15" spans="1:6" ht="15.75">
      <c r="A15" s="111" t="s">
        <v>27</v>
      </c>
      <c r="B15" s="112"/>
      <c r="C15" s="24">
        <f>SUM(C12:C14)</f>
        <v>486.40080399999999</v>
      </c>
      <c r="F15" s="45">
        <f>C15+C18+C19</f>
        <v>675.24388631083991</v>
      </c>
    </row>
    <row r="16" spans="1:6" ht="16.5" thickBot="1">
      <c r="A16" s="113" t="s">
        <v>28</v>
      </c>
      <c r="B16" s="114"/>
      <c r="C16" s="115"/>
      <c r="F16" s="45">
        <f>C20+C21+C22</f>
        <v>7215.2994241999995</v>
      </c>
    </row>
    <row r="17" spans="1:6" ht="15.75">
      <c r="A17" s="25"/>
      <c r="B17" s="26" t="s">
        <v>34</v>
      </c>
      <c r="C17" s="27">
        <v>7.5700000000000004E-6</v>
      </c>
      <c r="F17" s="45">
        <f>C23+C24</f>
        <v>109.53350940000001</v>
      </c>
    </row>
    <row r="18" spans="1:6" ht="16.5" thickBot="1">
      <c r="A18" s="28" t="s">
        <v>35</v>
      </c>
      <c r="B18" s="29" t="s">
        <v>36</v>
      </c>
      <c r="C18" s="30">
        <f>1009234*$C$17*20</f>
        <v>152.79802760000001</v>
      </c>
    </row>
    <row r="19" spans="1:6" ht="32.25" thickBot="1">
      <c r="A19" s="31" t="s">
        <v>32</v>
      </c>
      <c r="B19" s="32" t="s">
        <v>33</v>
      </c>
      <c r="C19" s="30">
        <f>C18*0.2359</f>
        <v>36.045054710840006</v>
      </c>
      <c r="D19" s="45"/>
    </row>
    <row r="20" spans="1:6" ht="17.25" customHeight="1" thickBot="1">
      <c r="A20" s="31" t="s">
        <v>41</v>
      </c>
      <c r="B20" s="32" t="s">
        <v>42</v>
      </c>
      <c r="C20" s="30">
        <f>84854*$C$17*20</f>
        <v>12.846895600000002</v>
      </c>
    </row>
    <row r="21" spans="1:6" ht="32.25" thickBot="1">
      <c r="A21" s="31" t="s">
        <v>43</v>
      </c>
      <c r="B21" s="32" t="s">
        <v>237</v>
      </c>
      <c r="C21" s="60">
        <f>360*20</f>
        <v>7200</v>
      </c>
    </row>
    <row r="22" spans="1:6" ht="32.25" thickBot="1">
      <c r="A22" s="31" t="s">
        <v>59</v>
      </c>
      <c r="B22" s="32" t="s">
        <v>60</v>
      </c>
      <c r="C22" s="30">
        <f>16199*$C$17*20</f>
        <v>2.4525285999999999</v>
      </c>
    </row>
    <row r="23" spans="1:6" ht="19.5" customHeight="1" thickBot="1">
      <c r="A23" s="31" t="s">
        <v>61</v>
      </c>
      <c r="B23" s="32" t="s">
        <v>62</v>
      </c>
      <c r="C23" s="30">
        <f>106687*$C$17*20</f>
        <v>16.152411800000003</v>
      </c>
    </row>
    <row r="24" spans="1:6" ht="32.25" thickBot="1">
      <c r="A24" s="31" t="s">
        <v>63</v>
      </c>
      <c r="B24" s="34" t="s">
        <v>64</v>
      </c>
      <c r="C24" s="30">
        <f>616784*$C$17*20</f>
        <v>93.381097600000004</v>
      </c>
    </row>
    <row r="25" spans="1:6" ht="15.75">
      <c r="A25" s="116" t="s">
        <v>29</v>
      </c>
      <c r="B25" s="117"/>
      <c r="C25" s="35">
        <f>SUM(C18:C24)</f>
        <v>7513.6760159108399</v>
      </c>
    </row>
    <row r="26" spans="1:6" ht="15.75" customHeight="1">
      <c r="A26" s="118" t="s">
        <v>65</v>
      </c>
      <c r="B26" s="119"/>
      <c r="C26" s="36">
        <f>C25+C15</f>
        <v>8000.0768199108397</v>
      </c>
    </row>
    <row r="27" spans="1:6" ht="15.75">
      <c r="A27" s="1"/>
      <c r="B27" s="1"/>
      <c r="C27" s="37"/>
    </row>
    <row r="28" spans="1:6" ht="15.75" customHeight="1">
      <c r="A28" s="103" t="s">
        <v>66</v>
      </c>
      <c r="B28" s="104"/>
      <c r="C28" s="38">
        <v>20</v>
      </c>
    </row>
    <row r="29" spans="1:6" ht="15.75" customHeight="1">
      <c r="A29" s="103" t="s">
        <v>67</v>
      </c>
      <c r="B29" s="104"/>
      <c r="C29" s="39">
        <f>ROUND(C26/C28,2)</f>
        <v>400</v>
      </c>
    </row>
  </sheetData>
  <mergeCells count="14">
    <mergeCell ref="A28:B28"/>
    <mergeCell ref="A29:B29"/>
    <mergeCell ref="A11:C11"/>
    <mergeCell ref="A12:A13"/>
    <mergeCell ref="A15:B15"/>
    <mergeCell ref="A16:C16"/>
    <mergeCell ref="A25:B25"/>
    <mergeCell ref="A26:B26"/>
    <mergeCell ref="A8:B8"/>
    <mergeCell ref="B1:C1"/>
    <mergeCell ref="A3:C3"/>
    <mergeCell ref="A5:C5"/>
    <mergeCell ref="A6:C6"/>
    <mergeCell ref="A7:C7"/>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0D1EE-4ACB-4521-BE5D-B9D9D39E1D51}">
  <sheetPr>
    <tabColor rgb="FFFFFF00"/>
  </sheetPr>
  <dimension ref="A1:F40"/>
  <sheetViews>
    <sheetView zoomScaleNormal="100" workbookViewId="0">
      <selection activeCell="A6" sqref="A6:C6"/>
    </sheetView>
  </sheetViews>
  <sheetFormatPr defaultRowHeight="12.75"/>
  <cols>
    <col min="1" max="1" width="10.7109375" customWidth="1"/>
    <col min="2" max="2" width="98.85546875" customWidth="1"/>
    <col min="3" max="3" width="25.5703125" customWidth="1"/>
  </cols>
  <sheetData>
    <row r="1" spans="1:3" ht="73.900000000000006"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48" customHeight="1">
      <c r="A6" s="102" t="s">
        <v>239</v>
      </c>
      <c r="B6" s="102"/>
      <c r="C6" s="102"/>
    </row>
    <row r="7" spans="1:3" ht="15.75">
      <c r="A7" s="101" t="s">
        <v>94</v>
      </c>
      <c r="B7" s="101"/>
      <c r="C7" s="101"/>
    </row>
    <row r="8" spans="1:3" ht="15.75">
      <c r="A8" s="98" t="s">
        <v>133</v>
      </c>
      <c r="B8" s="98"/>
      <c r="C8" s="40"/>
    </row>
    <row r="9" spans="1:3" ht="15.75">
      <c r="A9" s="43"/>
      <c r="B9" s="43"/>
      <c r="C9" s="40"/>
    </row>
    <row r="10" spans="1:3" ht="63">
      <c r="A10" s="14" t="s">
        <v>24</v>
      </c>
      <c r="B10" s="15" t="s">
        <v>25</v>
      </c>
      <c r="C10" s="16" t="s">
        <v>30</v>
      </c>
    </row>
    <row r="11" spans="1:3" ht="16.5" thickBot="1">
      <c r="A11" s="105" t="s">
        <v>26</v>
      </c>
      <c r="B11" s="106"/>
      <c r="C11" s="107"/>
    </row>
    <row r="12" spans="1:3" ht="19.5" customHeight="1">
      <c r="A12" s="108" t="s">
        <v>31</v>
      </c>
      <c r="B12" s="17" t="s">
        <v>194</v>
      </c>
      <c r="C12" s="18">
        <f>(9.05*1)*4</f>
        <v>36.200000000000003</v>
      </c>
    </row>
    <row r="13" spans="1:3" ht="15.75">
      <c r="A13" s="109"/>
      <c r="B13" s="19" t="s">
        <v>240</v>
      </c>
      <c r="C13" s="18">
        <f>(10.628*13)*4</f>
        <v>552.65599999999995</v>
      </c>
    </row>
    <row r="14" spans="1:3" ht="15.75">
      <c r="A14" s="109"/>
      <c r="B14" s="19" t="s">
        <v>225</v>
      </c>
      <c r="C14" s="18">
        <f>(16.843*2)*4</f>
        <v>134.744</v>
      </c>
    </row>
    <row r="15" spans="1:3" ht="16.5" thickBot="1">
      <c r="A15" s="110"/>
      <c r="B15" s="20" t="s">
        <v>226</v>
      </c>
      <c r="C15" s="18">
        <f>(19.4*2)*4</f>
        <v>155.19999999999999</v>
      </c>
    </row>
    <row r="16" spans="1:3" ht="32.25" thickBot="1">
      <c r="A16" s="21" t="s">
        <v>32</v>
      </c>
      <c r="B16" s="22" t="s">
        <v>33</v>
      </c>
      <c r="C16" s="23">
        <f>SUM(C12:C15)*0.2359</f>
        <v>207.30892</v>
      </c>
    </row>
    <row r="17" spans="1:6" ht="15.75">
      <c r="A17" s="111" t="s">
        <v>27</v>
      </c>
      <c r="B17" s="112"/>
      <c r="C17" s="24">
        <f>SUM(C12:C16)</f>
        <v>1086.1089199999999</v>
      </c>
      <c r="F17" s="45">
        <f>C17+C20+C21</f>
        <v>1507.5508001267278</v>
      </c>
    </row>
    <row r="18" spans="1:6" ht="16.5" thickBot="1">
      <c r="A18" s="113" t="s">
        <v>28</v>
      </c>
      <c r="B18" s="114"/>
      <c r="C18" s="115"/>
      <c r="F18" s="45">
        <f>C22+C23+C24+C25+C26+C27+C28+C29+C30+C31+C32+C33</f>
        <v>354.14284015999993</v>
      </c>
    </row>
    <row r="19" spans="1:6" ht="15.75">
      <c r="A19" s="25"/>
      <c r="B19" s="26" t="s">
        <v>34</v>
      </c>
      <c r="C19" s="27">
        <v>8.4469999999999996E-5</v>
      </c>
      <c r="F19" s="45">
        <f>C34+C35</f>
        <v>244.44638147999999</v>
      </c>
    </row>
    <row r="20" spans="1:6" ht="16.5" thickBot="1">
      <c r="A20" s="28" t="s">
        <v>35</v>
      </c>
      <c r="B20" s="29" t="s">
        <v>36</v>
      </c>
      <c r="C20" s="30">
        <f>1009234*$C$19*4</f>
        <v>340.99998391999998</v>
      </c>
    </row>
    <row r="21" spans="1:6" ht="32.25" thickBot="1">
      <c r="A21" s="31" t="s">
        <v>32</v>
      </c>
      <c r="B21" s="32" t="s">
        <v>33</v>
      </c>
      <c r="C21" s="30">
        <f>C20*0.2359</f>
        <v>80.441896206727989</v>
      </c>
    </row>
    <row r="22" spans="1:6" ht="32.25" thickBot="1">
      <c r="A22" s="31" t="s">
        <v>37</v>
      </c>
      <c r="B22" s="32" t="s">
        <v>38</v>
      </c>
      <c r="C22" s="30">
        <f>93709*$C$19*4</f>
        <v>31.662396919999999</v>
      </c>
    </row>
    <row r="23" spans="1:6" ht="18" customHeight="1" thickBot="1">
      <c r="A23" s="31" t="s">
        <v>39</v>
      </c>
      <c r="B23" s="32" t="s">
        <v>40</v>
      </c>
      <c r="C23" s="30">
        <f>76039*$C$19*4</f>
        <v>25.69205732</v>
      </c>
    </row>
    <row r="24" spans="1:6" ht="18" customHeight="1" thickBot="1">
      <c r="A24" s="31" t="s">
        <v>41</v>
      </c>
      <c r="B24" s="32" t="s">
        <v>42</v>
      </c>
      <c r="C24" s="30">
        <f>84854*$C$19*4</f>
        <v>28.670469519999997</v>
      </c>
    </row>
    <row r="25" spans="1:6" ht="16.5" thickBot="1">
      <c r="A25" s="31" t="s">
        <v>43</v>
      </c>
      <c r="B25" s="32" t="s">
        <v>44</v>
      </c>
      <c r="C25" s="30">
        <f>127766*$C$19*4</f>
        <v>43.169576079999999</v>
      </c>
    </row>
    <row r="26" spans="1:6" ht="32.25" thickBot="1">
      <c r="A26" s="31" t="s">
        <v>45</v>
      </c>
      <c r="B26" s="32" t="s">
        <v>46</v>
      </c>
      <c r="C26" s="30">
        <f>170156*$C$19*4</f>
        <v>57.492309280000001</v>
      </c>
    </row>
    <row r="27" spans="1:6" ht="32.25" thickBot="1">
      <c r="A27" s="31" t="s">
        <v>47</v>
      </c>
      <c r="B27" s="32" t="s">
        <v>48</v>
      </c>
      <c r="C27" s="30">
        <f>377637*$C$19*4</f>
        <v>127.59598955999999</v>
      </c>
    </row>
    <row r="28" spans="1:6" ht="18.75" customHeight="1" thickBot="1">
      <c r="A28" s="31" t="s">
        <v>49</v>
      </c>
      <c r="B28" s="32" t="s">
        <v>50</v>
      </c>
      <c r="C28" s="30">
        <f>51508*$C$19*4</f>
        <v>17.40352304</v>
      </c>
    </row>
    <row r="29" spans="1:6" ht="15.75" customHeight="1" thickBot="1">
      <c r="A29" s="31" t="s">
        <v>51</v>
      </c>
      <c r="B29" s="32" t="s">
        <v>52</v>
      </c>
      <c r="C29" s="30">
        <f>27437*$C$19*4</f>
        <v>9.2704135599999997</v>
      </c>
    </row>
    <row r="30" spans="1:6" ht="19.5" customHeight="1" thickBot="1">
      <c r="A30" s="31" t="s">
        <v>53</v>
      </c>
      <c r="B30" s="32" t="s">
        <v>54</v>
      </c>
      <c r="C30" s="30">
        <f>1110*$C$19*4</f>
        <v>0.37504679999999996</v>
      </c>
    </row>
    <row r="31" spans="1:6" ht="32.25" thickBot="1">
      <c r="A31" s="31" t="s">
        <v>55</v>
      </c>
      <c r="B31" s="32" t="s">
        <v>56</v>
      </c>
      <c r="C31" s="30">
        <f>13237*$C$19*4</f>
        <v>4.47251756</v>
      </c>
      <c r="D31" s="2"/>
    </row>
    <row r="32" spans="1:6" ht="32.25" thickBot="1">
      <c r="A32" s="31" t="s">
        <v>57</v>
      </c>
      <c r="B32" s="32" t="s">
        <v>58</v>
      </c>
      <c r="C32" s="30">
        <f>8480*$C$19*4</f>
        <v>2.8652223999999999</v>
      </c>
    </row>
    <row r="33" spans="1:3" ht="32.25" thickBot="1">
      <c r="A33" s="31" t="s">
        <v>59</v>
      </c>
      <c r="B33" s="32" t="s">
        <v>60</v>
      </c>
      <c r="C33" s="30">
        <f>16199*$C$19*4</f>
        <v>5.4733181200000001</v>
      </c>
    </row>
    <row r="34" spans="1:3" ht="18" customHeight="1" thickBot="1">
      <c r="A34" s="31" t="s">
        <v>61</v>
      </c>
      <c r="B34" s="32" t="s">
        <v>62</v>
      </c>
      <c r="C34" s="30">
        <f>106687*$C$19*4</f>
        <v>36.047403559999999</v>
      </c>
    </row>
    <row r="35" spans="1:3" ht="32.25" thickBot="1">
      <c r="A35" s="31" t="s">
        <v>63</v>
      </c>
      <c r="B35" s="34" t="s">
        <v>64</v>
      </c>
      <c r="C35" s="30">
        <f>616784*$C$19*4</f>
        <v>208.39897791999999</v>
      </c>
    </row>
    <row r="36" spans="1:3" ht="15.75">
      <c r="A36" s="116" t="s">
        <v>29</v>
      </c>
      <c r="B36" s="117"/>
      <c r="C36" s="35">
        <f>SUM(C20:C35)</f>
        <v>1020.0311017667278</v>
      </c>
    </row>
    <row r="37" spans="1:3" ht="15.75" customHeight="1">
      <c r="A37" s="118" t="s">
        <v>65</v>
      </c>
      <c r="B37" s="119"/>
      <c r="C37" s="36">
        <f>C36+C17</f>
        <v>2106.1400217667278</v>
      </c>
    </row>
    <row r="38" spans="1:3" ht="15.75">
      <c r="A38" s="1"/>
      <c r="B38" s="1"/>
      <c r="C38" s="37"/>
    </row>
    <row r="39" spans="1:3" ht="15.75" customHeight="1">
      <c r="A39" s="103" t="s">
        <v>66</v>
      </c>
      <c r="B39" s="104"/>
      <c r="C39" s="38">
        <v>4</v>
      </c>
    </row>
    <row r="40" spans="1:3" ht="15.75" customHeight="1">
      <c r="A40" s="103" t="s">
        <v>67</v>
      </c>
      <c r="B40" s="104"/>
      <c r="C40" s="39">
        <f>ROUND(C37/C39,2)</f>
        <v>526.54</v>
      </c>
    </row>
  </sheetData>
  <mergeCells count="14">
    <mergeCell ref="A39:B39"/>
    <mergeCell ref="A40:B40"/>
    <mergeCell ref="A11:C11"/>
    <mergeCell ref="A12:A15"/>
    <mergeCell ref="A17:B17"/>
    <mergeCell ref="A18:C18"/>
    <mergeCell ref="A36:B36"/>
    <mergeCell ref="A37:B37"/>
    <mergeCell ref="A8:B8"/>
    <mergeCell ref="B1:C1"/>
    <mergeCell ref="A3:C3"/>
    <mergeCell ref="A5:C5"/>
    <mergeCell ref="A6:C6"/>
    <mergeCell ref="A7:C7"/>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44F12-08C7-443B-9B9E-8A16BEAA71C4}">
  <sheetPr>
    <tabColor theme="6" tint="0.79998168889431442"/>
  </sheetPr>
  <dimension ref="A1:F50"/>
  <sheetViews>
    <sheetView topLeftCell="B1" zoomScaleNormal="100" workbookViewId="0">
      <selection activeCell="B6" sqref="B6:D6"/>
    </sheetView>
  </sheetViews>
  <sheetFormatPr defaultRowHeight="12.75"/>
  <cols>
    <col min="1" max="1" width="14.7109375" customWidth="1"/>
    <col min="2" max="2" width="10.7109375" customWidth="1"/>
    <col min="3" max="3" width="98.85546875" customWidth="1"/>
    <col min="4" max="4" width="25.5703125" customWidth="1"/>
  </cols>
  <sheetData>
    <row r="1" spans="1:4" ht="76.5" customHeight="1">
      <c r="B1" s="40"/>
      <c r="C1" s="99" t="s">
        <v>308</v>
      </c>
      <c r="D1" s="99"/>
    </row>
    <row r="2" spans="1:4" ht="15.75">
      <c r="B2" s="40"/>
      <c r="C2" s="40"/>
      <c r="D2" s="40"/>
    </row>
    <row r="3" spans="1:4" ht="15.75">
      <c r="B3" s="100" t="s">
        <v>91</v>
      </c>
      <c r="C3" s="100"/>
      <c r="D3" s="100"/>
    </row>
    <row r="4" spans="1:4" ht="15.75">
      <c r="B4" s="40"/>
      <c r="C4" s="40"/>
      <c r="D4" s="40"/>
    </row>
    <row r="5" spans="1:4" ht="15.75">
      <c r="B5" s="101" t="s">
        <v>92</v>
      </c>
      <c r="C5" s="101"/>
      <c r="D5" s="101"/>
    </row>
    <row r="6" spans="1:4" ht="72" customHeight="1">
      <c r="B6" s="102" t="s">
        <v>93</v>
      </c>
      <c r="C6" s="102"/>
      <c r="D6" s="102"/>
    </row>
    <row r="7" spans="1:4" ht="15.75">
      <c r="B7" s="101" t="s">
        <v>94</v>
      </c>
      <c r="C7" s="101"/>
      <c r="D7" s="101"/>
    </row>
    <row r="8" spans="1:4" ht="15.75">
      <c r="B8" s="98" t="s">
        <v>95</v>
      </c>
      <c r="C8" s="98"/>
      <c r="D8" s="40"/>
    </row>
    <row r="9" spans="1:4" ht="14.25" customHeight="1"/>
    <row r="10" spans="1:4" ht="63">
      <c r="B10" s="14" t="s">
        <v>24</v>
      </c>
      <c r="C10" s="15" t="s">
        <v>25</v>
      </c>
      <c r="D10" s="16" t="s">
        <v>30</v>
      </c>
    </row>
    <row r="11" spans="1:4" ht="39" thickBot="1">
      <c r="A11" s="5" t="s">
        <v>24</v>
      </c>
      <c r="B11" s="105" t="s">
        <v>26</v>
      </c>
      <c r="C11" s="106"/>
      <c r="D11" s="107"/>
    </row>
    <row r="12" spans="1:4" ht="15.75">
      <c r="A12" s="6"/>
      <c r="B12" s="108" t="s">
        <v>31</v>
      </c>
      <c r="C12" s="17" t="s">
        <v>72</v>
      </c>
      <c r="D12" s="18">
        <f>9.714*0.25*50</f>
        <v>121.42500000000001</v>
      </c>
    </row>
    <row r="13" spans="1:4" ht="15.75">
      <c r="A13" s="7">
        <v>1100</v>
      </c>
      <c r="B13" s="109"/>
      <c r="C13" s="19" t="s">
        <v>73</v>
      </c>
      <c r="D13" s="18">
        <f>11.571*0.5*50</f>
        <v>289.27499999999998</v>
      </c>
    </row>
    <row r="14" spans="1:4" ht="15.75">
      <c r="A14" s="7"/>
      <c r="B14" s="109"/>
      <c r="C14" s="19" t="s">
        <v>69</v>
      </c>
      <c r="D14" s="18">
        <f>9.714*0.1*50</f>
        <v>48.57</v>
      </c>
    </row>
    <row r="15" spans="1:4" ht="15.75">
      <c r="A15" s="7"/>
      <c r="B15" s="109"/>
      <c r="C15" s="19" t="s">
        <v>159</v>
      </c>
      <c r="D15" s="18">
        <f>15.4*0.1*50</f>
        <v>77</v>
      </c>
    </row>
    <row r="16" spans="1:4" ht="16.5" thickBot="1">
      <c r="A16" s="7"/>
      <c r="B16" s="109"/>
      <c r="C16" s="20" t="s">
        <v>71</v>
      </c>
      <c r="D16" s="18">
        <f>18.607*0.1*50</f>
        <v>93.034999999999997</v>
      </c>
    </row>
    <row r="17" spans="1:6" ht="32.25" thickBot="1">
      <c r="A17" s="7"/>
      <c r="B17" s="21" t="s">
        <v>32</v>
      </c>
      <c r="C17" s="22" t="s">
        <v>33</v>
      </c>
      <c r="D17" s="23">
        <f>(D12+D13+D14+D15+D16)*0.2359</f>
        <v>148.45304949999999</v>
      </c>
    </row>
    <row r="18" spans="1:6" ht="15.75">
      <c r="A18" s="8">
        <v>1100</v>
      </c>
      <c r="B18" s="111" t="s">
        <v>27</v>
      </c>
      <c r="C18" s="112"/>
      <c r="D18" s="24">
        <f>SUM(D12:D17)</f>
        <v>777.75804949999997</v>
      </c>
      <c r="F18" s="45">
        <f>D18+D21+D22</f>
        <v>1079.6076262452</v>
      </c>
    </row>
    <row r="19" spans="1:6" ht="16.5" thickBot="1">
      <c r="A19" s="9">
        <v>1210</v>
      </c>
      <c r="B19" s="113" t="s">
        <v>28</v>
      </c>
      <c r="C19" s="114"/>
      <c r="D19" s="115"/>
      <c r="F19" s="45">
        <f>D23+D24+D25+D26+D27+D28+D29+D30+D31+D32+D33+D34</f>
        <v>253.64794399999994</v>
      </c>
    </row>
    <row r="20" spans="1:6" ht="15.75">
      <c r="A20" s="10"/>
      <c r="B20" s="25"/>
      <c r="C20" s="26" t="s">
        <v>34</v>
      </c>
      <c r="D20" s="27">
        <v>4.8400000000000002E-6</v>
      </c>
      <c r="F20" s="45">
        <f>D35+D36</f>
        <v>175.079982</v>
      </c>
    </row>
    <row r="21" spans="1:6" ht="16.5" thickBot="1">
      <c r="A21" s="11">
        <v>1110</v>
      </c>
      <c r="B21" s="28" t="s">
        <v>35</v>
      </c>
      <c r="C21" s="29" t="s">
        <v>36</v>
      </c>
      <c r="D21" s="30">
        <f>1009234*$D$20*50</f>
        <v>244.23462800000001</v>
      </c>
    </row>
    <row r="22" spans="1:6" ht="32.25" thickBot="1">
      <c r="A22" s="11">
        <v>1210</v>
      </c>
      <c r="B22" s="31" t="s">
        <v>32</v>
      </c>
      <c r="C22" s="32" t="s">
        <v>33</v>
      </c>
      <c r="D22" s="30">
        <f>D21*0.2359</f>
        <v>57.614948745200003</v>
      </c>
    </row>
    <row r="23" spans="1:6" ht="32.25" thickBot="1">
      <c r="A23" s="12" t="s">
        <v>0</v>
      </c>
      <c r="B23" s="31" t="s">
        <v>37</v>
      </c>
      <c r="C23" s="32" t="s">
        <v>38</v>
      </c>
      <c r="D23" s="30">
        <f>93709*$D$20*50</f>
        <v>22.677578</v>
      </c>
    </row>
    <row r="24" spans="1:6" ht="19.5" customHeight="1" thickBot="1">
      <c r="A24" s="13" t="s">
        <v>2</v>
      </c>
      <c r="B24" s="31" t="s">
        <v>39</v>
      </c>
      <c r="C24" s="32" t="s">
        <v>40</v>
      </c>
      <c r="D24" s="30">
        <f>76039*$D$20*50</f>
        <v>18.401437999999999</v>
      </c>
    </row>
    <row r="25" spans="1:6" ht="19.5" customHeight="1" thickBot="1">
      <c r="A25" s="13" t="s">
        <v>3</v>
      </c>
      <c r="B25" s="31" t="s">
        <v>41</v>
      </c>
      <c r="C25" s="32" t="s">
        <v>42</v>
      </c>
      <c r="D25" s="30">
        <f>84854*$D$20*50</f>
        <v>20.534668</v>
      </c>
    </row>
    <row r="26" spans="1:6" ht="16.5" thickBot="1">
      <c r="A26" s="13" t="s">
        <v>4</v>
      </c>
      <c r="B26" s="31" t="s">
        <v>43</v>
      </c>
      <c r="C26" s="32" t="s">
        <v>44</v>
      </c>
      <c r="D26" s="30">
        <f>127766*$D$20*50</f>
        <v>30.919371999999999</v>
      </c>
    </row>
    <row r="27" spans="1:6" ht="32.25" thickBot="1">
      <c r="A27" s="13" t="s">
        <v>5</v>
      </c>
      <c r="B27" s="31" t="s">
        <v>45</v>
      </c>
      <c r="C27" s="32" t="s">
        <v>46</v>
      </c>
      <c r="D27" s="30">
        <f>170156*$D$20*50</f>
        <v>41.177751999999998</v>
      </c>
    </row>
    <row r="28" spans="1:6" ht="32.25" thickBot="1">
      <c r="A28" s="13" t="s">
        <v>6</v>
      </c>
      <c r="B28" s="31" t="s">
        <v>47</v>
      </c>
      <c r="C28" s="32" t="s">
        <v>48</v>
      </c>
      <c r="D28" s="30">
        <f>377637*$D$20*50</f>
        <v>91.388154</v>
      </c>
    </row>
    <row r="29" spans="1:6" ht="21" customHeight="1" thickBot="1">
      <c r="A29" s="13" t="s">
        <v>7</v>
      </c>
      <c r="B29" s="31" t="s">
        <v>49</v>
      </c>
      <c r="C29" s="32" t="s">
        <v>50</v>
      </c>
      <c r="D29" s="30">
        <f>51508*$D$20*50</f>
        <v>12.464936</v>
      </c>
    </row>
    <row r="30" spans="1:6" ht="17.25" customHeight="1" thickBot="1">
      <c r="A30" s="13" t="s">
        <v>8</v>
      </c>
      <c r="B30" s="31" t="s">
        <v>51</v>
      </c>
      <c r="C30" s="32" t="s">
        <v>52</v>
      </c>
      <c r="D30" s="30">
        <f>27437*$D$20*50</f>
        <v>6.6397540000000008</v>
      </c>
    </row>
    <row r="31" spans="1:6" ht="18.75" customHeight="1" thickBot="1">
      <c r="A31" s="13" t="s">
        <v>9</v>
      </c>
      <c r="B31" s="31" t="s">
        <v>53</v>
      </c>
      <c r="C31" s="32" t="s">
        <v>54</v>
      </c>
      <c r="D31" s="30">
        <f>1110*$D$20*50</f>
        <v>0.26862000000000003</v>
      </c>
    </row>
    <row r="32" spans="1:6" ht="32.25" thickBot="1">
      <c r="A32" s="13" t="s">
        <v>10</v>
      </c>
      <c r="B32" s="31" t="s">
        <v>55</v>
      </c>
      <c r="C32" s="32" t="s">
        <v>56</v>
      </c>
      <c r="D32" s="30">
        <f>13237*$D$20*50</f>
        <v>3.203354</v>
      </c>
    </row>
    <row r="33" spans="1:4" ht="32.25" thickBot="1">
      <c r="A33" s="13" t="s">
        <v>11</v>
      </c>
      <c r="B33" s="31" t="s">
        <v>57</v>
      </c>
      <c r="C33" s="32" t="s">
        <v>58</v>
      </c>
      <c r="D33" s="30">
        <f>8480*$D$20*50</f>
        <v>2.0521600000000002</v>
      </c>
    </row>
    <row r="34" spans="1:4" ht="32.25" thickBot="1">
      <c r="A34" s="13" t="s">
        <v>12</v>
      </c>
      <c r="B34" s="31" t="s">
        <v>59</v>
      </c>
      <c r="C34" s="32" t="s">
        <v>60</v>
      </c>
      <c r="D34" s="30">
        <f>16199*$D$20*50</f>
        <v>3.9201579999999998</v>
      </c>
    </row>
    <row r="35" spans="1:4" ht="17.25" customHeight="1" thickBot="1">
      <c r="A35" s="13" t="s">
        <v>13</v>
      </c>
      <c r="B35" s="31" t="s">
        <v>61</v>
      </c>
      <c r="C35" s="32" t="s">
        <v>62</v>
      </c>
      <c r="D35" s="30">
        <f>106687*$D$20*50</f>
        <v>25.818254000000003</v>
      </c>
    </row>
    <row r="36" spans="1:4" ht="32.25" thickBot="1">
      <c r="A36" s="4" t="s">
        <v>1</v>
      </c>
      <c r="B36" s="31" t="s">
        <v>63</v>
      </c>
      <c r="C36" s="34" t="s">
        <v>64</v>
      </c>
      <c r="D36" s="30">
        <f>616784*$D$20*50</f>
        <v>149.26172800000001</v>
      </c>
    </row>
    <row r="37" spans="1:4" ht="15.75">
      <c r="A37" s="4" t="s">
        <v>14</v>
      </c>
      <c r="B37" s="116" t="s">
        <v>29</v>
      </c>
      <c r="C37" s="117"/>
      <c r="D37" s="35">
        <f>SUM(D21:D36)</f>
        <v>730.57750274520004</v>
      </c>
    </row>
    <row r="38" spans="1:4" ht="15.75">
      <c r="A38" s="13" t="s">
        <v>15</v>
      </c>
      <c r="B38" s="118" t="s">
        <v>65</v>
      </c>
      <c r="C38" s="119"/>
      <c r="D38" s="36">
        <f>D37+D18</f>
        <v>1508.3355522452</v>
      </c>
    </row>
    <row r="39" spans="1:4" ht="15.75">
      <c r="A39" s="13" t="s">
        <v>16</v>
      </c>
      <c r="B39" s="1"/>
      <c r="C39" s="1"/>
      <c r="D39" s="37"/>
    </row>
    <row r="40" spans="1:4" ht="15.75">
      <c r="A40" s="13" t="s">
        <v>17</v>
      </c>
      <c r="B40" s="103" t="s">
        <v>66</v>
      </c>
      <c r="C40" s="104"/>
      <c r="D40" s="38">
        <v>50</v>
      </c>
    </row>
    <row r="41" spans="1:4" ht="15.75">
      <c r="A41" s="13" t="s">
        <v>18</v>
      </c>
      <c r="B41" s="103" t="s">
        <v>67</v>
      </c>
      <c r="C41" s="104"/>
      <c r="D41" s="39">
        <f>D38/D40</f>
        <v>30.166711044904002</v>
      </c>
    </row>
    <row r="42" spans="1:4">
      <c r="A42" s="13" t="s">
        <v>19</v>
      </c>
    </row>
    <row r="43" spans="1:4">
      <c r="A43" s="13" t="s">
        <v>20</v>
      </c>
    </row>
    <row r="44" spans="1:4">
      <c r="A44" s="13" t="s">
        <v>21</v>
      </c>
    </row>
    <row r="45" spans="1:4">
      <c r="A45" s="13" t="s">
        <v>22</v>
      </c>
    </row>
    <row r="46" spans="1:4">
      <c r="A46" s="13" t="s">
        <v>23</v>
      </c>
    </row>
    <row r="50" spans="1:1">
      <c r="A50" s="3"/>
    </row>
  </sheetData>
  <mergeCells count="14">
    <mergeCell ref="C1:D1"/>
    <mergeCell ref="B3:D3"/>
    <mergeCell ref="B5:D5"/>
    <mergeCell ref="B6:D6"/>
    <mergeCell ref="B7:D7"/>
    <mergeCell ref="B8:C8"/>
    <mergeCell ref="B40:C40"/>
    <mergeCell ref="B41:C41"/>
    <mergeCell ref="B11:D11"/>
    <mergeCell ref="B12:B16"/>
    <mergeCell ref="B18:C18"/>
    <mergeCell ref="B19:D19"/>
    <mergeCell ref="B37:C37"/>
    <mergeCell ref="B38:C38"/>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D4067-5B29-4CD6-A112-D5F569D2D3C3}">
  <sheetPr>
    <tabColor theme="6" tint="0.79998168889431442"/>
  </sheetPr>
  <dimension ref="A1:E41"/>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75.75" customHeight="1">
      <c r="A1" s="40"/>
      <c r="B1" s="99" t="s">
        <v>308</v>
      </c>
      <c r="C1" s="99"/>
    </row>
    <row r="2" spans="1:3" ht="15.75">
      <c r="A2" s="40"/>
      <c r="B2" s="40"/>
      <c r="C2" s="40"/>
    </row>
    <row r="3" spans="1:3" ht="15.75">
      <c r="A3" s="100" t="s">
        <v>91</v>
      </c>
      <c r="B3" s="100"/>
      <c r="C3" s="100"/>
    </row>
    <row r="4" spans="1:3" ht="15.75">
      <c r="A4" s="40"/>
      <c r="B4" s="40"/>
      <c r="C4" s="40"/>
    </row>
    <row r="5" spans="1:3" ht="15.75">
      <c r="A5" s="101" t="s">
        <v>92</v>
      </c>
      <c r="B5" s="101"/>
      <c r="C5" s="101"/>
    </row>
    <row r="6" spans="1:3" ht="71.25" customHeight="1">
      <c r="A6" s="102" t="s">
        <v>96</v>
      </c>
      <c r="B6" s="102"/>
      <c r="C6" s="102"/>
    </row>
    <row r="7" spans="1:3" ht="15.75">
      <c r="A7" s="101" t="s">
        <v>94</v>
      </c>
      <c r="B7" s="101"/>
      <c r="C7" s="101"/>
    </row>
    <row r="8" spans="1:3" ht="15.75">
      <c r="A8" s="98" t="s">
        <v>97</v>
      </c>
      <c r="B8" s="98"/>
      <c r="C8" s="40"/>
    </row>
    <row r="10" spans="1:3" ht="63">
      <c r="A10" s="14" t="s">
        <v>24</v>
      </c>
      <c r="B10" s="15" t="s">
        <v>25</v>
      </c>
      <c r="C10" s="16" t="s">
        <v>30</v>
      </c>
    </row>
    <row r="11" spans="1:3" ht="16.5" thickBot="1">
      <c r="A11" s="105" t="s">
        <v>26</v>
      </c>
      <c r="B11" s="106"/>
      <c r="C11" s="107"/>
    </row>
    <row r="12" spans="1:3" ht="15.75">
      <c r="A12" s="108" t="s">
        <v>31</v>
      </c>
      <c r="B12" s="17" t="s">
        <v>74</v>
      </c>
      <c r="C12" s="18">
        <f>9.714*1.5*3</f>
        <v>43.713000000000008</v>
      </c>
    </row>
    <row r="13" spans="1:3" ht="15.75">
      <c r="A13" s="109"/>
      <c r="B13" s="19" t="s">
        <v>87</v>
      </c>
      <c r="C13" s="18">
        <f>11.571*1.25*3</f>
        <v>43.391249999999999</v>
      </c>
    </row>
    <row r="14" spans="1:3" ht="15.75">
      <c r="A14" s="109"/>
      <c r="B14" s="19" t="s">
        <v>69</v>
      </c>
      <c r="C14" s="18">
        <f>9.714*0.1*3</f>
        <v>2.9142000000000001</v>
      </c>
    </row>
    <row r="15" spans="1:3" ht="15.75">
      <c r="A15" s="109"/>
      <c r="B15" s="19" t="s">
        <v>159</v>
      </c>
      <c r="C15" s="18">
        <f>15.4*0.1*3</f>
        <v>4.62</v>
      </c>
    </row>
    <row r="16" spans="1:3" ht="16.5" thickBot="1">
      <c r="A16" s="109"/>
      <c r="B16" s="20" t="s">
        <v>71</v>
      </c>
      <c r="C16" s="18">
        <f>18.607*0.1*3</f>
        <v>5.5821000000000005</v>
      </c>
    </row>
    <row r="17" spans="1:5" ht="32.25" thickBot="1">
      <c r="A17" s="21" t="s">
        <v>32</v>
      </c>
      <c r="B17" s="22" t="s">
        <v>33</v>
      </c>
      <c r="C17" s="23">
        <f>(C12+C13+C14+C15+C16)*0.2359</f>
        <v>23.642027745</v>
      </c>
    </row>
    <row r="18" spans="1:5" ht="15.75">
      <c r="A18" s="111" t="s">
        <v>27</v>
      </c>
      <c r="B18" s="112"/>
      <c r="C18" s="24">
        <f>SUM(C12:C17)</f>
        <v>123.86257774500001</v>
      </c>
      <c r="E18" s="45">
        <f>C18+C21+C22</f>
        <v>171.90904756411203</v>
      </c>
    </row>
    <row r="19" spans="1:5" ht="16.5" thickBot="1">
      <c r="A19" s="113" t="s">
        <v>28</v>
      </c>
      <c r="B19" s="114"/>
      <c r="C19" s="115"/>
      <c r="E19" s="45">
        <f>C23+C24+C25+C26+C27+C28+C29+C30+C31+C32+C33+C34</f>
        <v>40.374044640000008</v>
      </c>
    </row>
    <row r="20" spans="1:5" ht="15.75">
      <c r="A20" s="25"/>
      <c r="B20" s="26" t="s">
        <v>34</v>
      </c>
      <c r="C20" s="27">
        <v>1.2840000000000001E-5</v>
      </c>
      <c r="E20" s="45">
        <f>C35+C36</f>
        <v>27.868102919999998</v>
      </c>
    </row>
    <row r="21" spans="1:5" ht="16.5" thickBot="1">
      <c r="A21" s="28" t="s">
        <v>35</v>
      </c>
      <c r="B21" s="29" t="s">
        <v>36</v>
      </c>
      <c r="C21" s="30">
        <f>1009234*$C$20*3</f>
        <v>38.875693680000005</v>
      </c>
    </row>
    <row r="22" spans="1:5" ht="32.25" thickBot="1">
      <c r="A22" s="31" t="s">
        <v>32</v>
      </c>
      <c r="B22" s="32" t="s">
        <v>33</v>
      </c>
      <c r="C22" s="30">
        <f>C21*0.2359</f>
        <v>9.170776139112002</v>
      </c>
    </row>
    <row r="23" spans="1:5" ht="32.25" thickBot="1">
      <c r="A23" s="31" t="s">
        <v>37</v>
      </c>
      <c r="B23" s="32" t="s">
        <v>38</v>
      </c>
      <c r="C23" s="30">
        <f>93709*$C$20*3</f>
        <v>3.6096706800000002</v>
      </c>
    </row>
    <row r="24" spans="1:5" ht="17.25" customHeight="1" thickBot="1">
      <c r="A24" s="31" t="s">
        <v>39</v>
      </c>
      <c r="B24" s="32" t="s">
        <v>40</v>
      </c>
      <c r="C24" s="30">
        <f>76039*$C$20*3</f>
        <v>2.9290222799999999</v>
      </c>
    </row>
    <row r="25" spans="1:5" ht="19.5" customHeight="1" thickBot="1">
      <c r="A25" s="31" t="s">
        <v>41</v>
      </c>
      <c r="B25" s="32" t="s">
        <v>42</v>
      </c>
      <c r="C25" s="30">
        <f>84854*$C$20*3</f>
        <v>3.2685760800000003</v>
      </c>
    </row>
    <row r="26" spans="1:5" ht="16.5" thickBot="1">
      <c r="A26" s="31" t="s">
        <v>43</v>
      </c>
      <c r="B26" s="32" t="s">
        <v>44</v>
      </c>
      <c r="C26" s="30">
        <f>127766*$C$20*3</f>
        <v>4.9215463200000009</v>
      </c>
    </row>
    <row r="27" spans="1:5" ht="32.25" thickBot="1">
      <c r="A27" s="31" t="s">
        <v>45</v>
      </c>
      <c r="B27" s="32" t="s">
        <v>46</v>
      </c>
      <c r="C27" s="30">
        <f>170156*$C$20*3</f>
        <v>6.5544091200000008</v>
      </c>
    </row>
    <row r="28" spans="1:5" ht="32.25" thickBot="1">
      <c r="A28" s="31" t="s">
        <v>47</v>
      </c>
      <c r="B28" s="32" t="s">
        <v>48</v>
      </c>
      <c r="C28" s="30">
        <f>377637*$C$20*3</f>
        <v>14.546577240000001</v>
      </c>
    </row>
    <row r="29" spans="1:5" ht="18.75" customHeight="1" thickBot="1">
      <c r="A29" s="31" t="s">
        <v>49</v>
      </c>
      <c r="B29" s="32" t="s">
        <v>50</v>
      </c>
      <c r="C29" s="30">
        <f>51508*$C$20*3</f>
        <v>1.9840881600000002</v>
      </c>
    </row>
    <row r="30" spans="1:5" ht="18" customHeight="1" thickBot="1">
      <c r="A30" s="31" t="s">
        <v>51</v>
      </c>
      <c r="B30" s="32" t="s">
        <v>52</v>
      </c>
      <c r="C30" s="30">
        <f>27437*$C$20*3</f>
        <v>1.05687324</v>
      </c>
    </row>
    <row r="31" spans="1:5" s="2" customFormat="1" ht="21" customHeight="1" thickBot="1">
      <c r="A31" s="31" t="s">
        <v>53</v>
      </c>
      <c r="B31" s="32" t="s">
        <v>54</v>
      </c>
      <c r="C31" s="30">
        <f>1110*$C$20*3</f>
        <v>4.2757200000000002E-2</v>
      </c>
    </row>
    <row r="32" spans="1:5" ht="32.25" thickBot="1">
      <c r="A32" s="31" t="s">
        <v>55</v>
      </c>
      <c r="B32" s="32" t="s">
        <v>56</v>
      </c>
      <c r="C32" s="30">
        <f>13237*$C$20*3</f>
        <v>0.50988924000000002</v>
      </c>
    </row>
    <row r="33" spans="1:3" ht="32.25" thickBot="1">
      <c r="A33" s="31" t="s">
        <v>57</v>
      </c>
      <c r="B33" s="32" t="s">
        <v>58</v>
      </c>
      <c r="C33" s="30">
        <f>8480*$C$20*3</f>
        <v>0.32664959999999998</v>
      </c>
    </row>
    <row r="34" spans="1:3" ht="32.25" thickBot="1">
      <c r="A34" s="31" t="s">
        <v>59</v>
      </c>
      <c r="B34" s="32" t="s">
        <v>60</v>
      </c>
      <c r="C34" s="30">
        <f>16199*$C$20*3</f>
        <v>0.62398547999999998</v>
      </c>
    </row>
    <row r="35" spans="1:3" ht="17.25" customHeight="1" thickBot="1">
      <c r="A35" s="31" t="s">
        <v>61</v>
      </c>
      <c r="B35" s="32" t="s">
        <v>62</v>
      </c>
      <c r="C35" s="30">
        <f>106687*$C$20*3</f>
        <v>4.109583240000001</v>
      </c>
    </row>
    <row r="36" spans="1:3" ht="32.25" thickBot="1">
      <c r="A36" s="31" t="s">
        <v>63</v>
      </c>
      <c r="B36" s="34" t="s">
        <v>64</v>
      </c>
      <c r="C36" s="30">
        <f>616784*$C$20*3</f>
        <v>23.758519679999999</v>
      </c>
    </row>
    <row r="37" spans="1:3" ht="15.75">
      <c r="A37" s="116" t="s">
        <v>29</v>
      </c>
      <c r="B37" s="117"/>
      <c r="C37" s="35">
        <f>SUM(C21:C36)</f>
        <v>116.28861737911203</v>
      </c>
    </row>
    <row r="38" spans="1:3" ht="15.75">
      <c r="A38" s="118" t="s">
        <v>65</v>
      </c>
      <c r="B38" s="119"/>
      <c r="C38" s="36">
        <f>C37+C18</f>
        <v>240.15119512411204</v>
      </c>
    </row>
    <row r="39" spans="1:3" ht="15.75">
      <c r="A39" s="1"/>
      <c r="B39" s="1"/>
      <c r="C39" s="37"/>
    </row>
    <row r="40" spans="1:3" ht="15.75">
      <c r="A40" s="103" t="s">
        <v>66</v>
      </c>
      <c r="B40" s="104"/>
      <c r="C40" s="38">
        <v>3</v>
      </c>
    </row>
    <row r="41" spans="1:3" ht="15.75">
      <c r="A41" s="103" t="s">
        <v>67</v>
      </c>
      <c r="B41" s="104"/>
      <c r="C41" s="39">
        <f>ROUND(C38/C40,2)</f>
        <v>80.05</v>
      </c>
    </row>
  </sheetData>
  <mergeCells count="14">
    <mergeCell ref="B1:C1"/>
    <mergeCell ref="A3:C3"/>
    <mergeCell ref="A5:C5"/>
    <mergeCell ref="A6:C6"/>
    <mergeCell ref="A7:C7"/>
    <mergeCell ref="A8:B8"/>
    <mergeCell ref="A40:B40"/>
    <mergeCell ref="A41:B41"/>
    <mergeCell ref="A11:C11"/>
    <mergeCell ref="A12:A16"/>
    <mergeCell ref="A18:B18"/>
    <mergeCell ref="A19:C19"/>
    <mergeCell ref="A37:B37"/>
    <mergeCell ref="A38:B38"/>
  </mergeCells>
  <pageMargins left="0.7" right="0.7" top="0.75" bottom="0.75" header="0.3" footer="0.3"/>
  <pageSetup paperSize="9" scale="66"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C9A4-124E-42EC-9B2F-B215611A8764}">
  <sheetPr>
    <tabColor theme="6" tint="0.79998168889431442"/>
  </sheetPr>
  <dimension ref="A1:F37"/>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6" ht="68.25"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54.75" customHeight="1">
      <c r="A6" s="102" t="s">
        <v>98</v>
      </c>
      <c r="B6" s="102"/>
      <c r="C6" s="102"/>
    </row>
    <row r="7" spans="1:6" ht="15.75">
      <c r="A7" s="101" t="s">
        <v>94</v>
      </c>
      <c r="B7" s="101"/>
      <c r="C7" s="101"/>
    </row>
    <row r="8" spans="1:6" ht="15.75">
      <c r="A8" s="98" t="s">
        <v>99</v>
      </c>
      <c r="B8" s="98"/>
      <c r="C8" s="40"/>
    </row>
    <row r="10" spans="1:6" ht="63">
      <c r="A10" s="14" t="s">
        <v>24</v>
      </c>
      <c r="B10" s="15" t="s">
        <v>25</v>
      </c>
      <c r="C10" s="16" t="s">
        <v>30</v>
      </c>
    </row>
    <row r="11" spans="1:6" ht="16.5" thickBot="1">
      <c r="A11" s="105" t="s">
        <v>26</v>
      </c>
      <c r="B11" s="106"/>
      <c r="C11" s="107"/>
    </row>
    <row r="12" spans="1:6" ht="27" customHeight="1">
      <c r="A12" s="41" t="s">
        <v>31</v>
      </c>
      <c r="B12" s="17" t="s">
        <v>88</v>
      </c>
      <c r="C12" s="18">
        <f>9.714*0.85*10</f>
        <v>82.569000000000003</v>
      </c>
    </row>
    <row r="13" spans="1:6" ht="32.25" thickBot="1">
      <c r="A13" s="21" t="s">
        <v>32</v>
      </c>
      <c r="B13" s="22" t="s">
        <v>33</v>
      </c>
      <c r="C13" s="23">
        <f>C12*0.2359</f>
        <v>19.478027100000002</v>
      </c>
    </row>
    <row r="14" spans="1:6" ht="15.75">
      <c r="A14" s="111" t="s">
        <v>27</v>
      </c>
      <c r="B14" s="112"/>
      <c r="C14" s="24">
        <f>SUM(C12:C13)</f>
        <v>102.04702710000001</v>
      </c>
      <c r="F14" s="45">
        <f>C14+C17+C18</f>
        <v>141.58682702902001</v>
      </c>
    </row>
    <row r="15" spans="1:6" ht="16.5" thickBot="1">
      <c r="A15" s="113" t="s">
        <v>28</v>
      </c>
      <c r="B15" s="114"/>
      <c r="C15" s="115"/>
      <c r="F15" s="45">
        <f>C19+C20+C21+C22+C23+C24+C25+C26+C27+C28+C29+C30</f>
        <v>33.225784399999995</v>
      </c>
    </row>
    <row r="16" spans="1:6" ht="15.75">
      <c r="A16" s="25"/>
      <c r="B16" s="26" t="s">
        <v>34</v>
      </c>
      <c r="C16" s="27">
        <v>3.1700000000000001E-6</v>
      </c>
      <c r="F16" s="45">
        <f>C31+C32</f>
        <v>22.934030700000001</v>
      </c>
    </row>
    <row r="17" spans="1:3" ht="16.5" thickBot="1">
      <c r="A17" s="28" t="s">
        <v>35</v>
      </c>
      <c r="B17" s="29" t="s">
        <v>36</v>
      </c>
      <c r="C17" s="30">
        <f>1009234*$C$16*10</f>
        <v>31.992717800000001</v>
      </c>
    </row>
    <row r="18" spans="1:3" ht="32.25" thickBot="1">
      <c r="A18" s="31" t="s">
        <v>32</v>
      </c>
      <c r="B18" s="32" t="s">
        <v>33</v>
      </c>
      <c r="C18" s="30">
        <f>C17*0.2359</f>
        <v>7.5470821290200005</v>
      </c>
    </row>
    <row r="19" spans="1:3" ht="32.25" thickBot="1">
      <c r="A19" s="31" t="s">
        <v>37</v>
      </c>
      <c r="B19" s="32" t="s">
        <v>38</v>
      </c>
      <c r="C19" s="30">
        <f>93709*$C$16*10</f>
        <v>2.9705753000000001</v>
      </c>
    </row>
    <row r="20" spans="1:3" ht="20.25" customHeight="1" thickBot="1">
      <c r="A20" s="31" t="s">
        <v>39</v>
      </c>
      <c r="B20" s="32" t="s">
        <v>40</v>
      </c>
      <c r="C20" s="30">
        <f>76039*$C$16*10</f>
        <v>2.4104363000000002</v>
      </c>
    </row>
    <row r="21" spans="1:3" ht="18.75" customHeight="1" thickBot="1">
      <c r="A21" s="31" t="s">
        <v>41</v>
      </c>
      <c r="B21" s="32" t="s">
        <v>42</v>
      </c>
      <c r="C21" s="30">
        <f>84854*$C$16*10</f>
        <v>2.6898717999999997</v>
      </c>
    </row>
    <row r="22" spans="1:3" ht="21.75" customHeight="1" thickBot="1">
      <c r="A22" s="31" t="s">
        <v>43</v>
      </c>
      <c r="B22" s="32" t="s">
        <v>44</v>
      </c>
      <c r="C22" s="30">
        <f>127766*$C$16*10</f>
        <v>4.0501822000000001</v>
      </c>
    </row>
    <row r="23" spans="1:3" ht="32.25" thickBot="1">
      <c r="A23" s="31" t="s">
        <v>45</v>
      </c>
      <c r="B23" s="32" t="s">
        <v>46</v>
      </c>
      <c r="C23" s="30">
        <f>170156*$C$16*10</f>
        <v>5.3939452000000001</v>
      </c>
    </row>
    <row r="24" spans="1:3" ht="32.25" thickBot="1">
      <c r="A24" s="31" t="s">
        <v>47</v>
      </c>
      <c r="B24" s="32" t="s">
        <v>48</v>
      </c>
      <c r="C24" s="30">
        <f>377637*$C$16*10</f>
        <v>11.9710929</v>
      </c>
    </row>
    <row r="25" spans="1:3" ht="19.5" customHeight="1" thickBot="1">
      <c r="A25" s="31" t="s">
        <v>49</v>
      </c>
      <c r="B25" s="32" t="s">
        <v>50</v>
      </c>
      <c r="C25" s="30">
        <f>51508*$C$16*10</f>
        <v>1.6328036000000001</v>
      </c>
    </row>
    <row r="26" spans="1:3" ht="24.75" customHeight="1" thickBot="1">
      <c r="A26" s="31" t="s">
        <v>51</v>
      </c>
      <c r="B26" s="32" t="s">
        <v>52</v>
      </c>
      <c r="C26" s="30">
        <f>27437*$C$16*10</f>
        <v>0.86975290000000016</v>
      </c>
    </row>
    <row r="27" spans="1:3" ht="24" customHeight="1" thickBot="1">
      <c r="A27" s="31" t="s">
        <v>53</v>
      </c>
      <c r="B27" s="32" t="s">
        <v>54</v>
      </c>
      <c r="C27" s="30">
        <f>1110*$C$16*10</f>
        <v>3.5187000000000003E-2</v>
      </c>
    </row>
    <row r="28" spans="1:3" ht="32.25" thickBot="1">
      <c r="A28" s="31" t="s">
        <v>55</v>
      </c>
      <c r="B28" s="32" t="s">
        <v>56</v>
      </c>
      <c r="C28" s="30">
        <f>13237*$C$16*10</f>
        <v>0.41961290000000007</v>
      </c>
    </row>
    <row r="29" spans="1:3" ht="32.25" thickBot="1">
      <c r="A29" s="31" t="s">
        <v>57</v>
      </c>
      <c r="B29" s="32" t="s">
        <v>58</v>
      </c>
      <c r="C29" s="30">
        <f>8480*$C$16*10</f>
        <v>0.268816</v>
      </c>
    </row>
    <row r="30" spans="1:3" ht="32.25" thickBot="1">
      <c r="A30" s="31" t="s">
        <v>59</v>
      </c>
      <c r="B30" s="32" t="s">
        <v>60</v>
      </c>
      <c r="C30" s="30">
        <f>16199*$C$16*10</f>
        <v>0.51350830000000003</v>
      </c>
    </row>
    <row r="31" spans="1:3" ht="20.25" customHeight="1" thickBot="1">
      <c r="A31" s="31" t="s">
        <v>61</v>
      </c>
      <c r="B31" s="32" t="s">
        <v>62</v>
      </c>
      <c r="C31" s="30">
        <f>106687*$C$16*10</f>
        <v>3.3819778999999999</v>
      </c>
    </row>
    <row r="32" spans="1:3" ht="32.25" thickBot="1">
      <c r="A32" s="31" t="s">
        <v>63</v>
      </c>
      <c r="B32" s="34" t="s">
        <v>64</v>
      </c>
      <c r="C32" s="30">
        <f>616784*$C$16*10</f>
        <v>19.552052800000002</v>
      </c>
    </row>
    <row r="33" spans="1:3" ht="15.75">
      <c r="A33" s="116" t="s">
        <v>29</v>
      </c>
      <c r="B33" s="117"/>
      <c r="C33" s="35">
        <f>SUM(C17:C32)</f>
        <v>95.699615029019981</v>
      </c>
    </row>
    <row r="34" spans="1:3" ht="15.75">
      <c r="A34" s="118" t="s">
        <v>65</v>
      </c>
      <c r="B34" s="119"/>
      <c r="C34" s="36">
        <f>C33+C14</f>
        <v>197.74664212901999</v>
      </c>
    </row>
    <row r="35" spans="1:3" ht="15.75">
      <c r="A35" s="1"/>
      <c r="B35" s="1"/>
      <c r="C35" s="37"/>
    </row>
    <row r="36" spans="1:3" ht="15.75">
      <c r="A36" s="103" t="s">
        <v>66</v>
      </c>
      <c r="B36" s="104"/>
      <c r="C36" s="38">
        <v>10</v>
      </c>
    </row>
    <row r="37" spans="1:3" ht="15.75">
      <c r="A37" s="103" t="s">
        <v>67</v>
      </c>
      <c r="B37" s="104"/>
      <c r="C37" s="39">
        <f>ROUND(C34/C36,2)</f>
        <v>19.77</v>
      </c>
    </row>
  </sheetData>
  <mergeCells count="13">
    <mergeCell ref="B1:C1"/>
    <mergeCell ref="A3:C3"/>
    <mergeCell ref="A5:C5"/>
    <mergeCell ref="A6:C6"/>
    <mergeCell ref="A7:C7"/>
    <mergeCell ref="A8:B8"/>
    <mergeCell ref="A36:B36"/>
    <mergeCell ref="A37:B37"/>
    <mergeCell ref="A11:C11"/>
    <mergeCell ref="A14:B14"/>
    <mergeCell ref="A15:C15"/>
    <mergeCell ref="A33:B33"/>
    <mergeCell ref="A34:B34"/>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DBF5A-ACF5-47A7-B836-D011BE26743A}">
  <sheetPr>
    <tabColor theme="6" tint="0.79998168889431442"/>
  </sheetPr>
  <dimension ref="A1:F37"/>
  <sheetViews>
    <sheetView zoomScaleNormal="100" workbookViewId="0">
      <selection activeCell="G6" sqref="G6"/>
    </sheetView>
  </sheetViews>
  <sheetFormatPr defaultRowHeight="12.75"/>
  <cols>
    <col min="1" max="1" width="10.7109375" customWidth="1"/>
    <col min="2" max="2" width="98.85546875" customWidth="1"/>
    <col min="3" max="3" width="25.5703125" customWidth="1"/>
  </cols>
  <sheetData>
    <row r="1" spans="1:3" ht="72.75" customHeight="1">
      <c r="A1" s="40"/>
      <c r="B1" s="99" t="s">
        <v>308</v>
      </c>
      <c r="C1" s="99"/>
    </row>
    <row r="2" spans="1:3" ht="15.75">
      <c r="A2" s="40"/>
      <c r="B2" s="42"/>
      <c r="C2" s="42"/>
    </row>
    <row r="3" spans="1:3" ht="15.75">
      <c r="A3" s="100" t="s">
        <v>91</v>
      </c>
      <c r="B3" s="100"/>
      <c r="C3" s="100"/>
    </row>
    <row r="4" spans="1:3" ht="15.75">
      <c r="A4" s="40"/>
      <c r="B4" s="40"/>
      <c r="C4" s="40"/>
    </row>
    <row r="5" spans="1:3" ht="15.75">
      <c r="A5" s="101" t="s">
        <v>92</v>
      </c>
      <c r="B5" s="101"/>
      <c r="C5" s="101"/>
    </row>
    <row r="6" spans="1:3" ht="51" customHeight="1">
      <c r="A6" s="102" t="s">
        <v>100</v>
      </c>
      <c r="B6" s="102"/>
      <c r="C6" s="102"/>
    </row>
    <row r="7" spans="1:3" ht="15.75">
      <c r="A7" s="101" t="s">
        <v>94</v>
      </c>
      <c r="B7" s="101"/>
      <c r="C7" s="101"/>
    </row>
    <row r="8" spans="1:3" ht="15.75">
      <c r="A8" s="98" t="s">
        <v>99</v>
      </c>
      <c r="B8" s="98"/>
      <c r="C8" s="40"/>
    </row>
    <row r="10" spans="1:3" ht="63">
      <c r="A10" s="14" t="s">
        <v>24</v>
      </c>
      <c r="B10" s="15" t="s">
        <v>25</v>
      </c>
      <c r="C10" s="16" t="s">
        <v>30</v>
      </c>
    </row>
    <row r="11" spans="1:3" ht="16.5" thickBot="1">
      <c r="A11" s="105" t="s">
        <v>26</v>
      </c>
      <c r="B11" s="106"/>
      <c r="C11" s="107"/>
    </row>
    <row r="12" spans="1:3" ht="31.5">
      <c r="A12" s="41" t="s">
        <v>31</v>
      </c>
      <c r="B12" s="17" t="s">
        <v>88</v>
      </c>
      <c r="C12" s="18">
        <f>9.714*0.85*10</f>
        <v>82.569000000000003</v>
      </c>
    </row>
    <row r="13" spans="1:3" ht="32.25" thickBot="1">
      <c r="A13" s="21" t="s">
        <v>32</v>
      </c>
      <c r="B13" s="22" t="s">
        <v>33</v>
      </c>
      <c r="C13" s="23">
        <f>C12*0.2359</f>
        <v>19.478027100000002</v>
      </c>
    </row>
    <row r="14" spans="1:3" ht="15.75">
      <c r="A14" s="111" t="s">
        <v>27</v>
      </c>
      <c r="B14" s="112"/>
      <c r="C14" s="24">
        <f>SUM(C12:C13)</f>
        <v>102.04702710000001</v>
      </c>
    </row>
    <row r="15" spans="1:3" ht="16.5" thickBot="1">
      <c r="A15" s="113" t="s">
        <v>28</v>
      </c>
      <c r="B15" s="114"/>
      <c r="C15" s="115"/>
    </row>
    <row r="16" spans="1:3" ht="15.75">
      <c r="A16" s="25"/>
      <c r="B16" s="26" t="s">
        <v>34</v>
      </c>
      <c r="C16" s="27">
        <v>3.1700000000000001E-6</v>
      </c>
    </row>
    <row r="17" spans="1:6" ht="16.5" thickBot="1">
      <c r="A17" s="28" t="s">
        <v>35</v>
      </c>
      <c r="B17" s="29" t="s">
        <v>36</v>
      </c>
      <c r="C17" s="30">
        <f>1009234*$C$16*10</f>
        <v>31.992717800000001</v>
      </c>
      <c r="F17" s="45">
        <f>C14+C17+C18</f>
        <v>141.58682702902001</v>
      </c>
    </row>
    <row r="18" spans="1:6" ht="32.25" thickBot="1">
      <c r="A18" s="31" t="s">
        <v>32</v>
      </c>
      <c r="B18" s="32" t="s">
        <v>33</v>
      </c>
      <c r="C18" s="30">
        <f>C17*0.2359</f>
        <v>7.5470821290200005</v>
      </c>
      <c r="F18" s="45">
        <f>C19+C20+C21+C22+C23+C24+C25+C26+C27+C28+C29+C30</f>
        <v>33.225784399999995</v>
      </c>
    </row>
    <row r="19" spans="1:6" ht="32.25" thickBot="1">
      <c r="A19" s="31" t="s">
        <v>37</v>
      </c>
      <c r="B19" s="32" t="s">
        <v>38</v>
      </c>
      <c r="C19" s="30">
        <f>93709*$C$16*10</f>
        <v>2.9705753000000001</v>
      </c>
      <c r="F19" s="45">
        <f>C31+C32</f>
        <v>22.934030700000001</v>
      </c>
    </row>
    <row r="20" spans="1:6" ht="21.75" customHeight="1" thickBot="1">
      <c r="A20" s="31" t="s">
        <v>39</v>
      </c>
      <c r="B20" s="32" t="s">
        <v>40</v>
      </c>
      <c r="C20" s="30">
        <f>76039*$C$16*10</f>
        <v>2.4104363000000002</v>
      </c>
    </row>
    <row r="21" spans="1:6" ht="21" customHeight="1" thickBot="1">
      <c r="A21" s="31" t="s">
        <v>41</v>
      </c>
      <c r="B21" s="32" t="s">
        <v>42</v>
      </c>
      <c r="C21" s="30">
        <f>84854*$C$16*10</f>
        <v>2.6898717999999997</v>
      </c>
    </row>
    <row r="22" spans="1:6" ht="16.5" thickBot="1">
      <c r="A22" s="31" t="s">
        <v>43</v>
      </c>
      <c r="B22" s="32" t="s">
        <v>44</v>
      </c>
      <c r="C22" s="30">
        <f>127766*$C$16*10</f>
        <v>4.0501822000000001</v>
      </c>
    </row>
    <row r="23" spans="1:6" ht="32.25" thickBot="1">
      <c r="A23" s="31" t="s">
        <v>45</v>
      </c>
      <c r="B23" s="32" t="s">
        <v>46</v>
      </c>
      <c r="C23" s="30">
        <f>170156*$C$16*10</f>
        <v>5.3939452000000001</v>
      </c>
    </row>
    <row r="24" spans="1:6" ht="32.25" thickBot="1">
      <c r="A24" s="31" t="s">
        <v>47</v>
      </c>
      <c r="B24" s="32" t="s">
        <v>48</v>
      </c>
      <c r="C24" s="30">
        <f>377637*$C$16*10</f>
        <v>11.9710929</v>
      </c>
    </row>
    <row r="25" spans="1:6" ht="19.5" customHeight="1" thickBot="1">
      <c r="A25" s="31" t="s">
        <v>49</v>
      </c>
      <c r="B25" s="32" t="s">
        <v>50</v>
      </c>
      <c r="C25" s="30">
        <f>51508*$C$16*10</f>
        <v>1.6328036000000001</v>
      </c>
    </row>
    <row r="26" spans="1:6" ht="20.25" customHeight="1" thickBot="1">
      <c r="A26" s="31" t="s">
        <v>51</v>
      </c>
      <c r="B26" s="32" t="s">
        <v>52</v>
      </c>
      <c r="C26" s="30">
        <f>27437*$C$16*10</f>
        <v>0.86975290000000016</v>
      </c>
    </row>
    <row r="27" spans="1:6" ht="21" customHeight="1" thickBot="1">
      <c r="A27" s="31" t="s">
        <v>53</v>
      </c>
      <c r="B27" s="32" t="s">
        <v>54</v>
      </c>
      <c r="C27" s="30">
        <f>1110*$C$16*10</f>
        <v>3.5187000000000003E-2</v>
      </c>
    </row>
    <row r="28" spans="1:6" ht="32.25" thickBot="1">
      <c r="A28" s="31" t="s">
        <v>55</v>
      </c>
      <c r="B28" s="32" t="s">
        <v>56</v>
      </c>
      <c r="C28" s="30">
        <f>13237*$C$16*10</f>
        <v>0.41961290000000007</v>
      </c>
    </row>
    <row r="29" spans="1:6" ht="32.25" thickBot="1">
      <c r="A29" s="31" t="s">
        <v>57</v>
      </c>
      <c r="B29" s="32" t="s">
        <v>58</v>
      </c>
      <c r="C29" s="30">
        <f>8480*$C$16*10</f>
        <v>0.268816</v>
      </c>
    </row>
    <row r="30" spans="1:6" ht="32.25" thickBot="1">
      <c r="A30" s="31" t="s">
        <v>59</v>
      </c>
      <c r="B30" s="32" t="s">
        <v>60</v>
      </c>
      <c r="C30" s="30">
        <f>16199*$C$16*10</f>
        <v>0.51350830000000003</v>
      </c>
    </row>
    <row r="31" spans="1:6" ht="18.75" customHeight="1" thickBot="1">
      <c r="A31" s="31" t="s">
        <v>61</v>
      </c>
      <c r="B31" s="32" t="s">
        <v>62</v>
      </c>
      <c r="C31" s="30">
        <f>106687*$C$16*10</f>
        <v>3.3819778999999999</v>
      </c>
    </row>
    <row r="32" spans="1:6" ht="32.25" thickBot="1">
      <c r="A32" s="31" t="s">
        <v>63</v>
      </c>
      <c r="B32" s="34" t="s">
        <v>64</v>
      </c>
      <c r="C32" s="30">
        <f>616784*$C$16*10</f>
        <v>19.552052800000002</v>
      </c>
    </row>
    <row r="33" spans="1:3" ht="15.75">
      <c r="A33" s="116" t="s">
        <v>29</v>
      </c>
      <c r="B33" s="117"/>
      <c r="C33" s="35">
        <f>SUM(C17:C32)</f>
        <v>95.699615029019981</v>
      </c>
    </row>
    <row r="34" spans="1:3" ht="15.75">
      <c r="A34" s="118" t="s">
        <v>65</v>
      </c>
      <c r="B34" s="119"/>
      <c r="C34" s="36">
        <f>C33+C14</f>
        <v>197.74664212901999</v>
      </c>
    </row>
    <row r="35" spans="1:3" ht="15.75">
      <c r="A35" s="1"/>
      <c r="B35" s="1"/>
      <c r="C35" s="37"/>
    </row>
    <row r="36" spans="1:3" ht="15.75">
      <c r="A36" s="103" t="s">
        <v>66</v>
      </c>
      <c r="B36" s="104"/>
      <c r="C36" s="38">
        <v>10</v>
      </c>
    </row>
    <row r="37" spans="1:3" ht="15.75">
      <c r="A37" s="103" t="s">
        <v>67</v>
      </c>
      <c r="B37" s="104"/>
      <c r="C37" s="39">
        <f>ROUND(C34/C36,2)</f>
        <v>19.77</v>
      </c>
    </row>
  </sheetData>
  <mergeCells count="13">
    <mergeCell ref="B1:C1"/>
    <mergeCell ref="A3:C3"/>
    <mergeCell ref="A5:C5"/>
    <mergeCell ref="A6:C6"/>
    <mergeCell ref="A7:C7"/>
    <mergeCell ref="A8:B8"/>
    <mergeCell ref="A36:B36"/>
    <mergeCell ref="A37:B37"/>
    <mergeCell ref="A11:C11"/>
    <mergeCell ref="A14:B14"/>
    <mergeCell ref="A15:C15"/>
    <mergeCell ref="A33:B33"/>
    <mergeCell ref="A34:B34"/>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DDD94-AA5C-4F3F-A32D-9333BA6CF3A7}">
  <sheetPr>
    <tabColor theme="6" tint="0.79998168889431442"/>
  </sheetPr>
  <dimension ref="A1:F36"/>
  <sheetViews>
    <sheetView zoomScaleNormal="100" workbookViewId="0">
      <selection activeCell="G10" sqref="G10"/>
    </sheetView>
  </sheetViews>
  <sheetFormatPr defaultRowHeight="12.75"/>
  <cols>
    <col min="1" max="1" width="10.7109375" customWidth="1"/>
    <col min="2" max="2" width="98.85546875" customWidth="1"/>
    <col min="3" max="3" width="25.5703125" customWidth="1"/>
  </cols>
  <sheetData>
    <row r="1" spans="1:6" ht="73.5" customHeight="1">
      <c r="A1" s="40"/>
      <c r="B1" s="99" t="s">
        <v>308</v>
      </c>
      <c r="C1" s="99"/>
    </row>
    <row r="2" spans="1:6" ht="15.75">
      <c r="A2" s="40"/>
      <c r="B2" s="42"/>
      <c r="C2" s="42"/>
    </row>
    <row r="3" spans="1:6" ht="15.75">
      <c r="A3" s="100" t="s">
        <v>91</v>
      </c>
      <c r="B3" s="100"/>
      <c r="C3" s="100"/>
    </row>
    <row r="4" spans="1:6" ht="15.75">
      <c r="A4" s="40"/>
      <c r="B4" s="40"/>
      <c r="C4" s="40"/>
    </row>
    <row r="5" spans="1:6" ht="15.75">
      <c r="A5" s="101" t="s">
        <v>92</v>
      </c>
      <c r="B5" s="101"/>
      <c r="C5" s="101"/>
    </row>
    <row r="6" spans="1:6" ht="47.25" customHeight="1">
      <c r="A6" s="102" t="s">
        <v>101</v>
      </c>
      <c r="B6" s="102"/>
      <c r="C6" s="102"/>
    </row>
    <row r="7" spans="1:6" ht="15.75">
      <c r="A7" s="101" t="s">
        <v>94</v>
      </c>
      <c r="B7" s="101"/>
      <c r="C7" s="101"/>
    </row>
    <row r="8" spans="1:6" ht="15.75">
      <c r="A8" s="98" t="s">
        <v>102</v>
      </c>
      <c r="B8" s="98"/>
      <c r="C8" s="40"/>
    </row>
    <row r="10" spans="1:6" ht="63">
      <c r="A10" s="14" t="s">
        <v>24</v>
      </c>
      <c r="B10" s="15" t="s">
        <v>25</v>
      </c>
      <c r="C10" s="16" t="s">
        <v>30</v>
      </c>
    </row>
    <row r="11" spans="1:6" ht="16.5" thickBot="1">
      <c r="A11" s="105" t="s">
        <v>26</v>
      </c>
      <c r="B11" s="106"/>
      <c r="C11" s="107"/>
    </row>
    <row r="12" spans="1:6" ht="19.5" customHeight="1">
      <c r="A12" s="41" t="s">
        <v>31</v>
      </c>
      <c r="B12" s="17" t="s">
        <v>88</v>
      </c>
      <c r="C12" s="18">
        <f>9.714*0.85*1</f>
        <v>8.2568999999999999</v>
      </c>
    </row>
    <row r="13" spans="1:6" ht="32.25" thickBot="1">
      <c r="A13" s="21" t="s">
        <v>32</v>
      </c>
      <c r="B13" s="22" t="s">
        <v>33</v>
      </c>
      <c r="C13" s="23">
        <f>C12*0.2359</f>
        <v>1.9478027099999999</v>
      </c>
    </row>
    <row r="14" spans="1:6" ht="15.75">
      <c r="A14" s="111" t="s">
        <v>27</v>
      </c>
      <c r="B14" s="112"/>
      <c r="C14" s="24">
        <f>SUM(C12:C13)</f>
        <v>10.204702709999999</v>
      </c>
      <c r="F14" s="45">
        <f>C14+C17+C18</f>
        <v>14.158682702902</v>
      </c>
    </row>
    <row r="15" spans="1:6" ht="16.5" thickBot="1">
      <c r="A15" s="113" t="s">
        <v>28</v>
      </c>
      <c r="B15" s="114"/>
      <c r="C15" s="115"/>
      <c r="F15" s="45">
        <f>C19+C20+C21+C22+C23+C24+C25+C26+C27+C28+C29</f>
        <v>3.3190597399999997</v>
      </c>
    </row>
    <row r="16" spans="1:6" ht="15.75">
      <c r="A16" s="25"/>
      <c r="B16" s="26" t="s">
        <v>34</v>
      </c>
      <c r="C16" s="27">
        <v>3.1700000000000001E-6</v>
      </c>
      <c r="F16" s="45">
        <f>C30+C31</f>
        <v>2.2934030700000001</v>
      </c>
    </row>
    <row r="17" spans="1:3" ht="16.5" thickBot="1">
      <c r="A17" s="28" t="s">
        <v>35</v>
      </c>
      <c r="B17" s="29" t="s">
        <v>36</v>
      </c>
      <c r="C17" s="30">
        <f>1009234*$C$16*1</f>
        <v>3.1992717800000001</v>
      </c>
    </row>
    <row r="18" spans="1:3" ht="32.25" thickBot="1">
      <c r="A18" s="31" t="s">
        <v>32</v>
      </c>
      <c r="B18" s="32" t="s">
        <v>33</v>
      </c>
      <c r="C18" s="30">
        <f>C17*0.2359</f>
        <v>0.75470821290200008</v>
      </c>
    </row>
    <row r="19" spans="1:3" ht="32.25" thickBot="1">
      <c r="A19" s="31" t="s">
        <v>37</v>
      </c>
      <c r="B19" s="32" t="s">
        <v>38</v>
      </c>
      <c r="C19" s="30">
        <f>93709*$C$16*1</f>
        <v>0.29705753000000001</v>
      </c>
    </row>
    <row r="20" spans="1:3" ht="17.25" customHeight="1" thickBot="1">
      <c r="A20" s="31" t="s">
        <v>39</v>
      </c>
      <c r="B20" s="32" t="s">
        <v>40</v>
      </c>
      <c r="C20" s="30">
        <f>76039*$C$16*1</f>
        <v>0.24104363000000001</v>
      </c>
    </row>
    <row r="21" spans="1:3" ht="17.25" customHeight="1" thickBot="1">
      <c r="A21" s="31" t="s">
        <v>41</v>
      </c>
      <c r="B21" s="32" t="s">
        <v>42</v>
      </c>
      <c r="C21" s="30">
        <f>84854*$C$16*1</f>
        <v>0.26898717999999999</v>
      </c>
    </row>
    <row r="22" spans="1:3" ht="16.5" thickBot="1">
      <c r="A22" s="31" t="s">
        <v>43</v>
      </c>
      <c r="B22" s="32" t="s">
        <v>44</v>
      </c>
      <c r="C22" s="30">
        <f>127766*$C$16*1</f>
        <v>0.40501822000000004</v>
      </c>
    </row>
    <row r="23" spans="1:3" ht="32.25" thickBot="1">
      <c r="A23" s="31" t="s">
        <v>45</v>
      </c>
      <c r="B23" s="32" t="s">
        <v>46</v>
      </c>
      <c r="C23" s="30">
        <f>170156*$C$16*1</f>
        <v>0.53939451999999999</v>
      </c>
    </row>
    <row r="24" spans="1:3" ht="32.25" thickBot="1">
      <c r="A24" s="31" t="s">
        <v>47</v>
      </c>
      <c r="B24" s="32" t="s">
        <v>48</v>
      </c>
      <c r="C24" s="30">
        <f>377637*$C$16*1</f>
        <v>1.19710929</v>
      </c>
    </row>
    <row r="25" spans="1:3" ht="18.75" customHeight="1" thickBot="1">
      <c r="A25" s="31" t="s">
        <v>49</v>
      </c>
      <c r="B25" s="32" t="s">
        <v>50</v>
      </c>
      <c r="C25" s="30">
        <f>51508*$C$16*1</f>
        <v>0.16328036000000001</v>
      </c>
    </row>
    <row r="26" spans="1:3" ht="16.5" customHeight="1" thickBot="1">
      <c r="A26" s="31" t="s">
        <v>51</v>
      </c>
      <c r="B26" s="32" t="s">
        <v>52</v>
      </c>
      <c r="C26" s="30">
        <f>27437*$C$16*1</f>
        <v>8.6975290000000011E-2</v>
      </c>
    </row>
    <row r="27" spans="1:3" ht="32.25" thickBot="1">
      <c r="A27" s="31" t="s">
        <v>55</v>
      </c>
      <c r="B27" s="32" t="s">
        <v>56</v>
      </c>
      <c r="C27" s="30">
        <f>13237*$C$16*1</f>
        <v>4.1961290000000005E-2</v>
      </c>
    </row>
    <row r="28" spans="1:3" ht="32.25" thickBot="1">
      <c r="A28" s="31" t="s">
        <v>57</v>
      </c>
      <c r="B28" s="32" t="s">
        <v>58</v>
      </c>
      <c r="C28" s="30">
        <f>8480*$C$16*1</f>
        <v>2.6881600000000002E-2</v>
      </c>
    </row>
    <row r="29" spans="1:3" ht="32.25" thickBot="1">
      <c r="A29" s="31" t="s">
        <v>59</v>
      </c>
      <c r="B29" s="32" t="s">
        <v>60</v>
      </c>
      <c r="C29" s="30">
        <f>16199*$C$16*1</f>
        <v>5.135083E-2</v>
      </c>
    </row>
    <row r="30" spans="1:3" ht="18.75" customHeight="1" thickBot="1">
      <c r="A30" s="31" t="s">
        <v>61</v>
      </c>
      <c r="B30" s="32" t="s">
        <v>62</v>
      </c>
      <c r="C30" s="30">
        <f>106687*$C$16*1</f>
        <v>0.33819779</v>
      </c>
    </row>
    <row r="31" spans="1:3" ht="32.25" thickBot="1">
      <c r="A31" s="31" t="s">
        <v>63</v>
      </c>
      <c r="B31" s="34" t="s">
        <v>64</v>
      </c>
      <c r="C31" s="30">
        <f>616784*$C$16*1</f>
        <v>1.9552052800000002</v>
      </c>
    </row>
    <row r="32" spans="1:3" ht="15.75">
      <c r="A32" s="116" t="s">
        <v>29</v>
      </c>
      <c r="B32" s="117"/>
      <c r="C32" s="35">
        <f>SUM(C17:C31)</f>
        <v>9.5664428029019994</v>
      </c>
    </row>
    <row r="33" spans="1:3" ht="15.75">
      <c r="A33" s="118" t="s">
        <v>65</v>
      </c>
      <c r="B33" s="119"/>
      <c r="C33" s="36">
        <f>C32+C14</f>
        <v>19.771145512901999</v>
      </c>
    </row>
    <row r="34" spans="1:3" ht="15.75">
      <c r="A34" s="1"/>
      <c r="B34" s="1"/>
      <c r="C34" s="37"/>
    </row>
    <row r="35" spans="1:3" ht="15.75">
      <c r="A35" s="103" t="s">
        <v>66</v>
      </c>
      <c r="B35" s="104"/>
      <c r="C35" s="38">
        <v>1</v>
      </c>
    </row>
    <row r="36" spans="1:3" ht="15.75">
      <c r="A36" s="103" t="s">
        <v>67</v>
      </c>
      <c r="B36" s="104"/>
      <c r="C36" s="39">
        <f>ROUND(C33/C35,2)</f>
        <v>19.77</v>
      </c>
    </row>
  </sheetData>
  <mergeCells count="13">
    <mergeCell ref="B1:C1"/>
    <mergeCell ref="A3:C3"/>
    <mergeCell ref="A5:C5"/>
    <mergeCell ref="A6:C6"/>
    <mergeCell ref="A7:C7"/>
    <mergeCell ref="A8:B8"/>
    <mergeCell ref="A35:B35"/>
    <mergeCell ref="A36:B36"/>
    <mergeCell ref="A11:C11"/>
    <mergeCell ref="A14:B14"/>
    <mergeCell ref="A15:C15"/>
    <mergeCell ref="A32:B32"/>
    <mergeCell ref="A33:B33"/>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20F46-E2F4-46D8-9B56-80FBF49965DB}">
  <sheetPr>
    <tabColor theme="6" tint="0.79998168889431442"/>
  </sheetPr>
  <dimension ref="A1:F41"/>
  <sheetViews>
    <sheetView zoomScaleNormal="100" workbookViewId="0">
      <selection activeCell="E6" sqref="E6"/>
    </sheetView>
  </sheetViews>
  <sheetFormatPr defaultRowHeight="12.75"/>
  <cols>
    <col min="1" max="1" width="10.7109375" customWidth="1"/>
    <col min="2" max="2" width="98.85546875" customWidth="1"/>
    <col min="3" max="3" width="25.5703125" customWidth="1"/>
  </cols>
  <sheetData>
    <row r="1" spans="1:3" ht="73.5" customHeight="1">
      <c r="A1" s="40"/>
      <c r="B1" s="99" t="s">
        <v>308</v>
      </c>
      <c r="C1" s="99"/>
    </row>
    <row r="2" spans="1:3" ht="15.75">
      <c r="A2" s="40"/>
      <c r="B2" s="42"/>
      <c r="C2" s="42"/>
    </row>
    <row r="3" spans="1:3" ht="15.75">
      <c r="A3" s="100" t="s">
        <v>91</v>
      </c>
      <c r="B3" s="100"/>
      <c r="C3" s="100"/>
    </row>
    <row r="4" spans="1:3" ht="15.75">
      <c r="A4" s="40"/>
      <c r="B4" s="40"/>
      <c r="C4" s="40"/>
    </row>
    <row r="5" spans="1:3" ht="15.75">
      <c r="A5" s="101" t="s">
        <v>92</v>
      </c>
      <c r="B5" s="101"/>
      <c r="C5" s="101"/>
    </row>
    <row r="6" spans="1:3" ht="53.25" customHeight="1">
      <c r="A6" s="102" t="s">
        <v>103</v>
      </c>
      <c r="B6" s="102"/>
      <c r="C6" s="102"/>
    </row>
    <row r="7" spans="1:3" ht="15.75">
      <c r="A7" s="101" t="s">
        <v>94</v>
      </c>
      <c r="B7" s="101"/>
      <c r="C7" s="101"/>
    </row>
    <row r="8" spans="1:3" ht="15.75">
      <c r="A8" s="98" t="s">
        <v>104</v>
      </c>
      <c r="B8" s="98"/>
      <c r="C8" s="40"/>
    </row>
    <row r="10" spans="1:3" ht="63">
      <c r="A10" s="14" t="s">
        <v>24</v>
      </c>
      <c r="B10" s="15" t="s">
        <v>25</v>
      </c>
      <c r="C10" s="16" t="s">
        <v>30</v>
      </c>
    </row>
    <row r="11" spans="1:3" ht="16.5" thickBot="1">
      <c r="A11" s="105" t="s">
        <v>26</v>
      </c>
      <c r="B11" s="106"/>
      <c r="C11" s="107"/>
    </row>
    <row r="12" spans="1:3" ht="15.75">
      <c r="A12" s="108" t="s">
        <v>31</v>
      </c>
      <c r="B12" s="17" t="s">
        <v>72</v>
      </c>
      <c r="C12" s="18">
        <f>9.714*0.25*20</f>
        <v>48.57</v>
      </c>
    </row>
    <row r="13" spans="1:3" ht="15.75">
      <c r="A13" s="109"/>
      <c r="B13" s="19" t="s">
        <v>73</v>
      </c>
      <c r="C13" s="18">
        <f>11.571*0.5*20</f>
        <v>115.71</v>
      </c>
    </row>
    <row r="14" spans="1:3" ht="15.75">
      <c r="A14" s="109"/>
      <c r="B14" s="19" t="s">
        <v>69</v>
      </c>
      <c r="C14" s="18">
        <f>9.714*0.1*20</f>
        <v>19.428000000000001</v>
      </c>
    </row>
    <row r="15" spans="1:3" ht="15.75">
      <c r="A15" s="109"/>
      <c r="B15" s="19" t="s">
        <v>159</v>
      </c>
      <c r="C15" s="18">
        <f>15.4*0.1*20</f>
        <v>30.8</v>
      </c>
    </row>
    <row r="16" spans="1:3" ht="16.5" thickBot="1">
      <c r="A16" s="109"/>
      <c r="B16" s="20" t="s">
        <v>71</v>
      </c>
      <c r="C16" s="18">
        <f>18.607*0.1*20</f>
        <v>37.213999999999999</v>
      </c>
    </row>
    <row r="17" spans="1:6" ht="32.25" thickBot="1">
      <c r="A17" s="21" t="s">
        <v>32</v>
      </c>
      <c r="B17" s="22" t="s">
        <v>33</v>
      </c>
      <c r="C17" s="23">
        <f>(C12+C13+C14+C15+C16)*0.2359</f>
        <v>59.381219800000004</v>
      </c>
    </row>
    <row r="18" spans="1:6" ht="15.75">
      <c r="A18" s="111" t="s">
        <v>27</v>
      </c>
      <c r="B18" s="112"/>
      <c r="C18" s="24">
        <f>SUM(C12:C17)</f>
        <v>311.10321980000003</v>
      </c>
      <c r="F18" s="45">
        <f>C18+C21+C22</f>
        <v>431.84305049808006</v>
      </c>
    </row>
    <row r="19" spans="1:6" ht="16.5" thickBot="1">
      <c r="A19" s="113" t="s">
        <v>28</v>
      </c>
      <c r="B19" s="114"/>
      <c r="C19" s="115"/>
      <c r="F19" s="45">
        <f>C23+C24+C25+C27+C26+C28+C29+C30+C31+C32+C33+C34</f>
        <v>101.4591776</v>
      </c>
    </row>
    <row r="20" spans="1:6" ht="15.75">
      <c r="A20" s="25"/>
      <c r="B20" s="26" t="s">
        <v>34</v>
      </c>
      <c r="C20" s="27">
        <v>4.8400000000000002E-6</v>
      </c>
      <c r="F20" s="45">
        <f>C35+C36</f>
        <v>70.031992800000012</v>
      </c>
    </row>
    <row r="21" spans="1:6" ht="16.5" thickBot="1">
      <c r="A21" s="28" t="s">
        <v>35</v>
      </c>
      <c r="B21" s="29" t="s">
        <v>36</v>
      </c>
      <c r="C21" s="30">
        <f>1009234*$C$20*20</f>
        <v>97.693851200000012</v>
      </c>
    </row>
    <row r="22" spans="1:6" ht="32.25" thickBot="1">
      <c r="A22" s="31" t="s">
        <v>32</v>
      </c>
      <c r="B22" s="32" t="s">
        <v>33</v>
      </c>
      <c r="C22" s="30">
        <f>C21*0.2359</f>
        <v>23.045979498080001</v>
      </c>
    </row>
    <row r="23" spans="1:6" ht="32.25" thickBot="1">
      <c r="A23" s="31" t="s">
        <v>37</v>
      </c>
      <c r="B23" s="32" t="s">
        <v>38</v>
      </c>
      <c r="C23" s="30">
        <f>93709*$C$20*20</f>
        <v>9.0710312000000002</v>
      </c>
    </row>
    <row r="24" spans="1:6" ht="21.75" customHeight="1" thickBot="1">
      <c r="A24" s="31" t="s">
        <v>39</v>
      </c>
      <c r="B24" s="32" t="s">
        <v>40</v>
      </c>
      <c r="C24" s="30">
        <f>76039*$C$20*20</f>
        <v>7.3605752000000004</v>
      </c>
    </row>
    <row r="25" spans="1:6" ht="18" customHeight="1" thickBot="1">
      <c r="A25" s="31" t="s">
        <v>41</v>
      </c>
      <c r="B25" s="32" t="s">
        <v>42</v>
      </c>
      <c r="C25" s="30">
        <f>84854*$C$20*20</f>
        <v>8.2138671999999993</v>
      </c>
    </row>
    <row r="26" spans="1:6" ht="16.5" thickBot="1">
      <c r="A26" s="31" t="s">
        <v>43</v>
      </c>
      <c r="B26" s="32" t="s">
        <v>44</v>
      </c>
      <c r="C26" s="30">
        <f>127766*$C$20*20</f>
        <v>12.367748800000001</v>
      </c>
    </row>
    <row r="27" spans="1:6" ht="32.25" thickBot="1">
      <c r="A27" s="31" t="s">
        <v>45</v>
      </c>
      <c r="B27" s="32" t="s">
        <v>46</v>
      </c>
      <c r="C27" s="30">
        <f>170156*$C$20*20</f>
        <v>16.471100800000002</v>
      </c>
    </row>
    <row r="28" spans="1:6" ht="32.25" thickBot="1">
      <c r="A28" s="31" t="s">
        <v>47</v>
      </c>
      <c r="B28" s="32" t="s">
        <v>48</v>
      </c>
      <c r="C28" s="30">
        <f>377637*$C$20*20</f>
        <v>36.555261600000001</v>
      </c>
    </row>
    <row r="29" spans="1:6" ht="19.5" customHeight="1" thickBot="1">
      <c r="A29" s="31" t="s">
        <v>49</v>
      </c>
      <c r="B29" s="32" t="s">
        <v>50</v>
      </c>
      <c r="C29" s="30">
        <f>51508*$C$20*20</f>
        <v>4.9859743999999999</v>
      </c>
    </row>
    <row r="30" spans="1:6" ht="20.25" customHeight="1" thickBot="1">
      <c r="A30" s="31" t="s">
        <v>51</v>
      </c>
      <c r="B30" s="32" t="s">
        <v>52</v>
      </c>
      <c r="C30" s="30">
        <f>27437*$C$20*20</f>
        <v>2.6559016</v>
      </c>
    </row>
    <row r="31" spans="1:6" ht="16.5" customHeight="1" thickBot="1">
      <c r="A31" s="31" t="s">
        <v>53</v>
      </c>
      <c r="B31" s="32" t="s">
        <v>54</v>
      </c>
      <c r="C31" s="30">
        <f>1110*$C$20*20</f>
        <v>0.107448</v>
      </c>
    </row>
    <row r="32" spans="1:6" ht="32.25" thickBot="1">
      <c r="A32" s="31" t="s">
        <v>55</v>
      </c>
      <c r="B32" s="32" t="s">
        <v>56</v>
      </c>
      <c r="C32" s="30">
        <f>13237*$C$20*20</f>
        <v>1.2813416</v>
      </c>
    </row>
    <row r="33" spans="1:3" ht="32.25" thickBot="1">
      <c r="A33" s="31" t="s">
        <v>57</v>
      </c>
      <c r="B33" s="32" t="s">
        <v>58</v>
      </c>
      <c r="C33" s="30">
        <f>8480*$C$20*20</f>
        <v>0.82086400000000004</v>
      </c>
    </row>
    <row r="34" spans="1:3" ht="32.25" thickBot="1">
      <c r="A34" s="31" t="s">
        <v>59</v>
      </c>
      <c r="B34" s="32" t="s">
        <v>60</v>
      </c>
      <c r="C34" s="30">
        <f>16199*$C$20*20</f>
        <v>1.5680632000000001</v>
      </c>
    </row>
    <row r="35" spans="1:3" ht="17.25" customHeight="1" thickBot="1">
      <c r="A35" s="31" t="s">
        <v>61</v>
      </c>
      <c r="B35" s="32" t="s">
        <v>62</v>
      </c>
      <c r="C35" s="30">
        <f>106687*$C$20*20</f>
        <v>10.3273016</v>
      </c>
    </row>
    <row r="36" spans="1:3" ht="32.25" thickBot="1">
      <c r="A36" s="31" t="s">
        <v>63</v>
      </c>
      <c r="B36" s="34" t="s">
        <v>64</v>
      </c>
      <c r="C36" s="30">
        <f>616784*$C$20*20</f>
        <v>59.704691200000006</v>
      </c>
    </row>
    <row r="37" spans="1:3" ht="15.75">
      <c r="A37" s="116" t="s">
        <v>29</v>
      </c>
      <c r="B37" s="117"/>
      <c r="C37" s="35">
        <f>SUM(C21:C36)</f>
        <v>292.23100109808001</v>
      </c>
    </row>
    <row r="38" spans="1:3" ht="15.75">
      <c r="A38" s="118" t="s">
        <v>65</v>
      </c>
      <c r="B38" s="119"/>
      <c r="C38" s="36">
        <f>C37+C18</f>
        <v>603.33422089808005</v>
      </c>
    </row>
    <row r="39" spans="1:3" ht="15.75">
      <c r="A39" s="1"/>
      <c r="B39" s="1"/>
      <c r="C39" s="37"/>
    </row>
    <row r="40" spans="1:3" ht="15.75">
      <c r="A40" s="103" t="s">
        <v>66</v>
      </c>
      <c r="B40" s="104"/>
      <c r="C40" s="38">
        <v>20</v>
      </c>
    </row>
    <row r="41" spans="1:3" ht="15.75">
      <c r="A41" s="103" t="s">
        <v>67</v>
      </c>
      <c r="B41" s="104"/>
      <c r="C41" s="39">
        <f>ROUND(C38/C40,2)</f>
        <v>30.17</v>
      </c>
    </row>
  </sheetData>
  <mergeCells count="14">
    <mergeCell ref="A8:B8"/>
    <mergeCell ref="B1:C1"/>
    <mergeCell ref="A3:C3"/>
    <mergeCell ref="A5:C5"/>
    <mergeCell ref="A6:C6"/>
    <mergeCell ref="A7:C7"/>
    <mergeCell ref="A40:B40"/>
    <mergeCell ref="A41:B41"/>
    <mergeCell ref="A11:C11"/>
    <mergeCell ref="A12:A16"/>
    <mergeCell ref="A18:B18"/>
    <mergeCell ref="A19:C19"/>
    <mergeCell ref="A37:B37"/>
    <mergeCell ref="A38:B38"/>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A5161-EA92-43CD-8B6B-2EDF2D3ACABD}">
  <sheetPr>
    <tabColor theme="6" tint="0.79998168889431442"/>
  </sheetPr>
  <dimension ref="A1:F40"/>
  <sheetViews>
    <sheetView zoomScaleNormal="100" workbookViewId="0">
      <selection activeCell="I7" sqref="I7"/>
    </sheetView>
  </sheetViews>
  <sheetFormatPr defaultRowHeight="12.75"/>
  <cols>
    <col min="1" max="1" width="10.7109375" customWidth="1"/>
    <col min="2" max="2" width="98.85546875" customWidth="1"/>
    <col min="3" max="3" width="25.5703125" customWidth="1"/>
  </cols>
  <sheetData>
    <row r="1" spans="1:3" ht="77.25" customHeight="1">
      <c r="B1" s="99" t="s">
        <v>308</v>
      </c>
      <c r="C1" s="99"/>
    </row>
    <row r="3" spans="1:3" ht="15.75">
      <c r="A3" s="100" t="s">
        <v>91</v>
      </c>
      <c r="B3" s="100"/>
      <c r="C3" s="100"/>
    </row>
    <row r="4" spans="1:3" ht="15.75">
      <c r="A4" s="40"/>
      <c r="B4" s="40"/>
      <c r="C4" s="40"/>
    </row>
    <row r="5" spans="1:3" ht="15.75">
      <c r="A5" s="101" t="s">
        <v>92</v>
      </c>
      <c r="B5" s="101"/>
      <c r="C5" s="101"/>
    </row>
    <row r="6" spans="1:3" ht="57.75" customHeight="1">
      <c r="A6" s="102" t="s">
        <v>105</v>
      </c>
      <c r="B6" s="102"/>
      <c r="C6" s="102"/>
    </row>
    <row r="7" spans="1:3" ht="15.75">
      <c r="A7" s="101" t="s">
        <v>94</v>
      </c>
      <c r="B7" s="101"/>
      <c r="C7" s="101"/>
    </row>
    <row r="8" spans="1:3" ht="15.75">
      <c r="A8" s="98" t="s">
        <v>106</v>
      </c>
      <c r="B8" s="98"/>
      <c r="C8" s="40"/>
    </row>
    <row r="10" spans="1:3" ht="63">
      <c r="A10" s="14" t="s">
        <v>24</v>
      </c>
      <c r="B10" s="15" t="s">
        <v>25</v>
      </c>
      <c r="C10" s="16" t="s">
        <v>30</v>
      </c>
    </row>
    <row r="11" spans="1:3" ht="16.5" thickBot="1">
      <c r="A11" s="105" t="s">
        <v>26</v>
      </c>
      <c r="B11" s="106"/>
      <c r="C11" s="107"/>
    </row>
    <row r="12" spans="1:3" ht="15.75">
      <c r="A12" s="108" t="s">
        <v>31</v>
      </c>
      <c r="B12" s="17" t="s">
        <v>79</v>
      </c>
      <c r="C12" s="18">
        <f>9.714*1*6</f>
        <v>58.284000000000006</v>
      </c>
    </row>
    <row r="13" spans="1:3" ht="15.75">
      <c r="A13" s="109"/>
      <c r="B13" s="19" t="s">
        <v>76</v>
      </c>
      <c r="C13" s="18">
        <f>11.571*1*6</f>
        <v>69.426000000000002</v>
      </c>
    </row>
    <row r="14" spans="1:3" ht="15.75">
      <c r="A14" s="109"/>
      <c r="B14" s="19" t="s">
        <v>69</v>
      </c>
      <c r="C14" s="18">
        <f>9.714*0.1*6</f>
        <v>5.8284000000000002</v>
      </c>
    </row>
    <row r="15" spans="1:3" ht="15.75">
      <c r="A15" s="109"/>
      <c r="B15" s="19" t="s">
        <v>159</v>
      </c>
      <c r="C15" s="18">
        <f>15.4*0.1*6</f>
        <v>9.24</v>
      </c>
    </row>
    <row r="16" spans="1:3" ht="16.5" thickBot="1">
      <c r="A16" s="109"/>
      <c r="B16" s="20" t="s">
        <v>71</v>
      </c>
      <c r="C16" s="18">
        <f>18.607*0.1*6</f>
        <v>11.164200000000001</v>
      </c>
    </row>
    <row r="17" spans="1:6" ht="32.25" thickBot="1">
      <c r="A17" s="21" t="s">
        <v>32</v>
      </c>
      <c r="B17" s="22" t="s">
        <v>33</v>
      </c>
      <c r="C17" s="23">
        <f>(C12+C13+C14+C15+C16)*0.2359</f>
        <v>36.315059339999998</v>
      </c>
    </row>
    <row r="18" spans="1:6" ht="15.75">
      <c r="A18" s="111" t="s">
        <v>27</v>
      </c>
      <c r="B18" s="112"/>
      <c r="C18" s="24">
        <f>SUM(C12:C17)</f>
        <v>190.25765934</v>
      </c>
      <c r="F18" s="45">
        <f>C18+C21+C22</f>
        <v>264.04865504349601</v>
      </c>
    </row>
    <row r="19" spans="1:6" ht="16.5" thickBot="1">
      <c r="A19" s="113" t="s">
        <v>28</v>
      </c>
      <c r="B19" s="114"/>
      <c r="C19" s="115"/>
      <c r="F19" s="45">
        <f>C23+C24+C25+C26+C27+C28+C29+C30+C31+C32+C33</f>
        <v>54.448852560000006</v>
      </c>
    </row>
    <row r="20" spans="1:6" ht="15.75">
      <c r="A20" s="25"/>
      <c r="B20" s="26" t="s">
        <v>34</v>
      </c>
      <c r="C20" s="27">
        <v>9.8600000000000005E-6</v>
      </c>
      <c r="F20" s="45">
        <f>C34+C35</f>
        <v>42.800544359999996</v>
      </c>
    </row>
    <row r="21" spans="1:6" ht="16.5" thickBot="1">
      <c r="A21" s="28" t="s">
        <v>35</v>
      </c>
      <c r="B21" s="29" t="s">
        <v>36</v>
      </c>
      <c r="C21" s="30">
        <f>1009234*$C$20*6</f>
        <v>59.706283440000007</v>
      </c>
      <c r="E21" s="45"/>
    </row>
    <row r="22" spans="1:6" ht="32.25" thickBot="1">
      <c r="A22" s="31" t="s">
        <v>32</v>
      </c>
      <c r="B22" s="32" t="s">
        <v>33</v>
      </c>
      <c r="C22" s="30">
        <f>C21*0.2359</f>
        <v>14.084712263496002</v>
      </c>
    </row>
    <row r="23" spans="1:6" ht="32.25" thickBot="1">
      <c r="A23" s="31" t="s">
        <v>37</v>
      </c>
      <c r="B23" s="32" t="s">
        <v>38</v>
      </c>
      <c r="C23" s="30">
        <f>93709*$C$20*6</f>
        <v>5.5438244399999999</v>
      </c>
    </row>
    <row r="24" spans="1:6" ht="16.5" customHeight="1" thickBot="1">
      <c r="A24" s="31" t="s">
        <v>39</v>
      </c>
      <c r="B24" s="32" t="s">
        <v>40</v>
      </c>
      <c r="C24" s="30">
        <f>76039*$C$20*6</f>
        <v>4.4984672400000001</v>
      </c>
    </row>
    <row r="25" spans="1:6" ht="17.25" customHeight="1" thickBot="1">
      <c r="A25" s="31" t="s">
        <v>41</v>
      </c>
      <c r="B25" s="32" t="s">
        <v>42</v>
      </c>
      <c r="C25" s="30">
        <f>84854*$C$20*6</f>
        <v>5.0199626400000001</v>
      </c>
    </row>
    <row r="26" spans="1:6" ht="32.25" thickBot="1">
      <c r="A26" s="31" t="s">
        <v>45</v>
      </c>
      <c r="B26" s="32" t="s">
        <v>46</v>
      </c>
      <c r="C26" s="30">
        <f>170156*$C$20*6</f>
        <v>10.06642896</v>
      </c>
    </row>
    <row r="27" spans="1:6" ht="32.25" thickBot="1">
      <c r="A27" s="31" t="s">
        <v>47</v>
      </c>
      <c r="B27" s="32" t="s">
        <v>48</v>
      </c>
      <c r="C27" s="30">
        <f>377637*$C$20*6</f>
        <v>22.341004920000003</v>
      </c>
    </row>
    <row r="28" spans="1:6" ht="20.25" customHeight="1" thickBot="1">
      <c r="A28" s="31" t="s">
        <v>49</v>
      </c>
      <c r="B28" s="32" t="s">
        <v>50</v>
      </c>
      <c r="C28" s="30">
        <f>51508*$C$20*6</f>
        <v>3.0472132800000002</v>
      </c>
    </row>
    <row r="29" spans="1:6" ht="18.75" customHeight="1" thickBot="1">
      <c r="A29" s="31" t="s">
        <v>51</v>
      </c>
      <c r="B29" s="32" t="s">
        <v>52</v>
      </c>
      <c r="C29" s="30">
        <f>27437*$C$20*6</f>
        <v>1.62317292</v>
      </c>
    </row>
    <row r="30" spans="1:6" ht="21" customHeight="1" thickBot="1">
      <c r="A30" s="31" t="s">
        <v>53</v>
      </c>
      <c r="B30" s="32" t="s">
        <v>54</v>
      </c>
      <c r="C30" s="30">
        <f>1110*$C$20*6</f>
        <v>6.5667600000000007E-2</v>
      </c>
    </row>
    <row r="31" spans="1:6" ht="32.25" thickBot="1">
      <c r="A31" s="31" t="s">
        <v>55</v>
      </c>
      <c r="B31" s="32" t="s">
        <v>56</v>
      </c>
      <c r="C31" s="30">
        <f>13237*$C$20*6</f>
        <v>0.78310092000000009</v>
      </c>
    </row>
    <row r="32" spans="1:6" ht="32.25" thickBot="1">
      <c r="A32" s="31" t="s">
        <v>57</v>
      </c>
      <c r="B32" s="32" t="s">
        <v>58</v>
      </c>
      <c r="C32" s="30">
        <f>8480*$C$20*6</f>
        <v>0.50167680000000003</v>
      </c>
    </row>
    <row r="33" spans="1:3" ht="32.25" thickBot="1">
      <c r="A33" s="31" t="s">
        <v>59</v>
      </c>
      <c r="B33" s="32" t="s">
        <v>60</v>
      </c>
      <c r="C33" s="30">
        <f>16199*$C$20*6</f>
        <v>0.95833284000000007</v>
      </c>
    </row>
    <row r="34" spans="1:3" ht="16.5" customHeight="1" thickBot="1">
      <c r="A34" s="31" t="s">
        <v>61</v>
      </c>
      <c r="B34" s="32" t="s">
        <v>62</v>
      </c>
      <c r="C34" s="30">
        <f>106687*$C$20*6</f>
        <v>6.3116029200000003</v>
      </c>
    </row>
    <row r="35" spans="1:3" ht="32.25" thickBot="1">
      <c r="A35" s="31" t="s">
        <v>63</v>
      </c>
      <c r="B35" s="34" t="s">
        <v>64</v>
      </c>
      <c r="C35" s="30">
        <f>616784*$C$20*6</f>
        <v>36.488941439999998</v>
      </c>
    </row>
    <row r="36" spans="1:3" ht="15.75">
      <c r="A36" s="116" t="s">
        <v>29</v>
      </c>
      <c r="B36" s="117"/>
      <c r="C36" s="35">
        <f>SUM(C21:C35)</f>
        <v>171.04039262349599</v>
      </c>
    </row>
    <row r="37" spans="1:3" ht="15.75">
      <c r="A37" s="118" t="s">
        <v>65</v>
      </c>
      <c r="B37" s="119"/>
      <c r="C37" s="36">
        <f>C36+C18</f>
        <v>361.29805196349599</v>
      </c>
    </row>
    <row r="38" spans="1:3" ht="15.75">
      <c r="A38" s="1"/>
      <c r="B38" s="1"/>
      <c r="C38" s="37"/>
    </row>
    <row r="39" spans="1:3" ht="15.75">
      <c r="A39" s="103" t="s">
        <v>66</v>
      </c>
      <c r="B39" s="104"/>
      <c r="C39" s="38">
        <v>6</v>
      </c>
    </row>
    <row r="40" spans="1:3" ht="15.75">
      <c r="A40" s="103" t="s">
        <v>67</v>
      </c>
      <c r="B40" s="104"/>
      <c r="C40" s="39">
        <f>ROUND(C37/C39,2)</f>
        <v>60.22</v>
      </c>
    </row>
  </sheetData>
  <mergeCells count="14">
    <mergeCell ref="B1:C1"/>
    <mergeCell ref="A39:B39"/>
    <mergeCell ref="A40:B40"/>
    <mergeCell ref="A11:C11"/>
    <mergeCell ref="A12:A16"/>
    <mergeCell ref="A18:B18"/>
    <mergeCell ref="A19:C19"/>
    <mergeCell ref="A36:B36"/>
    <mergeCell ref="A37:B37"/>
    <mergeCell ref="A3:C3"/>
    <mergeCell ref="A5:C5"/>
    <mergeCell ref="A6:C6"/>
    <mergeCell ref="A7:C7"/>
    <mergeCell ref="A8:B8"/>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868F7-C851-4A86-B608-44693E31D6EB}">
  <sheetPr>
    <tabColor theme="6" tint="0.79998168889431442"/>
  </sheetPr>
  <dimension ref="A1:E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81" customHeight="1">
      <c r="B1" s="99" t="s">
        <v>308</v>
      </c>
      <c r="C1" s="99"/>
    </row>
    <row r="3" spans="1:3" ht="15.75">
      <c r="A3" s="100" t="s">
        <v>91</v>
      </c>
      <c r="B3" s="100"/>
      <c r="C3" s="100"/>
    </row>
    <row r="4" spans="1:3" ht="15.75">
      <c r="A4" s="40"/>
      <c r="B4" s="40"/>
      <c r="C4" s="40"/>
    </row>
    <row r="5" spans="1:3" ht="15.75">
      <c r="A5" s="101" t="s">
        <v>92</v>
      </c>
      <c r="B5" s="101"/>
      <c r="C5" s="101"/>
    </row>
    <row r="6" spans="1:3" ht="57" customHeight="1">
      <c r="A6" s="102" t="s">
        <v>107</v>
      </c>
      <c r="B6" s="102"/>
      <c r="C6" s="102"/>
    </row>
    <row r="7" spans="1:3" ht="15.75">
      <c r="A7" s="101" t="s">
        <v>94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75</v>
      </c>
      <c r="C12" s="18">
        <f>9.714*0.75*1</f>
        <v>7.2855000000000008</v>
      </c>
    </row>
    <row r="13" spans="1:3" ht="15.75">
      <c r="A13" s="109"/>
      <c r="B13" s="19" t="s">
        <v>73</v>
      </c>
      <c r="C13" s="18">
        <f>11.571*0.5*1</f>
        <v>5.7854999999999999</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5" ht="32.25" thickBot="1">
      <c r="A17" s="21" t="s">
        <v>32</v>
      </c>
      <c r="B17" s="22" t="s">
        <v>33</v>
      </c>
      <c r="C17" s="23">
        <f>(C12+C13+C14+C15+C16)*0.2359</f>
        <v>4.11482729</v>
      </c>
    </row>
    <row r="18" spans="1:5" ht="15.75">
      <c r="A18" s="111" t="s">
        <v>27</v>
      </c>
      <c r="B18" s="112"/>
      <c r="C18" s="24">
        <f>SUM(C12:C17)</f>
        <v>21.557927290000002</v>
      </c>
      <c r="E18" s="45">
        <f>C18+C21+C22</f>
        <v>29.927392827026004</v>
      </c>
    </row>
    <row r="19" spans="1:5" ht="16.5" thickBot="1">
      <c r="A19" s="113" t="s">
        <v>28</v>
      </c>
      <c r="B19" s="114"/>
      <c r="C19" s="115"/>
      <c r="E19" s="45">
        <f>C23+C24+C25+C26+C27+C28+C29+C30+C31+C32</f>
        <v>5.0339091000000016</v>
      </c>
    </row>
    <row r="20" spans="1:5" ht="15.75">
      <c r="A20" s="25"/>
      <c r="B20" s="26" t="s">
        <v>34</v>
      </c>
      <c r="C20" s="27">
        <v>6.7100000000000001E-6</v>
      </c>
      <c r="E20" s="45">
        <f>C33+C34</f>
        <v>4.8544904100000004</v>
      </c>
    </row>
    <row r="21" spans="1:5" ht="16.5" thickBot="1">
      <c r="A21" s="28" t="s">
        <v>35</v>
      </c>
      <c r="B21" s="29" t="s">
        <v>36</v>
      </c>
      <c r="C21" s="30">
        <f>1009234*$C$20*1</f>
        <v>6.77196014</v>
      </c>
    </row>
    <row r="22" spans="1:5" ht="32.25" thickBot="1">
      <c r="A22" s="31" t="s">
        <v>32</v>
      </c>
      <c r="B22" s="32" t="s">
        <v>33</v>
      </c>
      <c r="C22" s="30">
        <f>C21*0.2359</f>
        <v>1.597505397026</v>
      </c>
    </row>
    <row r="23" spans="1:5" ht="32.25" thickBot="1">
      <c r="A23" s="31" t="s">
        <v>37</v>
      </c>
      <c r="B23" s="32" t="s">
        <v>38</v>
      </c>
      <c r="C23" s="30">
        <f>93709*$C$20*1</f>
        <v>0.62878739000000006</v>
      </c>
    </row>
    <row r="24" spans="1:5" ht="21" customHeight="1" thickBot="1">
      <c r="A24" s="31" t="s">
        <v>39</v>
      </c>
      <c r="B24" s="32" t="s">
        <v>40</v>
      </c>
      <c r="C24" s="30">
        <f>76039*$C$20*1</f>
        <v>0.51022169000000006</v>
      </c>
    </row>
    <row r="25" spans="1:5" ht="18" customHeight="1" thickBot="1">
      <c r="A25" s="31" t="s">
        <v>41</v>
      </c>
      <c r="B25" s="32" t="s">
        <v>42</v>
      </c>
      <c r="C25" s="30">
        <f>84854*$C$20*1</f>
        <v>0.56937033999999997</v>
      </c>
    </row>
    <row r="26" spans="1:5" ht="32.25" thickBot="1">
      <c r="A26" s="31" t="s">
        <v>47</v>
      </c>
      <c r="B26" s="32" t="s">
        <v>48</v>
      </c>
      <c r="C26" s="30">
        <f>377637*$C$20*1</f>
        <v>2.5339442700000001</v>
      </c>
    </row>
    <row r="27" spans="1:5" ht="20.25" customHeight="1" thickBot="1">
      <c r="A27" s="31" t="s">
        <v>49</v>
      </c>
      <c r="B27" s="32" t="s">
        <v>50</v>
      </c>
      <c r="C27" s="30">
        <f>51508*$C$20*1</f>
        <v>0.34561868000000001</v>
      </c>
    </row>
    <row r="28" spans="1:5" ht="21" customHeight="1" thickBot="1">
      <c r="A28" s="31" t="s">
        <v>51</v>
      </c>
      <c r="B28" s="32" t="s">
        <v>52</v>
      </c>
      <c r="C28" s="30">
        <f>27437*$C$20*1</f>
        <v>0.18410227000000001</v>
      </c>
    </row>
    <row r="29" spans="1:5" ht="17.25" customHeight="1" thickBot="1">
      <c r="A29" s="31" t="s">
        <v>53</v>
      </c>
      <c r="B29" s="32" t="s">
        <v>54</v>
      </c>
      <c r="C29" s="30">
        <f>1110*$C$20*1</f>
        <v>7.4481E-3</v>
      </c>
    </row>
    <row r="30" spans="1:5" ht="32.25" thickBot="1">
      <c r="A30" s="31" t="s">
        <v>55</v>
      </c>
      <c r="B30" s="32" t="s">
        <v>56</v>
      </c>
      <c r="C30" s="30">
        <f>13237*$C$20*1</f>
        <v>8.8820270000000007E-2</v>
      </c>
    </row>
    <row r="31" spans="1:5" ht="32.25" thickBot="1">
      <c r="A31" s="31" t="s">
        <v>57</v>
      </c>
      <c r="B31" s="32" t="s">
        <v>58</v>
      </c>
      <c r="C31" s="30">
        <f>8480*$C$20*1</f>
        <v>5.6900800000000001E-2</v>
      </c>
    </row>
    <row r="32" spans="1:5" ht="32.25" thickBot="1">
      <c r="A32" s="31" t="s">
        <v>59</v>
      </c>
      <c r="B32" s="32" t="s">
        <v>60</v>
      </c>
      <c r="C32" s="30">
        <f>16199*$C$20*1</f>
        <v>0.10869529</v>
      </c>
    </row>
    <row r="33" spans="1:3" ht="19.5" customHeight="1" thickBot="1">
      <c r="A33" s="31" t="s">
        <v>61</v>
      </c>
      <c r="B33" s="32" t="s">
        <v>62</v>
      </c>
      <c r="C33" s="30">
        <f>106687*$C$20*1</f>
        <v>0.71586976999999996</v>
      </c>
    </row>
    <row r="34" spans="1:3" ht="32.25" thickBot="1">
      <c r="A34" s="31" t="s">
        <v>63</v>
      </c>
      <c r="B34" s="34" t="s">
        <v>64</v>
      </c>
      <c r="C34" s="30">
        <f>616784*$C$20*1</f>
        <v>4.1386206400000001</v>
      </c>
    </row>
    <row r="35" spans="1:3" ht="15.75">
      <c r="A35" s="116" t="s">
        <v>29</v>
      </c>
      <c r="B35" s="117"/>
      <c r="C35" s="35">
        <f>SUM(C21:C34)</f>
        <v>18.257865047025998</v>
      </c>
    </row>
    <row r="36" spans="1:3" ht="15.75">
      <c r="A36" s="118" t="s">
        <v>65</v>
      </c>
      <c r="B36" s="119"/>
      <c r="C36" s="36">
        <f>C35+C18</f>
        <v>39.815792337025997</v>
      </c>
    </row>
    <row r="37" spans="1:3" ht="15.75">
      <c r="A37" s="1"/>
      <c r="B37" s="1"/>
      <c r="C37" s="37"/>
    </row>
    <row r="38" spans="1:3" ht="15.75">
      <c r="A38" s="103" t="s">
        <v>66</v>
      </c>
      <c r="B38" s="104"/>
      <c r="C38" s="38">
        <v>1</v>
      </c>
    </row>
    <row r="39" spans="1:3" ht="15.75">
      <c r="A39" s="103" t="s">
        <v>67</v>
      </c>
      <c r="B39" s="104"/>
      <c r="C39" s="39">
        <f>ROUND(C36/C38,2)</f>
        <v>39.82</v>
      </c>
    </row>
  </sheetData>
  <mergeCells count="14">
    <mergeCell ref="B1:C1"/>
    <mergeCell ref="A38:B38"/>
    <mergeCell ref="A39:B39"/>
    <mergeCell ref="A11:C11"/>
    <mergeCell ref="A12:A16"/>
    <mergeCell ref="A18:B18"/>
    <mergeCell ref="A19:C19"/>
    <mergeCell ref="A35:B35"/>
    <mergeCell ref="A36:B36"/>
    <mergeCell ref="A3:C3"/>
    <mergeCell ref="A5:C5"/>
    <mergeCell ref="A6:C6"/>
    <mergeCell ref="A7:C7"/>
    <mergeCell ref="A8:B8"/>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9E422-6001-423F-B255-F04D3A581326}">
  <sheetPr>
    <tabColor theme="6" tint="0.79998168889431442"/>
  </sheetPr>
  <dimension ref="A1:F39"/>
  <sheetViews>
    <sheetView zoomScaleNormal="100" workbookViewId="0">
      <selection activeCell="J6" sqref="J6"/>
    </sheetView>
  </sheetViews>
  <sheetFormatPr defaultRowHeight="12.75"/>
  <cols>
    <col min="1" max="1" width="10.7109375" customWidth="1"/>
    <col min="2" max="2" width="98.85546875" customWidth="1"/>
    <col min="3" max="3" width="25.5703125" customWidth="1"/>
  </cols>
  <sheetData>
    <row r="1" spans="1:3" ht="76.5" customHeight="1">
      <c r="B1" s="99" t="s">
        <v>308</v>
      </c>
      <c r="C1" s="99"/>
    </row>
    <row r="3" spans="1:3" ht="15.75">
      <c r="A3" s="100" t="s">
        <v>91</v>
      </c>
      <c r="B3" s="100"/>
      <c r="C3" s="100"/>
    </row>
    <row r="4" spans="1:3" ht="15.75">
      <c r="A4" s="40"/>
      <c r="B4" s="40"/>
      <c r="C4" s="40"/>
    </row>
    <row r="5" spans="1:3" ht="15.75">
      <c r="A5" s="101" t="s">
        <v>92</v>
      </c>
      <c r="B5" s="101"/>
      <c r="C5" s="101"/>
    </row>
    <row r="6" spans="1:3" ht="56.25" customHeight="1">
      <c r="A6" s="102" t="s">
        <v>108</v>
      </c>
      <c r="B6" s="102"/>
      <c r="C6" s="102"/>
    </row>
    <row r="7" spans="1:3" ht="15.75">
      <c r="A7" s="101" t="s">
        <v>94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8" customHeight="1">
      <c r="A12" s="108" t="s">
        <v>31</v>
      </c>
      <c r="B12" s="17" t="s">
        <v>75</v>
      </c>
      <c r="C12" s="18">
        <f>9.714*0.75*1</f>
        <v>7.2855000000000008</v>
      </c>
    </row>
    <row r="13" spans="1:3" ht="15.75">
      <c r="A13" s="109"/>
      <c r="B13" s="19" t="s">
        <v>73</v>
      </c>
      <c r="C13" s="18">
        <f>11.571*0.5*1</f>
        <v>5.7854999999999999</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6" ht="32.25" thickBot="1">
      <c r="A17" s="21" t="s">
        <v>32</v>
      </c>
      <c r="B17" s="22" t="s">
        <v>33</v>
      </c>
      <c r="C17" s="23">
        <f>(C12+C13+C14+C15+C16)*0.2359</f>
        <v>4.11482729</v>
      </c>
    </row>
    <row r="18" spans="1:6" ht="15.75">
      <c r="A18" s="111" t="s">
        <v>27</v>
      </c>
      <c r="B18" s="112"/>
      <c r="C18" s="24">
        <f>SUM(C12:C17)</f>
        <v>21.557927290000002</v>
      </c>
      <c r="F18" s="45">
        <f>C18+C21+C22</f>
        <v>29.927392827026004</v>
      </c>
    </row>
    <row r="19" spans="1:6" ht="16.5" thickBot="1">
      <c r="A19" s="113" t="s">
        <v>28</v>
      </c>
      <c r="B19" s="114"/>
      <c r="C19" s="115"/>
      <c r="F19" s="45">
        <f>C23+C24+C25+C26+C27+C28+C29+C30+C31+C32</f>
        <v>5.0339091000000016</v>
      </c>
    </row>
    <row r="20" spans="1:6" ht="15.75">
      <c r="A20" s="25"/>
      <c r="B20" s="26" t="s">
        <v>34</v>
      </c>
      <c r="C20" s="27">
        <v>6.7100000000000001E-6</v>
      </c>
      <c r="F20" s="45">
        <f>C33+C34</f>
        <v>4.8544904100000004</v>
      </c>
    </row>
    <row r="21" spans="1:6" ht="16.5" thickBot="1">
      <c r="A21" s="28" t="s">
        <v>35</v>
      </c>
      <c r="B21" s="29" t="s">
        <v>36</v>
      </c>
      <c r="C21" s="30">
        <f>1009234*$C$20*1</f>
        <v>6.77196014</v>
      </c>
    </row>
    <row r="22" spans="1:6" ht="32.25" thickBot="1">
      <c r="A22" s="31" t="s">
        <v>32</v>
      </c>
      <c r="B22" s="32" t="s">
        <v>33</v>
      </c>
      <c r="C22" s="30">
        <f>C21*0.2359</f>
        <v>1.597505397026</v>
      </c>
    </row>
    <row r="23" spans="1:6" ht="32.25" thickBot="1">
      <c r="A23" s="31" t="s">
        <v>37</v>
      </c>
      <c r="B23" s="32" t="s">
        <v>38</v>
      </c>
      <c r="C23" s="30">
        <f>93709*$C$20*1</f>
        <v>0.62878739000000006</v>
      </c>
    </row>
    <row r="24" spans="1:6" ht="22.5" customHeight="1" thickBot="1">
      <c r="A24" s="31" t="s">
        <v>39</v>
      </c>
      <c r="B24" s="32" t="s">
        <v>40</v>
      </c>
      <c r="C24" s="30">
        <f>76039*$C$20*1</f>
        <v>0.51022169000000006</v>
      </c>
    </row>
    <row r="25" spans="1:6" ht="17.25" customHeight="1" thickBot="1">
      <c r="A25" s="31" t="s">
        <v>41</v>
      </c>
      <c r="B25" s="32" t="s">
        <v>42</v>
      </c>
      <c r="C25" s="30">
        <f>84854*$C$20*1</f>
        <v>0.56937033999999997</v>
      </c>
    </row>
    <row r="26" spans="1:6" ht="32.25" thickBot="1">
      <c r="A26" s="31" t="s">
        <v>47</v>
      </c>
      <c r="B26" s="32" t="s">
        <v>48</v>
      </c>
      <c r="C26" s="30">
        <f>377637*$C$20*1</f>
        <v>2.5339442700000001</v>
      </c>
    </row>
    <row r="27" spans="1:6" ht="19.5" customHeight="1" thickBot="1">
      <c r="A27" s="31" t="s">
        <v>49</v>
      </c>
      <c r="B27" s="32" t="s">
        <v>50</v>
      </c>
      <c r="C27" s="30">
        <f>51508*$C$20*1</f>
        <v>0.34561868000000001</v>
      </c>
    </row>
    <row r="28" spans="1:6" ht="21" customHeight="1" thickBot="1">
      <c r="A28" s="31" t="s">
        <v>51</v>
      </c>
      <c r="B28" s="32" t="s">
        <v>52</v>
      </c>
      <c r="C28" s="30">
        <f>27437*$C$20*1</f>
        <v>0.18410227000000001</v>
      </c>
    </row>
    <row r="29" spans="1:6" ht="21.75" customHeight="1" thickBot="1">
      <c r="A29" s="31" t="s">
        <v>53</v>
      </c>
      <c r="B29" s="32" t="s">
        <v>54</v>
      </c>
      <c r="C29" s="30">
        <f>1110*$C$20*1</f>
        <v>7.4481E-3</v>
      </c>
    </row>
    <row r="30" spans="1:6" ht="32.25" thickBot="1">
      <c r="A30" s="31" t="s">
        <v>55</v>
      </c>
      <c r="B30" s="32" t="s">
        <v>56</v>
      </c>
      <c r="C30" s="30">
        <f>13237*$C$20*1</f>
        <v>8.8820270000000007E-2</v>
      </c>
    </row>
    <row r="31" spans="1:6" ht="32.25" thickBot="1">
      <c r="A31" s="31" t="s">
        <v>57</v>
      </c>
      <c r="B31" s="32" t="s">
        <v>58</v>
      </c>
      <c r="C31" s="30">
        <f>8480*$C$20*1</f>
        <v>5.6900800000000001E-2</v>
      </c>
    </row>
    <row r="32" spans="1:6" ht="32.25" thickBot="1">
      <c r="A32" s="31" t="s">
        <v>59</v>
      </c>
      <c r="B32" s="32" t="s">
        <v>60</v>
      </c>
      <c r="C32" s="30">
        <f>16199*$C$20*1</f>
        <v>0.10869529</v>
      </c>
    </row>
    <row r="33" spans="1:3" ht="20.25" customHeight="1" thickBot="1">
      <c r="A33" s="31" t="s">
        <v>61</v>
      </c>
      <c r="B33" s="32" t="s">
        <v>62</v>
      </c>
      <c r="C33" s="30">
        <f>106687*$C$20*1</f>
        <v>0.71586976999999996</v>
      </c>
    </row>
    <row r="34" spans="1:3" ht="32.25" thickBot="1">
      <c r="A34" s="31" t="s">
        <v>63</v>
      </c>
      <c r="B34" s="34" t="s">
        <v>64</v>
      </c>
      <c r="C34" s="30">
        <f>616784*$C$20*1</f>
        <v>4.1386206400000001</v>
      </c>
    </row>
    <row r="35" spans="1:3" ht="15.75">
      <c r="A35" s="116" t="s">
        <v>29</v>
      </c>
      <c r="B35" s="117"/>
      <c r="C35" s="35">
        <f>SUM(C21:C34)</f>
        <v>18.257865047025998</v>
      </c>
    </row>
    <row r="36" spans="1:3" ht="15.75" customHeight="1">
      <c r="A36" s="118" t="s">
        <v>65</v>
      </c>
      <c r="B36" s="119"/>
      <c r="C36" s="36">
        <f>C35+C18</f>
        <v>39.815792337025997</v>
      </c>
    </row>
    <row r="37" spans="1:3" ht="15.75">
      <c r="A37" s="1"/>
      <c r="B37" s="1"/>
      <c r="C37" s="37"/>
    </row>
    <row r="38" spans="1:3" ht="15.75" customHeight="1">
      <c r="A38" s="103" t="s">
        <v>66</v>
      </c>
      <c r="B38" s="104"/>
      <c r="C38" s="38">
        <v>1</v>
      </c>
    </row>
    <row r="39" spans="1:3" ht="15.75" customHeight="1">
      <c r="A39" s="103" t="s">
        <v>67</v>
      </c>
      <c r="B39" s="104"/>
      <c r="C39" s="39">
        <f>ROUND(C36/C38,2)</f>
        <v>39.82</v>
      </c>
    </row>
  </sheetData>
  <mergeCells count="14">
    <mergeCell ref="B1:C1"/>
    <mergeCell ref="A38:B38"/>
    <mergeCell ref="A39:B39"/>
    <mergeCell ref="A11:C11"/>
    <mergeCell ref="A12:A16"/>
    <mergeCell ref="A18:B18"/>
    <mergeCell ref="A19:C19"/>
    <mergeCell ref="A35:B35"/>
    <mergeCell ref="A36:B36"/>
    <mergeCell ref="A3:C3"/>
    <mergeCell ref="A5:C5"/>
    <mergeCell ref="A6:C6"/>
    <mergeCell ref="A7:C7"/>
    <mergeCell ref="A8:B8"/>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1EF27-45FF-4B79-B55F-FE9012314914}">
  <sheetPr>
    <tabColor theme="6" tint="0.79998168889431442"/>
  </sheetPr>
  <dimension ref="A1:F41"/>
  <sheetViews>
    <sheetView zoomScaleNormal="100" workbookViewId="0">
      <selection activeCell="G6" sqref="G6"/>
    </sheetView>
  </sheetViews>
  <sheetFormatPr defaultRowHeight="12.75"/>
  <cols>
    <col min="1" max="1" width="10.7109375" customWidth="1"/>
    <col min="2" max="2" width="98.85546875" customWidth="1"/>
    <col min="3" max="3" width="25.5703125" customWidth="1"/>
  </cols>
  <sheetData>
    <row r="1" spans="1:3" ht="77.25" customHeight="1">
      <c r="B1" s="99" t="s">
        <v>308</v>
      </c>
      <c r="C1" s="99"/>
    </row>
    <row r="3" spans="1:3" ht="15.75">
      <c r="A3" s="100" t="s">
        <v>91</v>
      </c>
      <c r="B3" s="100"/>
      <c r="C3" s="100"/>
    </row>
    <row r="4" spans="1:3" ht="15.75">
      <c r="A4" s="40"/>
      <c r="B4" s="40"/>
      <c r="C4" s="40"/>
    </row>
    <row r="5" spans="1:3" ht="15.75">
      <c r="A5" s="101" t="s">
        <v>92</v>
      </c>
      <c r="B5" s="101"/>
      <c r="C5" s="101"/>
    </row>
    <row r="6" spans="1:3" ht="51.75" customHeight="1">
      <c r="A6" s="102" t="s">
        <v>109</v>
      </c>
      <c r="B6" s="102"/>
      <c r="C6" s="102"/>
    </row>
    <row r="7" spans="1:3" ht="15.75">
      <c r="A7" s="101" t="s">
        <v>94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68</v>
      </c>
      <c r="C12" s="18">
        <f>9.714*0.5*1</f>
        <v>4.8570000000000002</v>
      </c>
    </row>
    <row r="13" spans="1:3" ht="15.75">
      <c r="A13" s="109"/>
      <c r="B13" s="19" t="s">
        <v>76</v>
      </c>
      <c r="C13" s="18">
        <f>11.571*1*1</f>
        <v>11.571</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6" ht="32.25" thickBot="1">
      <c r="A17" s="21" t="s">
        <v>32</v>
      </c>
      <c r="B17" s="22" t="s">
        <v>33</v>
      </c>
      <c r="C17" s="23">
        <f>(C12+C13+C14+C15+C16)*0.2359</f>
        <v>4.9067435900000005</v>
      </c>
    </row>
    <row r="18" spans="1:6" ht="15.75">
      <c r="A18" s="111" t="s">
        <v>27</v>
      </c>
      <c r="B18" s="112"/>
      <c r="C18" s="24">
        <f>SUM(C12:C17)</f>
        <v>25.706843590000002</v>
      </c>
      <c r="F18" s="45">
        <f>C18+C21+C22</f>
        <v>35.685341994799998</v>
      </c>
    </row>
    <row r="19" spans="1:6" ht="16.5" thickBot="1">
      <c r="A19" s="113" t="s">
        <v>28</v>
      </c>
      <c r="B19" s="114"/>
      <c r="C19" s="115"/>
      <c r="F19" s="45">
        <f>C23+C24+C25+C26+C27+C28+C29+C30+C31+C32+C33+C34</f>
        <v>8.3850560000000005</v>
      </c>
    </row>
    <row r="20" spans="1:6" ht="15.75">
      <c r="A20" s="25"/>
      <c r="B20" s="26" t="s">
        <v>34</v>
      </c>
      <c r="C20" s="27">
        <v>7.9999999999999996E-6</v>
      </c>
      <c r="F20" s="45">
        <f>C35+C36</f>
        <v>5.7877679999999998</v>
      </c>
    </row>
    <row r="21" spans="1:6" ht="16.5" thickBot="1">
      <c r="A21" s="28" t="s">
        <v>35</v>
      </c>
      <c r="B21" s="29" t="s">
        <v>36</v>
      </c>
      <c r="C21" s="30">
        <f>1009234*$C$20*1</f>
        <v>8.0738719999999997</v>
      </c>
    </row>
    <row r="22" spans="1:6" ht="32.25" thickBot="1">
      <c r="A22" s="31" t="s">
        <v>32</v>
      </c>
      <c r="B22" s="32" t="s">
        <v>33</v>
      </c>
      <c r="C22" s="30">
        <f>C21*0.2359</f>
        <v>1.9046264047999999</v>
      </c>
    </row>
    <row r="23" spans="1:6" ht="32.25" thickBot="1">
      <c r="A23" s="31" t="s">
        <v>37</v>
      </c>
      <c r="B23" s="32" t="s">
        <v>38</v>
      </c>
      <c r="C23" s="30">
        <f>93709*$C$20*1</f>
        <v>0.74967200000000001</v>
      </c>
    </row>
    <row r="24" spans="1:6" ht="20.25" customHeight="1" thickBot="1">
      <c r="A24" s="31" t="s">
        <v>39</v>
      </c>
      <c r="B24" s="32" t="s">
        <v>40</v>
      </c>
      <c r="C24" s="30">
        <f>76039*$C$20*1</f>
        <v>0.60831199999999996</v>
      </c>
    </row>
    <row r="25" spans="1:6" ht="18" customHeight="1" thickBot="1">
      <c r="A25" s="31" t="s">
        <v>41</v>
      </c>
      <c r="B25" s="32" t="s">
        <v>42</v>
      </c>
      <c r="C25" s="30">
        <f>84854*$C$20*1</f>
        <v>0.67883199999999999</v>
      </c>
    </row>
    <row r="26" spans="1:6" ht="16.5" thickBot="1">
      <c r="A26" s="31" t="s">
        <v>43</v>
      </c>
      <c r="B26" s="32" t="s">
        <v>44</v>
      </c>
      <c r="C26" s="30">
        <f>127766*$C$20*1</f>
        <v>1.0221279999999999</v>
      </c>
    </row>
    <row r="27" spans="1:6" ht="32.25" thickBot="1">
      <c r="A27" s="31" t="s">
        <v>45</v>
      </c>
      <c r="B27" s="32" t="s">
        <v>46</v>
      </c>
      <c r="C27" s="30">
        <f>170156*$C$20*1</f>
        <v>1.361248</v>
      </c>
    </row>
    <row r="28" spans="1:6" ht="32.25" thickBot="1">
      <c r="A28" s="31" t="s">
        <v>47</v>
      </c>
      <c r="B28" s="32" t="s">
        <v>48</v>
      </c>
      <c r="C28" s="30">
        <f>377637*$C$20*1</f>
        <v>3.021096</v>
      </c>
    </row>
    <row r="29" spans="1:6" ht="19.5" customHeight="1" thickBot="1">
      <c r="A29" s="31" t="s">
        <v>49</v>
      </c>
      <c r="B29" s="32" t="s">
        <v>50</v>
      </c>
      <c r="C29" s="30">
        <f>51508*$C$20*1</f>
        <v>0.41206399999999999</v>
      </c>
    </row>
    <row r="30" spans="1:6" ht="18.75" customHeight="1" thickBot="1">
      <c r="A30" s="31" t="s">
        <v>51</v>
      </c>
      <c r="B30" s="32" t="s">
        <v>52</v>
      </c>
      <c r="C30" s="30">
        <f>27437*$C$20*1</f>
        <v>0.219496</v>
      </c>
    </row>
    <row r="31" spans="1:6" ht="18" customHeight="1" thickBot="1">
      <c r="A31" s="31" t="s">
        <v>53</v>
      </c>
      <c r="B31" s="32" t="s">
        <v>54</v>
      </c>
      <c r="C31" s="30">
        <f>1110*$C$20*1</f>
        <v>8.879999999999999E-3</v>
      </c>
    </row>
    <row r="32" spans="1:6" ht="32.25" thickBot="1">
      <c r="A32" s="31" t="s">
        <v>55</v>
      </c>
      <c r="B32" s="32" t="s">
        <v>56</v>
      </c>
      <c r="C32" s="30">
        <f>13237*$C$20*1</f>
        <v>0.10589599999999999</v>
      </c>
    </row>
    <row r="33" spans="1:3" ht="32.25" thickBot="1">
      <c r="A33" s="31" t="s">
        <v>57</v>
      </c>
      <c r="B33" s="32" t="s">
        <v>58</v>
      </c>
      <c r="C33" s="30">
        <f>8480*$C$20*1</f>
        <v>6.7839999999999998E-2</v>
      </c>
    </row>
    <row r="34" spans="1:3" ht="32.25" thickBot="1">
      <c r="A34" s="31" t="s">
        <v>59</v>
      </c>
      <c r="B34" s="32" t="s">
        <v>60</v>
      </c>
      <c r="C34" s="30">
        <f>16199*$C$20*1</f>
        <v>0.12959199999999998</v>
      </c>
    </row>
    <row r="35" spans="1:3" ht="19.5" customHeight="1" thickBot="1">
      <c r="A35" s="31" t="s">
        <v>61</v>
      </c>
      <c r="B35" s="32" t="s">
        <v>62</v>
      </c>
      <c r="C35" s="30">
        <f>106687*$C$20*1</f>
        <v>0.85349599999999992</v>
      </c>
    </row>
    <row r="36" spans="1:3" ht="32.25" thickBot="1">
      <c r="A36" s="31" t="s">
        <v>63</v>
      </c>
      <c r="B36" s="34" t="s">
        <v>64</v>
      </c>
      <c r="C36" s="30">
        <f>616784*$C$20*1</f>
        <v>4.934272</v>
      </c>
    </row>
    <row r="37" spans="1:3" ht="15.75">
      <c r="A37" s="116" t="s">
        <v>29</v>
      </c>
      <c r="B37" s="117"/>
      <c r="C37" s="35">
        <f>SUM(C21:C36)</f>
        <v>24.151322404800002</v>
      </c>
    </row>
    <row r="38" spans="1:3" ht="15.75">
      <c r="A38" s="118" t="s">
        <v>65</v>
      </c>
      <c r="B38" s="119"/>
      <c r="C38" s="36">
        <f>C37+C18</f>
        <v>49.858165994800004</v>
      </c>
    </row>
    <row r="39" spans="1:3" ht="15.75">
      <c r="A39" s="1"/>
      <c r="B39" s="1"/>
      <c r="C39" s="37"/>
    </row>
    <row r="40" spans="1:3" ht="15.75">
      <c r="A40" s="103" t="s">
        <v>66</v>
      </c>
      <c r="B40" s="104"/>
      <c r="C40" s="38">
        <v>1</v>
      </c>
    </row>
    <row r="41" spans="1:3" ht="15.75">
      <c r="A41" s="103" t="s">
        <v>67</v>
      </c>
      <c r="B41" s="104"/>
      <c r="C41" s="39">
        <f>ROUND(C38/C40,2)</f>
        <v>49.86</v>
      </c>
    </row>
  </sheetData>
  <mergeCells count="14">
    <mergeCell ref="B1:C1"/>
    <mergeCell ref="A40:B40"/>
    <mergeCell ref="A41:B41"/>
    <mergeCell ref="A11:C11"/>
    <mergeCell ref="A12:A16"/>
    <mergeCell ref="A18:B18"/>
    <mergeCell ref="A19:C19"/>
    <mergeCell ref="A37:B37"/>
    <mergeCell ref="A38:B38"/>
    <mergeCell ref="A3:C3"/>
    <mergeCell ref="A5:C5"/>
    <mergeCell ref="A6:C6"/>
    <mergeCell ref="A7:C7"/>
    <mergeCell ref="A8:B8"/>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E505D-1B6D-40A2-BB70-9EDD022FF6EE}">
  <sheetPr>
    <tabColor theme="6" tint="0.79998168889431442"/>
  </sheetPr>
  <dimension ref="A1:F41"/>
  <sheetViews>
    <sheetView zoomScaleNormal="100" workbookViewId="0">
      <selection activeCell="G6" sqref="G6"/>
    </sheetView>
  </sheetViews>
  <sheetFormatPr defaultRowHeight="12.75"/>
  <cols>
    <col min="1" max="1" width="10.7109375" customWidth="1"/>
    <col min="2" max="2" width="98.85546875" customWidth="1"/>
    <col min="3" max="3" width="25.5703125" customWidth="1"/>
  </cols>
  <sheetData>
    <row r="1" spans="1:3" ht="79.5" customHeight="1">
      <c r="B1" s="99" t="s">
        <v>308</v>
      </c>
      <c r="C1" s="99"/>
    </row>
    <row r="3" spans="1:3" ht="15.75">
      <c r="A3" s="100" t="s">
        <v>91</v>
      </c>
      <c r="B3" s="100"/>
      <c r="C3" s="100"/>
    </row>
    <row r="4" spans="1:3" ht="15.75">
      <c r="A4" s="40"/>
      <c r="B4" s="40"/>
      <c r="C4" s="40"/>
    </row>
    <row r="5" spans="1:3" ht="15.75">
      <c r="A5" s="101" t="s">
        <v>92</v>
      </c>
      <c r="B5" s="101"/>
      <c r="C5" s="101"/>
    </row>
    <row r="6" spans="1:3" ht="78" customHeight="1">
      <c r="A6" s="102" t="s">
        <v>112</v>
      </c>
      <c r="B6" s="102"/>
      <c r="C6" s="102"/>
    </row>
    <row r="7" spans="1:3" ht="15.75">
      <c r="A7" s="101" t="s">
        <v>94</v>
      </c>
      <c r="B7" s="101"/>
      <c r="C7" s="101"/>
    </row>
    <row r="8" spans="1:3" ht="15.75">
      <c r="A8" s="98" t="s">
        <v>110</v>
      </c>
      <c r="B8" s="98"/>
      <c r="C8" s="40"/>
    </row>
    <row r="10" spans="1:3" ht="63">
      <c r="A10" s="14" t="s">
        <v>24</v>
      </c>
      <c r="B10" s="15" t="s">
        <v>25</v>
      </c>
      <c r="C10" s="16" t="s">
        <v>30</v>
      </c>
    </row>
    <row r="11" spans="1:3" ht="16.5" thickBot="1">
      <c r="A11" s="105" t="s">
        <v>26</v>
      </c>
      <c r="B11" s="106"/>
      <c r="C11" s="107"/>
    </row>
    <row r="12" spans="1:3" ht="15.75">
      <c r="A12" s="108" t="s">
        <v>31</v>
      </c>
      <c r="B12" s="17" t="s">
        <v>72</v>
      </c>
      <c r="C12" s="18">
        <f>9.714*0.25*8</f>
        <v>19.428000000000001</v>
      </c>
    </row>
    <row r="13" spans="1:3" ht="15.75">
      <c r="A13" s="109"/>
      <c r="B13" s="19" t="s">
        <v>73</v>
      </c>
      <c r="C13" s="18">
        <f>11.571*0.5*8</f>
        <v>46.283999999999999</v>
      </c>
    </row>
    <row r="14" spans="1:3" ht="15.75">
      <c r="A14" s="109"/>
      <c r="B14" s="19" t="s">
        <v>69</v>
      </c>
      <c r="C14" s="18">
        <f>9.714*0.1*8</f>
        <v>7.7712000000000003</v>
      </c>
    </row>
    <row r="15" spans="1:3" ht="15.75">
      <c r="A15" s="109"/>
      <c r="B15" s="19" t="s">
        <v>159</v>
      </c>
      <c r="C15" s="18">
        <f>15.4*0.1*8</f>
        <v>12.32</v>
      </c>
    </row>
    <row r="16" spans="1:3" ht="16.5" thickBot="1">
      <c r="A16" s="109"/>
      <c r="B16" s="20" t="s">
        <v>71</v>
      </c>
      <c r="C16" s="18">
        <f>18.607*0.1*8</f>
        <v>14.8856</v>
      </c>
    </row>
    <row r="17" spans="1:6" ht="32.25" thickBot="1">
      <c r="A17" s="21" t="s">
        <v>32</v>
      </c>
      <c r="B17" s="22" t="s">
        <v>33</v>
      </c>
      <c r="C17" s="23">
        <f>(C12+C13+C14+C15+C16)*0.2359</f>
        <v>23.75248792</v>
      </c>
    </row>
    <row r="18" spans="1:6" ht="15.75">
      <c r="A18" s="111" t="s">
        <v>27</v>
      </c>
      <c r="B18" s="112"/>
      <c r="C18" s="24">
        <f>SUM(C12:C17)</f>
        <v>124.44128792000001</v>
      </c>
      <c r="F18" s="45">
        <f>C18+C21+C22</f>
        <v>172.73722019923201</v>
      </c>
    </row>
    <row r="19" spans="1:6" ht="16.5" thickBot="1">
      <c r="A19" s="113" t="s">
        <v>28</v>
      </c>
      <c r="B19" s="114"/>
      <c r="C19" s="115"/>
      <c r="F19" s="45">
        <f>C23+C24+C25+C26+C27+C28+C29+C30+C31+C32+C33+C34</f>
        <v>40.583671039999999</v>
      </c>
    </row>
    <row r="20" spans="1:6" ht="15.75">
      <c r="A20" s="25"/>
      <c r="B20" s="26" t="s">
        <v>34</v>
      </c>
      <c r="C20" s="27">
        <v>4.8400000000000002E-6</v>
      </c>
      <c r="F20" s="45">
        <f>C35+C36</f>
        <v>28.012797120000002</v>
      </c>
    </row>
    <row r="21" spans="1:6" ht="16.5" thickBot="1">
      <c r="A21" s="28" t="s">
        <v>35</v>
      </c>
      <c r="B21" s="29" t="s">
        <v>36</v>
      </c>
      <c r="C21" s="30">
        <f>1009234*$C$20*8</f>
        <v>39.077540480000003</v>
      </c>
    </row>
    <row r="22" spans="1:6" ht="32.25" thickBot="1">
      <c r="A22" s="31" t="s">
        <v>32</v>
      </c>
      <c r="B22" s="32" t="s">
        <v>33</v>
      </c>
      <c r="C22" s="30">
        <f>C21*0.2359</f>
        <v>9.2183917992320001</v>
      </c>
    </row>
    <row r="23" spans="1:6" ht="32.25" thickBot="1">
      <c r="A23" s="31" t="s">
        <v>37</v>
      </c>
      <c r="B23" s="32" t="s">
        <v>38</v>
      </c>
      <c r="C23" s="30">
        <f>93709*$C$20*8</f>
        <v>3.6284124800000002</v>
      </c>
    </row>
    <row r="24" spans="1:6" ht="18" customHeight="1" thickBot="1">
      <c r="A24" s="31" t="s">
        <v>39</v>
      </c>
      <c r="B24" s="32" t="s">
        <v>40</v>
      </c>
      <c r="C24" s="30">
        <f>76039*$C$20*8</f>
        <v>2.9442300800000001</v>
      </c>
    </row>
    <row r="25" spans="1:6" ht="21" customHeight="1" thickBot="1">
      <c r="A25" s="31" t="s">
        <v>41</v>
      </c>
      <c r="B25" s="32" t="s">
        <v>42</v>
      </c>
      <c r="C25" s="30">
        <f>84854*$C$20*8</f>
        <v>3.2855468800000001</v>
      </c>
    </row>
    <row r="26" spans="1:6" ht="16.5" thickBot="1">
      <c r="A26" s="31" t="s">
        <v>43</v>
      </c>
      <c r="B26" s="32" t="s">
        <v>44</v>
      </c>
      <c r="C26" s="30">
        <f>127766*$C$20*8</f>
        <v>4.9470995200000001</v>
      </c>
    </row>
    <row r="27" spans="1:6" ht="32.25" thickBot="1">
      <c r="A27" s="31" t="s">
        <v>45</v>
      </c>
      <c r="B27" s="32" t="s">
        <v>46</v>
      </c>
      <c r="C27" s="30">
        <f>170156*$C$20*8</f>
        <v>6.5884403200000001</v>
      </c>
    </row>
    <row r="28" spans="1:6" ht="32.25" thickBot="1">
      <c r="A28" s="31" t="s">
        <v>47</v>
      </c>
      <c r="B28" s="32" t="s">
        <v>48</v>
      </c>
      <c r="C28" s="30">
        <f>377637*$C$20*8</f>
        <v>14.62210464</v>
      </c>
    </row>
    <row r="29" spans="1:6" ht="18.75" customHeight="1" thickBot="1">
      <c r="A29" s="31" t="s">
        <v>49</v>
      </c>
      <c r="B29" s="32" t="s">
        <v>50</v>
      </c>
      <c r="C29" s="30">
        <f>51508*$C$20*8</f>
        <v>1.99438976</v>
      </c>
    </row>
    <row r="30" spans="1:6" ht="20.25" customHeight="1" thickBot="1">
      <c r="A30" s="31" t="s">
        <v>51</v>
      </c>
      <c r="B30" s="32" t="s">
        <v>52</v>
      </c>
      <c r="C30" s="30">
        <f>27437*$C$20*8</f>
        <v>1.0623606400000001</v>
      </c>
    </row>
    <row r="31" spans="1:6" ht="21.75" customHeight="1" thickBot="1">
      <c r="A31" s="31" t="s">
        <v>53</v>
      </c>
      <c r="B31" s="32" t="s">
        <v>54</v>
      </c>
      <c r="C31" s="30">
        <f>1110*$C$20*8</f>
        <v>4.2979200000000002E-2</v>
      </c>
    </row>
    <row r="32" spans="1:6" ht="32.25" thickBot="1">
      <c r="A32" s="31" t="s">
        <v>55</v>
      </c>
      <c r="B32" s="32" t="s">
        <v>56</v>
      </c>
      <c r="C32" s="30">
        <f>13237*$C$20*8</f>
        <v>0.51253663999999999</v>
      </c>
    </row>
    <row r="33" spans="1:3" ht="32.25" thickBot="1">
      <c r="A33" s="31" t="s">
        <v>57</v>
      </c>
      <c r="B33" s="32" t="s">
        <v>58</v>
      </c>
      <c r="C33" s="30">
        <f>8480*$C$20*8</f>
        <v>0.32834560000000002</v>
      </c>
    </row>
    <row r="34" spans="1:3" ht="32.25" thickBot="1">
      <c r="A34" s="31" t="s">
        <v>59</v>
      </c>
      <c r="B34" s="32" t="s">
        <v>60</v>
      </c>
      <c r="C34" s="30">
        <f>16199*$C$20*8</f>
        <v>0.62722528</v>
      </c>
    </row>
    <row r="35" spans="1:3" ht="21.75" customHeight="1" thickBot="1">
      <c r="A35" s="31" t="s">
        <v>61</v>
      </c>
      <c r="B35" s="32" t="s">
        <v>62</v>
      </c>
      <c r="C35" s="30">
        <f>106687*$C$20*8</f>
        <v>4.1309206400000003</v>
      </c>
    </row>
    <row r="36" spans="1:3" ht="32.25" thickBot="1">
      <c r="A36" s="31" t="s">
        <v>63</v>
      </c>
      <c r="B36" s="34" t="s">
        <v>64</v>
      </c>
      <c r="C36" s="30">
        <f>616784*$C$20*8</f>
        <v>23.881876480000003</v>
      </c>
    </row>
    <row r="37" spans="1:3" ht="15.75">
      <c r="A37" s="116" t="s">
        <v>29</v>
      </c>
      <c r="B37" s="117"/>
      <c r="C37" s="35">
        <f>SUM(C21:C36)</f>
        <v>116.89240043923202</v>
      </c>
    </row>
    <row r="38" spans="1:3" ht="15.75">
      <c r="A38" s="118" t="s">
        <v>65</v>
      </c>
      <c r="B38" s="119"/>
      <c r="C38" s="36">
        <f>C37+C18</f>
        <v>241.33368835923204</v>
      </c>
    </row>
    <row r="39" spans="1:3" ht="15.75">
      <c r="A39" s="1"/>
      <c r="B39" s="1"/>
      <c r="C39" s="37"/>
    </row>
    <row r="40" spans="1:3" ht="15.75">
      <c r="A40" s="103" t="s">
        <v>66</v>
      </c>
      <c r="B40" s="104"/>
      <c r="C40" s="38">
        <v>8</v>
      </c>
    </row>
    <row r="41" spans="1:3" ht="15.75">
      <c r="A41" s="103" t="s">
        <v>67</v>
      </c>
      <c r="B41" s="104"/>
      <c r="C41" s="39">
        <f>ROUND(C38/C40,2)</f>
        <v>30.17</v>
      </c>
    </row>
  </sheetData>
  <mergeCells count="14">
    <mergeCell ref="B1:C1"/>
    <mergeCell ref="A40:B40"/>
    <mergeCell ref="A41:B41"/>
    <mergeCell ref="A11:C11"/>
    <mergeCell ref="A12:A16"/>
    <mergeCell ref="A18:B18"/>
    <mergeCell ref="A19:C19"/>
    <mergeCell ref="A37:B37"/>
    <mergeCell ref="A38:B38"/>
    <mergeCell ref="A3:C3"/>
    <mergeCell ref="A5:C5"/>
    <mergeCell ref="A6:C6"/>
    <mergeCell ref="A7:C7"/>
    <mergeCell ref="A8:B8"/>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99ACF-B05A-432B-A5CD-B77AEBD08E3F}">
  <sheetPr>
    <tabColor theme="6" tint="0.79998168889431442"/>
  </sheetPr>
  <dimension ref="A1:F39"/>
  <sheetViews>
    <sheetView zoomScaleNormal="100" workbookViewId="0">
      <selection activeCell="K6" sqref="K6"/>
    </sheetView>
  </sheetViews>
  <sheetFormatPr defaultRowHeight="12.75"/>
  <cols>
    <col min="1" max="1" width="10.7109375" customWidth="1"/>
    <col min="2" max="2" width="98.85546875" customWidth="1"/>
    <col min="3" max="3" width="25.5703125" customWidth="1"/>
  </cols>
  <sheetData>
    <row r="1" spans="1:3" ht="81" customHeight="1">
      <c r="B1" s="99" t="s">
        <v>308</v>
      </c>
      <c r="C1" s="99"/>
    </row>
    <row r="3" spans="1:3" ht="15.75">
      <c r="A3" s="100" t="s">
        <v>91</v>
      </c>
      <c r="B3" s="100"/>
      <c r="C3" s="100"/>
    </row>
    <row r="4" spans="1:3" ht="15.75">
      <c r="A4" s="40"/>
      <c r="B4" s="40"/>
      <c r="C4" s="40"/>
    </row>
    <row r="5" spans="1:3" ht="15.75">
      <c r="A5" s="101" t="s">
        <v>92</v>
      </c>
      <c r="B5" s="101"/>
      <c r="C5" s="101"/>
    </row>
    <row r="6" spans="1:3" ht="74.25" customHeight="1">
      <c r="A6" s="102" t="s">
        <v>111</v>
      </c>
      <c r="B6" s="102"/>
      <c r="C6" s="102"/>
    </row>
    <row r="7" spans="1:3" ht="15.75">
      <c r="A7" s="101" t="s">
        <v>94</v>
      </c>
      <c r="B7" s="101"/>
      <c r="C7" s="101"/>
    </row>
    <row r="8" spans="1:3" ht="15.75">
      <c r="A8" s="98" t="s">
        <v>110</v>
      </c>
      <c r="B8" s="98"/>
      <c r="C8" s="40"/>
    </row>
    <row r="10" spans="1:3" ht="63">
      <c r="A10" s="14" t="s">
        <v>24</v>
      </c>
      <c r="B10" s="15" t="s">
        <v>25</v>
      </c>
      <c r="C10" s="16" t="s">
        <v>30</v>
      </c>
    </row>
    <row r="11" spans="1:3" ht="16.5" thickBot="1">
      <c r="A11" s="105" t="s">
        <v>26</v>
      </c>
      <c r="B11" s="106"/>
      <c r="C11" s="107"/>
    </row>
    <row r="12" spans="1:3" ht="15.75">
      <c r="A12" s="108" t="s">
        <v>31</v>
      </c>
      <c r="B12" s="17" t="s">
        <v>75</v>
      </c>
      <c r="C12" s="18">
        <f>9.714*0.75*8</f>
        <v>58.284000000000006</v>
      </c>
    </row>
    <row r="13" spans="1:3" ht="15.75">
      <c r="A13" s="109"/>
      <c r="B13" s="19" t="s">
        <v>76</v>
      </c>
      <c r="C13" s="18">
        <f>11.571*1*8</f>
        <v>92.567999999999998</v>
      </c>
    </row>
    <row r="14" spans="1:3" ht="15.75">
      <c r="A14" s="109"/>
      <c r="B14" s="19" t="s">
        <v>69</v>
      </c>
      <c r="C14" s="18">
        <f>9.714*0.1*8</f>
        <v>7.7712000000000003</v>
      </c>
    </row>
    <row r="15" spans="1:3" ht="15.75">
      <c r="A15" s="109"/>
      <c r="B15" s="19" t="s">
        <v>159</v>
      </c>
      <c r="C15" s="18">
        <f>15.4*0.1*8</f>
        <v>12.32</v>
      </c>
    </row>
    <row r="16" spans="1:3" ht="16.5" thickBot="1">
      <c r="A16" s="109"/>
      <c r="B16" s="20" t="s">
        <v>71</v>
      </c>
      <c r="C16" s="18">
        <f>18.607*0.1*8</f>
        <v>14.8856</v>
      </c>
    </row>
    <row r="17" spans="1:6" ht="32.25" thickBot="1">
      <c r="A17" s="21" t="s">
        <v>32</v>
      </c>
      <c r="B17" s="22" t="s">
        <v>33</v>
      </c>
      <c r="C17" s="23">
        <f>(C12+C13+C14+C15+C16)*0.2359</f>
        <v>43.837013919999997</v>
      </c>
    </row>
    <row r="18" spans="1:6" ht="15.75">
      <c r="A18" s="111" t="s">
        <v>27</v>
      </c>
      <c r="B18" s="112"/>
      <c r="C18" s="24">
        <f>SUM(C12:C17)</f>
        <v>229.66581392000001</v>
      </c>
    </row>
    <row r="19" spans="1:6" ht="16.5" thickBot="1">
      <c r="A19" s="113" t="s">
        <v>28</v>
      </c>
      <c r="B19" s="114"/>
      <c r="C19" s="115"/>
    </row>
    <row r="20" spans="1:6" ht="15.75">
      <c r="A20" s="25"/>
      <c r="B20" s="26" t="s">
        <v>34</v>
      </c>
      <c r="C20" s="27">
        <v>8.9299999999999992E-6</v>
      </c>
    </row>
    <row r="21" spans="1:6" ht="16.5" thickBot="1">
      <c r="A21" s="28" t="s">
        <v>35</v>
      </c>
      <c r="B21" s="29" t="s">
        <v>36</v>
      </c>
      <c r="C21" s="30">
        <f>1009234*$C$20*8</f>
        <v>72.099676959999996</v>
      </c>
      <c r="F21" s="45">
        <f>C18+C21+C22</f>
        <v>318.77380467486404</v>
      </c>
    </row>
    <row r="22" spans="1:6" ht="32.25" thickBot="1">
      <c r="A22" s="31" t="s">
        <v>32</v>
      </c>
      <c r="B22" s="32" t="s">
        <v>33</v>
      </c>
      <c r="C22" s="30">
        <f>C21*0.2359</f>
        <v>17.008313794863998</v>
      </c>
      <c r="F22" s="45">
        <f>C23+C24+C25+C26+C27+C28+C29+C30+C31+C32</f>
        <v>69.238719279999984</v>
      </c>
    </row>
    <row r="23" spans="1:6" ht="32.25" thickBot="1">
      <c r="A23" s="31" t="s">
        <v>37</v>
      </c>
      <c r="B23" s="32" t="s">
        <v>38</v>
      </c>
      <c r="C23" s="30">
        <f>93709*$C$20*8</f>
        <v>6.6945709599999992</v>
      </c>
      <c r="F23" s="45">
        <f>C33+C34</f>
        <v>51.684768239999997</v>
      </c>
    </row>
    <row r="24" spans="1:6" ht="21.75" customHeight="1" thickBot="1">
      <c r="A24" s="31" t="s">
        <v>39</v>
      </c>
      <c r="B24" s="32" t="s">
        <v>40</v>
      </c>
      <c r="C24" s="30">
        <f>76039*$C$20*8</f>
        <v>5.4322261599999999</v>
      </c>
    </row>
    <row r="25" spans="1:6" ht="21.75" customHeight="1" thickBot="1">
      <c r="A25" s="31" t="s">
        <v>41</v>
      </c>
      <c r="B25" s="32" t="s">
        <v>42</v>
      </c>
      <c r="C25" s="30">
        <f>84854*$C$20*8</f>
        <v>6.0619697599999993</v>
      </c>
    </row>
    <row r="26" spans="1:6" ht="16.5" thickBot="1">
      <c r="A26" s="31" t="s">
        <v>43</v>
      </c>
      <c r="B26" s="32" t="s">
        <v>44</v>
      </c>
      <c r="C26" s="30">
        <f>127766*$C$20*8</f>
        <v>9.1276030399999986</v>
      </c>
    </row>
    <row r="27" spans="1:6" ht="32.25" thickBot="1">
      <c r="A27" s="31" t="s">
        <v>45</v>
      </c>
      <c r="B27" s="32" t="s">
        <v>46</v>
      </c>
      <c r="C27" s="30">
        <f>170156*$C$20*8</f>
        <v>12.15594464</v>
      </c>
    </row>
    <row r="28" spans="1:6" ht="32.25" thickBot="1">
      <c r="A28" s="31" t="s">
        <v>47</v>
      </c>
      <c r="B28" s="32" t="s">
        <v>48</v>
      </c>
      <c r="C28" s="30">
        <f>377637*$C$20*8</f>
        <v>26.978387279999996</v>
      </c>
    </row>
    <row r="29" spans="1:6" ht="20.25" customHeight="1" thickBot="1">
      <c r="A29" s="31" t="s">
        <v>53</v>
      </c>
      <c r="B29" s="32" t="s">
        <v>54</v>
      </c>
      <c r="C29" s="30">
        <f>1110*$C$20*8</f>
        <v>7.9298399999999991E-2</v>
      </c>
    </row>
    <row r="30" spans="1:6" ht="32.25" thickBot="1">
      <c r="A30" s="31" t="s">
        <v>55</v>
      </c>
      <c r="B30" s="32" t="s">
        <v>56</v>
      </c>
      <c r="C30" s="30">
        <f>13237*$C$20*8</f>
        <v>0.94565127999999987</v>
      </c>
    </row>
    <row r="31" spans="1:6" ht="32.25" thickBot="1">
      <c r="A31" s="31" t="s">
        <v>57</v>
      </c>
      <c r="B31" s="32" t="s">
        <v>58</v>
      </c>
      <c r="C31" s="30">
        <f>8480*$C$20*8</f>
        <v>0.60581119999999999</v>
      </c>
    </row>
    <row r="32" spans="1:6" ht="32.25" thickBot="1">
      <c r="A32" s="31" t="s">
        <v>59</v>
      </c>
      <c r="B32" s="32" t="s">
        <v>60</v>
      </c>
      <c r="C32" s="30">
        <f>16199*$C$20*8</f>
        <v>1.15725656</v>
      </c>
    </row>
    <row r="33" spans="1:3" ht="21" customHeight="1" thickBot="1">
      <c r="A33" s="31" t="s">
        <v>61</v>
      </c>
      <c r="B33" s="32" t="s">
        <v>62</v>
      </c>
      <c r="C33" s="30">
        <f>106687*$C$20*8</f>
        <v>7.6217192799999998</v>
      </c>
    </row>
    <row r="34" spans="1:3" ht="32.25" thickBot="1">
      <c r="A34" s="31" t="s">
        <v>63</v>
      </c>
      <c r="B34" s="34" t="s">
        <v>64</v>
      </c>
      <c r="C34" s="30">
        <f>616784*$C$20*8</f>
        <v>44.063048959999996</v>
      </c>
    </row>
    <row r="35" spans="1:3" ht="15.75">
      <c r="A35" s="116" t="s">
        <v>29</v>
      </c>
      <c r="B35" s="117"/>
      <c r="C35" s="35">
        <f>SUM(C21:C34)</f>
        <v>210.03147827486399</v>
      </c>
    </row>
    <row r="36" spans="1:3" ht="15.75">
      <c r="A36" s="118" t="s">
        <v>65</v>
      </c>
      <c r="B36" s="119"/>
      <c r="C36" s="36">
        <f>C35+C18</f>
        <v>439.69729219486396</v>
      </c>
    </row>
    <row r="37" spans="1:3" ht="15.75">
      <c r="A37" s="1"/>
      <c r="B37" s="1"/>
      <c r="C37" s="37"/>
    </row>
    <row r="38" spans="1:3" ht="15.75">
      <c r="A38" s="103" t="s">
        <v>66</v>
      </c>
      <c r="B38" s="104"/>
      <c r="C38" s="38">
        <v>8</v>
      </c>
    </row>
    <row r="39" spans="1:3" ht="15.75">
      <c r="A39" s="103" t="s">
        <v>67</v>
      </c>
      <c r="B39" s="104"/>
      <c r="C39" s="39">
        <f>ROUND(C36/C38,2)</f>
        <v>54.96</v>
      </c>
    </row>
  </sheetData>
  <mergeCells count="14">
    <mergeCell ref="B1:C1"/>
    <mergeCell ref="A38:B38"/>
    <mergeCell ref="A39:B39"/>
    <mergeCell ref="A11:C11"/>
    <mergeCell ref="A12:A16"/>
    <mergeCell ref="A18:B18"/>
    <mergeCell ref="A19:C19"/>
    <mergeCell ref="A35:B35"/>
    <mergeCell ref="A36:B36"/>
    <mergeCell ref="A3:C3"/>
    <mergeCell ref="A5:C5"/>
    <mergeCell ref="A6:C6"/>
    <mergeCell ref="A7:C7"/>
    <mergeCell ref="A8:B8"/>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4351E-D088-4B2B-81A4-CD825344A706}">
  <sheetPr>
    <tabColor theme="6" tint="0.79998168889431442"/>
  </sheetPr>
  <dimension ref="A1:E41"/>
  <sheetViews>
    <sheetView zoomScaleNormal="100" workbookViewId="0">
      <selection activeCell="K7" sqref="K7"/>
    </sheetView>
  </sheetViews>
  <sheetFormatPr defaultRowHeight="12.75"/>
  <cols>
    <col min="1" max="1" width="10.7109375" customWidth="1"/>
    <col min="2" max="2" width="98.85546875" customWidth="1"/>
    <col min="3" max="3" width="25" customWidth="1"/>
  </cols>
  <sheetData>
    <row r="1" spans="1:3" ht="66" customHeight="1">
      <c r="B1" s="99" t="s">
        <v>308</v>
      </c>
      <c r="C1" s="99"/>
    </row>
    <row r="3" spans="1:3" ht="15.75">
      <c r="A3" s="100" t="s">
        <v>91</v>
      </c>
      <c r="B3" s="100"/>
      <c r="C3" s="100"/>
    </row>
    <row r="4" spans="1:3" ht="15.75">
      <c r="A4" s="40"/>
      <c r="B4" s="40"/>
      <c r="C4" s="40"/>
    </row>
    <row r="5" spans="1:3" ht="15.75">
      <c r="A5" s="101" t="s">
        <v>92</v>
      </c>
      <c r="B5" s="101"/>
      <c r="C5" s="101"/>
    </row>
    <row r="6" spans="1:3" ht="71.25" customHeight="1">
      <c r="A6" s="102" t="s">
        <v>113</v>
      </c>
      <c r="B6" s="102"/>
      <c r="C6" s="102"/>
    </row>
    <row r="7" spans="1:3" ht="15.75">
      <c r="A7" s="101" t="s">
        <v>94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68</v>
      </c>
      <c r="C12" s="18">
        <f>9.714*0.5*1</f>
        <v>4.8570000000000002</v>
      </c>
    </row>
    <row r="13" spans="1:3" ht="15.75">
      <c r="A13" s="109"/>
      <c r="B13" s="19" t="s">
        <v>76</v>
      </c>
      <c r="C13" s="18">
        <f>11.571*1*1</f>
        <v>11.571</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5" ht="32.25" thickBot="1">
      <c r="A17" s="21" t="s">
        <v>32</v>
      </c>
      <c r="B17" s="22" t="s">
        <v>33</v>
      </c>
      <c r="C17" s="23">
        <f>(C12+C13+C14+C15+C16)*0.2359</f>
        <v>4.9067435900000005</v>
      </c>
    </row>
    <row r="18" spans="1:5" ht="15.75">
      <c r="A18" s="111" t="s">
        <v>27</v>
      </c>
      <c r="B18" s="112"/>
      <c r="C18" s="24">
        <f>SUM(C12:C17)</f>
        <v>25.706843590000002</v>
      </c>
      <c r="E18" s="45">
        <f>C18+C21+C22</f>
        <v>35.685341994799998</v>
      </c>
    </row>
    <row r="19" spans="1:5" ht="16.5" thickBot="1">
      <c r="A19" s="113" t="s">
        <v>28</v>
      </c>
      <c r="B19" s="114"/>
      <c r="C19" s="115"/>
      <c r="E19" s="45">
        <f>C23+C24+C25+C26+C27+C28+C29+C30+C31+C32+C33+C34</f>
        <v>8.3850560000000005</v>
      </c>
    </row>
    <row r="20" spans="1:5" ht="15.75">
      <c r="A20" s="25"/>
      <c r="B20" s="26" t="s">
        <v>34</v>
      </c>
      <c r="C20" s="27">
        <v>7.9999999999999996E-6</v>
      </c>
      <c r="E20" s="45">
        <f>C35+C36</f>
        <v>5.7877679999999998</v>
      </c>
    </row>
    <row r="21" spans="1:5" ht="16.5" thickBot="1">
      <c r="A21" s="28" t="s">
        <v>35</v>
      </c>
      <c r="B21" s="29" t="s">
        <v>36</v>
      </c>
      <c r="C21" s="30">
        <f>1009234*$C$20*1</f>
        <v>8.0738719999999997</v>
      </c>
    </row>
    <row r="22" spans="1:5" ht="32.25" thickBot="1">
      <c r="A22" s="31" t="s">
        <v>32</v>
      </c>
      <c r="B22" s="32" t="s">
        <v>33</v>
      </c>
      <c r="C22" s="30">
        <f>C21*0.2359</f>
        <v>1.9046264047999999</v>
      </c>
    </row>
    <row r="23" spans="1:5" ht="32.25" thickBot="1">
      <c r="A23" s="31" t="s">
        <v>37</v>
      </c>
      <c r="B23" s="32" t="s">
        <v>38</v>
      </c>
      <c r="C23" s="30">
        <f>93709*$C$20*1</f>
        <v>0.74967200000000001</v>
      </c>
    </row>
    <row r="24" spans="1:5" ht="20.25" customHeight="1" thickBot="1">
      <c r="A24" s="31" t="s">
        <v>39</v>
      </c>
      <c r="B24" s="32" t="s">
        <v>40</v>
      </c>
      <c r="C24" s="30">
        <f>76039*$C$20*1</f>
        <v>0.60831199999999996</v>
      </c>
    </row>
    <row r="25" spans="1:5" ht="19.5" customHeight="1" thickBot="1">
      <c r="A25" s="31" t="s">
        <v>41</v>
      </c>
      <c r="B25" s="32" t="s">
        <v>42</v>
      </c>
      <c r="C25" s="30">
        <f>84854*$C$20*1</f>
        <v>0.67883199999999999</v>
      </c>
    </row>
    <row r="26" spans="1:5" ht="16.5" thickBot="1">
      <c r="A26" s="31" t="s">
        <v>43</v>
      </c>
      <c r="B26" s="32" t="s">
        <v>44</v>
      </c>
      <c r="C26" s="30">
        <f>127766*$C$20*1</f>
        <v>1.0221279999999999</v>
      </c>
    </row>
    <row r="27" spans="1:5" ht="32.25" thickBot="1">
      <c r="A27" s="31" t="s">
        <v>45</v>
      </c>
      <c r="B27" s="32" t="s">
        <v>46</v>
      </c>
      <c r="C27" s="30">
        <f>170156*$C$20*1</f>
        <v>1.361248</v>
      </c>
    </row>
    <row r="28" spans="1:5" ht="32.25" thickBot="1">
      <c r="A28" s="31" t="s">
        <v>47</v>
      </c>
      <c r="B28" s="32" t="s">
        <v>48</v>
      </c>
      <c r="C28" s="30">
        <f>377637*$C$20*1</f>
        <v>3.021096</v>
      </c>
    </row>
    <row r="29" spans="1:5" ht="18" customHeight="1" thickBot="1">
      <c r="A29" s="31" t="s">
        <v>49</v>
      </c>
      <c r="B29" s="32" t="s">
        <v>50</v>
      </c>
      <c r="C29" s="30">
        <f>51508*$C$20*1</f>
        <v>0.41206399999999999</v>
      </c>
    </row>
    <row r="30" spans="1:5" ht="18.75" customHeight="1" thickBot="1">
      <c r="A30" s="31" t="s">
        <v>51</v>
      </c>
      <c r="B30" s="32" t="s">
        <v>52</v>
      </c>
      <c r="C30" s="30">
        <f>27437*$C$20*1</f>
        <v>0.219496</v>
      </c>
    </row>
    <row r="31" spans="1:5" ht="18.75" customHeight="1" thickBot="1">
      <c r="A31" s="31" t="s">
        <v>53</v>
      </c>
      <c r="B31" s="32" t="s">
        <v>54</v>
      </c>
      <c r="C31" s="30">
        <f>1110*$C$20*1</f>
        <v>8.879999999999999E-3</v>
      </c>
    </row>
    <row r="32" spans="1:5" ht="32.25" thickBot="1">
      <c r="A32" s="31" t="s">
        <v>55</v>
      </c>
      <c r="B32" s="32" t="s">
        <v>56</v>
      </c>
      <c r="C32" s="30">
        <f>13237*$C$20*1</f>
        <v>0.10589599999999999</v>
      </c>
    </row>
    <row r="33" spans="1:3" ht="32.25" thickBot="1">
      <c r="A33" s="31" t="s">
        <v>57</v>
      </c>
      <c r="B33" s="32" t="s">
        <v>58</v>
      </c>
      <c r="C33" s="30">
        <f>8480*$C$20*1</f>
        <v>6.7839999999999998E-2</v>
      </c>
    </row>
    <row r="34" spans="1:3" ht="32.25" thickBot="1">
      <c r="A34" s="31" t="s">
        <v>59</v>
      </c>
      <c r="B34" s="32" t="s">
        <v>60</v>
      </c>
      <c r="C34" s="30">
        <f>16199*$C$20*1</f>
        <v>0.12959199999999998</v>
      </c>
    </row>
    <row r="35" spans="1:3" ht="20.25" customHeight="1" thickBot="1">
      <c r="A35" s="31" t="s">
        <v>61</v>
      </c>
      <c r="B35" s="32" t="s">
        <v>62</v>
      </c>
      <c r="C35" s="30">
        <f>106687*$C$20*1</f>
        <v>0.85349599999999992</v>
      </c>
    </row>
    <row r="36" spans="1:3" ht="32.25" thickBot="1">
      <c r="A36" s="31" t="s">
        <v>63</v>
      </c>
      <c r="B36" s="34" t="s">
        <v>64</v>
      </c>
      <c r="C36" s="30">
        <f>616784*$C$20*1</f>
        <v>4.934272</v>
      </c>
    </row>
    <row r="37" spans="1:3" ht="15.75">
      <c r="A37" s="116" t="s">
        <v>29</v>
      </c>
      <c r="B37" s="117"/>
      <c r="C37" s="35">
        <f>SUM(C21:C36)</f>
        <v>24.151322404800002</v>
      </c>
    </row>
    <row r="38" spans="1:3" ht="15.75">
      <c r="A38" s="118" t="s">
        <v>65</v>
      </c>
      <c r="B38" s="119"/>
      <c r="C38" s="36">
        <f>C37+C18</f>
        <v>49.858165994800004</v>
      </c>
    </row>
    <row r="39" spans="1:3" ht="15.75">
      <c r="A39" s="1"/>
      <c r="B39" s="1"/>
      <c r="C39" s="37"/>
    </row>
    <row r="40" spans="1:3" ht="15.75">
      <c r="A40" s="103" t="s">
        <v>66</v>
      </c>
      <c r="B40" s="104"/>
      <c r="C40" s="38">
        <v>1</v>
      </c>
    </row>
    <row r="41" spans="1:3" ht="15.75">
      <c r="A41" s="103" t="s">
        <v>67</v>
      </c>
      <c r="B41" s="104"/>
      <c r="C41" s="39">
        <f>ROUND(C38/C40,2)</f>
        <v>49.86</v>
      </c>
    </row>
  </sheetData>
  <mergeCells count="14">
    <mergeCell ref="A40:B40"/>
    <mergeCell ref="B1:C1"/>
    <mergeCell ref="A41:B41"/>
    <mergeCell ref="A11:C11"/>
    <mergeCell ref="A12:A16"/>
    <mergeCell ref="A18:B18"/>
    <mergeCell ref="A19:C19"/>
    <mergeCell ref="A37:B37"/>
    <mergeCell ref="A38:B38"/>
    <mergeCell ref="A3:C3"/>
    <mergeCell ref="A5:C5"/>
    <mergeCell ref="A6:C6"/>
    <mergeCell ref="A7:C7"/>
    <mergeCell ref="A8:B8"/>
  </mergeCells>
  <pageMargins left="0.7" right="0.7" top="0.75" bottom="0.75" header="0.3" footer="0.3"/>
  <pageSetup paperSize="9" scale="62"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C7E6A-0C34-4049-9AAF-6FE12B002EFC}">
  <sheetPr>
    <tabColor theme="6" tint="0.79998168889431442"/>
  </sheetPr>
  <dimension ref="A1:F40"/>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87" customHeight="1">
      <c r="B1" s="99" t="s">
        <v>308</v>
      </c>
      <c r="C1" s="99"/>
    </row>
    <row r="3" spans="1:3" ht="15.75">
      <c r="A3" s="100" t="s">
        <v>91</v>
      </c>
      <c r="B3" s="100"/>
      <c r="C3" s="100"/>
    </row>
    <row r="4" spans="1:3" ht="15.75">
      <c r="A4" s="40"/>
      <c r="B4" s="40"/>
      <c r="C4" s="40"/>
    </row>
    <row r="5" spans="1:3" ht="15.75">
      <c r="A5" s="101" t="s">
        <v>114</v>
      </c>
      <c r="B5" s="101"/>
      <c r="C5" s="101"/>
    </row>
    <row r="6" spans="1:3" ht="73.5" customHeight="1">
      <c r="A6" s="102" t="s">
        <v>118</v>
      </c>
      <c r="B6" s="102"/>
      <c r="C6" s="102"/>
    </row>
    <row r="7" spans="1:3" ht="15.75">
      <c r="A7" s="101" t="s">
        <v>115</v>
      </c>
      <c r="B7" s="101"/>
      <c r="C7" s="101"/>
    </row>
    <row r="8" spans="1:3" ht="15.75">
      <c r="A8" s="98" t="s">
        <v>97</v>
      </c>
      <c r="B8" s="98"/>
      <c r="C8" s="40"/>
    </row>
    <row r="10" spans="1:3" ht="63">
      <c r="A10" s="14" t="s">
        <v>24</v>
      </c>
      <c r="B10" s="15" t="s">
        <v>25</v>
      </c>
      <c r="C10" s="16" t="s">
        <v>30</v>
      </c>
    </row>
    <row r="11" spans="1:3" ht="16.5" thickBot="1">
      <c r="A11" s="105" t="s">
        <v>26</v>
      </c>
      <c r="B11" s="106"/>
      <c r="C11" s="107"/>
    </row>
    <row r="12" spans="1:3" ht="15.75">
      <c r="A12" s="108" t="s">
        <v>31</v>
      </c>
      <c r="B12" s="17" t="s">
        <v>74</v>
      </c>
      <c r="C12" s="18">
        <f>9.714*1.5*3</f>
        <v>43.713000000000008</v>
      </c>
    </row>
    <row r="13" spans="1:3" ht="15.75">
      <c r="A13" s="109"/>
      <c r="B13" s="19" t="s">
        <v>77</v>
      </c>
      <c r="C13" s="18">
        <f>11.571*2*3</f>
        <v>69.426000000000002</v>
      </c>
    </row>
    <row r="14" spans="1:3" ht="15.75">
      <c r="A14" s="109"/>
      <c r="B14" s="19" t="s">
        <v>69</v>
      </c>
      <c r="C14" s="18">
        <f>9.714*0.1*3</f>
        <v>2.9142000000000001</v>
      </c>
    </row>
    <row r="15" spans="1:3" ht="15.75">
      <c r="A15" s="109"/>
      <c r="B15" s="19" t="s">
        <v>159</v>
      </c>
      <c r="C15" s="18">
        <f>15.4*0.1*3</f>
        <v>4.62</v>
      </c>
    </row>
    <row r="16" spans="1:3" ht="16.5" thickBot="1">
      <c r="A16" s="109"/>
      <c r="B16" s="20" t="s">
        <v>71</v>
      </c>
      <c r="C16" s="18">
        <f>18.607*0.1*3</f>
        <v>5.5821000000000005</v>
      </c>
    </row>
    <row r="17" spans="1:6" ht="32.25" thickBot="1">
      <c r="A17" s="21" t="s">
        <v>32</v>
      </c>
      <c r="B17" s="22" t="s">
        <v>33</v>
      </c>
      <c r="C17" s="23">
        <f>(C12+C13+C14+C15+C16)*0.2359</f>
        <v>29.783625270000002</v>
      </c>
    </row>
    <row r="18" spans="1:6" ht="15.75">
      <c r="A18" s="111" t="s">
        <v>27</v>
      </c>
      <c r="B18" s="112"/>
      <c r="C18" s="24">
        <f>SUM(C12:C17)</f>
        <v>156.03892526999999</v>
      </c>
      <c r="F18" s="45">
        <f>C18+C21+C22</f>
        <v>216.583464341124</v>
      </c>
    </row>
    <row r="19" spans="1:6" ht="16.5" thickBot="1">
      <c r="A19" s="113" t="s">
        <v>28</v>
      </c>
      <c r="B19" s="114"/>
      <c r="C19" s="115"/>
      <c r="F19" s="45">
        <f>C23+C24+C25+C26+C27+C28+C29+C31+C30+C32+C33</f>
        <v>48.376128959999996</v>
      </c>
    </row>
    <row r="20" spans="1:6" ht="15.75">
      <c r="A20" s="25"/>
      <c r="B20" s="26" t="s">
        <v>34</v>
      </c>
      <c r="C20" s="27">
        <v>1.6180000000000001E-5</v>
      </c>
      <c r="F20" s="45">
        <f>C34+C35</f>
        <v>35.117282340000003</v>
      </c>
    </row>
    <row r="21" spans="1:6" ht="16.5" thickBot="1">
      <c r="A21" s="28" t="s">
        <v>35</v>
      </c>
      <c r="B21" s="29" t="s">
        <v>36</v>
      </c>
      <c r="C21" s="30">
        <f>1009234*$C$20*3</f>
        <v>48.988218360000005</v>
      </c>
    </row>
    <row r="22" spans="1:6" ht="32.25" thickBot="1">
      <c r="A22" s="31" t="s">
        <v>32</v>
      </c>
      <c r="B22" s="32" t="s">
        <v>33</v>
      </c>
      <c r="C22" s="30">
        <f>C21*0.2359</f>
        <v>11.556320711124002</v>
      </c>
    </row>
    <row r="23" spans="1:6" ht="32.25" thickBot="1">
      <c r="A23" s="31" t="s">
        <v>37</v>
      </c>
      <c r="B23" s="32" t="s">
        <v>38</v>
      </c>
      <c r="C23" s="30">
        <f>93709*$C$20*3</f>
        <v>4.5486348599999999</v>
      </c>
    </row>
    <row r="24" spans="1:6" ht="18.75" customHeight="1" thickBot="1">
      <c r="A24" s="31" t="s">
        <v>39</v>
      </c>
      <c r="B24" s="32" t="s">
        <v>40</v>
      </c>
      <c r="C24" s="30">
        <f>76039*$C$20*3</f>
        <v>3.6909330599999999</v>
      </c>
    </row>
    <row r="25" spans="1:6" ht="22.5" customHeight="1" thickBot="1">
      <c r="A25" s="31" t="s">
        <v>41</v>
      </c>
      <c r="B25" s="32" t="s">
        <v>42</v>
      </c>
      <c r="C25" s="30">
        <f>84854*$C$20*3</f>
        <v>4.1188131600000002</v>
      </c>
    </row>
    <row r="26" spans="1:6" ht="16.5" thickBot="1">
      <c r="A26" s="31" t="s">
        <v>43</v>
      </c>
      <c r="B26" s="32" t="s">
        <v>44</v>
      </c>
      <c r="C26" s="30">
        <f>127766*$C$20*3</f>
        <v>6.20176164</v>
      </c>
    </row>
    <row r="27" spans="1:6" ht="32.25" thickBot="1">
      <c r="A27" s="31" t="s">
        <v>45</v>
      </c>
      <c r="B27" s="32" t="s">
        <v>46</v>
      </c>
      <c r="C27" s="30">
        <f>170156*$C$20*3</f>
        <v>8.2593722400000011</v>
      </c>
    </row>
    <row r="28" spans="1:6" ht="32.25" thickBot="1">
      <c r="A28" s="31" t="s">
        <v>47</v>
      </c>
      <c r="B28" s="32" t="s">
        <v>48</v>
      </c>
      <c r="C28" s="30">
        <f>377637*$C$20*3</f>
        <v>18.330499979999999</v>
      </c>
    </row>
    <row r="29" spans="1:6" ht="18.75" customHeight="1" thickBot="1">
      <c r="A29" s="31" t="s">
        <v>51</v>
      </c>
      <c r="B29" s="32" t="s">
        <v>52</v>
      </c>
      <c r="C29" s="30">
        <f>27437*$C$20*3</f>
        <v>1.3317919800000002</v>
      </c>
    </row>
    <row r="30" spans="1:6" ht="18.75" customHeight="1" thickBot="1">
      <c r="A30" s="31" t="s">
        <v>53</v>
      </c>
      <c r="B30" s="32" t="s">
        <v>54</v>
      </c>
      <c r="C30" s="30">
        <f>1110*$C$20*3</f>
        <v>5.3879400000000008E-2</v>
      </c>
    </row>
    <row r="31" spans="1:6" ht="32.25" thickBot="1">
      <c r="A31" s="31" t="s">
        <v>55</v>
      </c>
      <c r="B31" s="32" t="s">
        <v>56</v>
      </c>
      <c r="C31" s="30">
        <f>13237*$C$20*3</f>
        <v>0.64252397999999999</v>
      </c>
    </row>
    <row r="32" spans="1:6" ht="32.25" thickBot="1">
      <c r="A32" s="31" t="s">
        <v>57</v>
      </c>
      <c r="B32" s="32" t="s">
        <v>58</v>
      </c>
      <c r="C32" s="30">
        <f>8480*$C$20*3</f>
        <v>0.41161920000000002</v>
      </c>
    </row>
    <row r="33" spans="1:3" ht="32.25" thickBot="1">
      <c r="A33" s="31" t="s">
        <v>59</v>
      </c>
      <c r="B33" s="32" t="s">
        <v>60</v>
      </c>
      <c r="C33" s="30">
        <f>16199*$C$20*3</f>
        <v>0.78629946000000017</v>
      </c>
    </row>
    <row r="34" spans="1:3" ht="19.5" customHeight="1" thickBot="1">
      <c r="A34" s="31" t="s">
        <v>61</v>
      </c>
      <c r="B34" s="32" t="s">
        <v>62</v>
      </c>
      <c r="C34" s="30">
        <f>106687*$C$20*3</f>
        <v>5.1785869800000004</v>
      </c>
    </row>
    <row r="35" spans="1:3" ht="32.25" thickBot="1">
      <c r="A35" s="31" t="s">
        <v>63</v>
      </c>
      <c r="B35" s="34" t="s">
        <v>64</v>
      </c>
      <c r="C35" s="30">
        <f>616784*$C$20*3</f>
        <v>29.938695360000001</v>
      </c>
    </row>
    <row r="36" spans="1:3" ht="15.75">
      <c r="A36" s="116" t="s">
        <v>29</v>
      </c>
      <c r="B36" s="117"/>
      <c r="C36" s="35">
        <f>SUM(C21:C35)</f>
        <v>144.03795037112403</v>
      </c>
    </row>
    <row r="37" spans="1:3" ht="15.75">
      <c r="A37" s="118" t="s">
        <v>65</v>
      </c>
      <c r="B37" s="119"/>
      <c r="C37" s="36">
        <f>C36+C18</f>
        <v>300.07687564112405</v>
      </c>
    </row>
    <row r="38" spans="1:3" ht="15.75">
      <c r="A38" s="1"/>
      <c r="B38" s="1"/>
      <c r="C38" s="37"/>
    </row>
    <row r="39" spans="1:3" ht="15.75">
      <c r="A39" s="103" t="s">
        <v>66</v>
      </c>
      <c r="B39" s="104"/>
      <c r="C39" s="38">
        <v>3</v>
      </c>
    </row>
    <row r="40" spans="1:3" ht="15.75">
      <c r="A40" s="103" t="s">
        <v>67</v>
      </c>
      <c r="B40" s="104"/>
      <c r="C40" s="39">
        <f>ROUND(C37/C39,2)</f>
        <v>100.03</v>
      </c>
    </row>
  </sheetData>
  <mergeCells count="14">
    <mergeCell ref="A8:B8"/>
    <mergeCell ref="A39:B39"/>
    <mergeCell ref="A40:B40"/>
    <mergeCell ref="A11:C11"/>
    <mergeCell ref="A12:A16"/>
    <mergeCell ref="A18:B18"/>
    <mergeCell ref="A19:C19"/>
    <mergeCell ref="A36:B36"/>
    <mergeCell ref="A37:B37"/>
    <mergeCell ref="B1:C1"/>
    <mergeCell ref="A3:C3"/>
    <mergeCell ref="A5:C5"/>
    <mergeCell ref="A6:C6"/>
    <mergeCell ref="A7:C7"/>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9188E-08E4-4852-8AEC-A2FFFB4B081F}">
  <sheetPr>
    <tabColor theme="6" tint="0.79998168889431442"/>
  </sheetPr>
  <dimension ref="A1:F40"/>
  <sheetViews>
    <sheetView zoomScaleNormal="100" workbookViewId="0">
      <selection activeCell="H9" sqref="H9"/>
    </sheetView>
  </sheetViews>
  <sheetFormatPr defaultRowHeight="12.75"/>
  <cols>
    <col min="1" max="1" width="10.7109375" customWidth="1"/>
    <col min="2" max="2" width="98.85546875" customWidth="1"/>
    <col min="3" max="3" width="25.5703125" customWidth="1"/>
  </cols>
  <sheetData>
    <row r="1" spans="1:3" ht="70.5" customHeight="1">
      <c r="B1" s="99" t="s">
        <v>308</v>
      </c>
      <c r="C1" s="99"/>
    </row>
    <row r="3" spans="1:3" ht="15.75">
      <c r="A3" s="100" t="s">
        <v>91</v>
      </c>
      <c r="B3" s="100"/>
      <c r="C3" s="100"/>
    </row>
    <row r="4" spans="1:3" ht="15.75">
      <c r="A4" s="40"/>
      <c r="B4" s="40"/>
      <c r="C4" s="40"/>
    </row>
    <row r="5" spans="1:3" ht="15.75">
      <c r="A5" s="101" t="s">
        <v>114</v>
      </c>
      <c r="B5" s="101"/>
      <c r="C5" s="101"/>
    </row>
    <row r="6" spans="1:3" ht="57.75" customHeight="1">
      <c r="A6" s="102" t="s">
        <v>116</v>
      </c>
      <c r="B6" s="102"/>
      <c r="C6" s="102"/>
    </row>
    <row r="7" spans="1:3" ht="15.75">
      <c r="A7" s="101" t="s">
        <v>115</v>
      </c>
      <c r="B7" s="101"/>
      <c r="C7" s="101"/>
    </row>
    <row r="8" spans="1:3" ht="15.75">
      <c r="A8" s="98" t="s">
        <v>117</v>
      </c>
      <c r="B8" s="98"/>
      <c r="C8" s="40"/>
    </row>
    <row r="10" spans="1:3" ht="63">
      <c r="A10" s="14" t="s">
        <v>24</v>
      </c>
      <c r="B10" s="15" t="s">
        <v>25</v>
      </c>
      <c r="C10" s="16" t="s">
        <v>30</v>
      </c>
    </row>
    <row r="11" spans="1:3" ht="16.5" thickBot="1">
      <c r="A11" s="105" t="s">
        <v>26</v>
      </c>
      <c r="B11" s="106"/>
      <c r="C11" s="107"/>
    </row>
    <row r="12" spans="1:3" ht="15.75">
      <c r="A12" s="108" t="s">
        <v>31</v>
      </c>
      <c r="B12" s="17" t="s">
        <v>68</v>
      </c>
      <c r="C12" s="18">
        <f>9.714*0.5*9</f>
        <v>43.713000000000001</v>
      </c>
    </row>
    <row r="13" spans="1:3" ht="18.75" customHeight="1">
      <c r="A13" s="109"/>
      <c r="B13" s="19" t="s">
        <v>89</v>
      </c>
      <c r="C13" s="18">
        <f>11.571*0.25*9</f>
        <v>26.034749999999999</v>
      </c>
    </row>
    <row r="14" spans="1:3" ht="15.75">
      <c r="A14" s="109"/>
      <c r="B14" s="19" t="s">
        <v>69</v>
      </c>
      <c r="C14" s="18">
        <f>9.714*0.1*9</f>
        <v>8.7425999999999995</v>
      </c>
    </row>
    <row r="15" spans="1:3" ht="15.75">
      <c r="A15" s="109"/>
      <c r="B15" s="19" t="s">
        <v>159</v>
      </c>
      <c r="C15" s="18">
        <f>15.4*0.1*9</f>
        <v>13.86</v>
      </c>
    </row>
    <row r="16" spans="1:3" ht="32.25" thickBot="1">
      <c r="A16" s="21" t="s">
        <v>32</v>
      </c>
      <c r="B16" s="22" t="s">
        <v>33</v>
      </c>
      <c r="C16" s="18">
        <f>(C12+C13+C14+C15)*0.2359</f>
        <v>21.785447564999998</v>
      </c>
    </row>
    <row r="17" spans="1:6" ht="15.75">
      <c r="A17" s="111" t="s">
        <v>27</v>
      </c>
      <c r="B17" s="112"/>
      <c r="C17" s="24">
        <f>SUM(C12:C16)</f>
        <v>114.13579756499999</v>
      </c>
      <c r="F17" s="45">
        <f>C17+C20+C21</f>
        <v>158.47774985133</v>
      </c>
    </row>
    <row r="18" spans="1:6" ht="16.5" thickBot="1">
      <c r="A18" s="113" t="s">
        <v>28</v>
      </c>
      <c r="B18" s="114"/>
      <c r="C18" s="115"/>
      <c r="F18" s="45">
        <f>C22+C23+C24+C25+C26+C27+C28+C29+C30+C31+C32+C33</f>
        <v>37.261092600000005</v>
      </c>
    </row>
    <row r="19" spans="1:6" ht="15.75">
      <c r="A19" s="25"/>
      <c r="B19" s="26" t="s">
        <v>34</v>
      </c>
      <c r="C19" s="27">
        <v>3.9500000000000003E-6</v>
      </c>
      <c r="F19" s="45">
        <f>C34+C35</f>
        <v>25.719394050000002</v>
      </c>
    </row>
    <row r="20" spans="1:6" ht="16.5" thickBot="1">
      <c r="A20" s="28" t="s">
        <v>35</v>
      </c>
      <c r="B20" s="29" t="s">
        <v>36</v>
      </c>
      <c r="C20" s="30">
        <f>1009234*$C$19*9</f>
        <v>35.8782687</v>
      </c>
    </row>
    <row r="21" spans="1:6" ht="32.25" thickBot="1">
      <c r="A21" s="31" t="s">
        <v>32</v>
      </c>
      <c r="B21" s="32" t="s">
        <v>33</v>
      </c>
      <c r="C21" s="30">
        <f>C20*0.2359</f>
        <v>8.4636835863299993</v>
      </c>
    </row>
    <row r="22" spans="1:6" ht="32.25" thickBot="1">
      <c r="A22" s="31" t="s">
        <v>37</v>
      </c>
      <c r="B22" s="32" t="s">
        <v>38</v>
      </c>
      <c r="C22" s="30">
        <f>93709*$C$19*9</f>
        <v>3.3313549500000001</v>
      </c>
    </row>
    <row r="23" spans="1:6" ht="21.75" customHeight="1" thickBot="1">
      <c r="A23" s="31" t="s">
        <v>39</v>
      </c>
      <c r="B23" s="32" t="s">
        <v>40</v>
      </c>
      <c r="C23" s="30">
        <f>76039*$C$19*9</f>
        <v>2.7031864500000005</v>
      </c>
    </row>
    <row r="24" spans="1:6" ht="21.75" customHeight="1" thickBot="1">
      <c r="A24" s="31" t="s">
        <v>41</v>
      </c>
      <c r="B24" s="32" t="s">
        <v>42</v>
      </c>
      <c r="C24" s="30">
        <f>84854*$C$19*9</f>
        <v>3.0165597000000002</v>
      </c>
    </row>
    <row r="25" spans="1:6" ht="16.5" thickBot="1">
      <c r="A25" s="31" t="s">
        <v>43</v>
      </c>
      <c r="B25" s="32" t="s">
        <v>44</v>
      </c>
      <c r="C25" s="30">
        <f>127766*$C$19*9</f>
        <v>4.5420813000000004</v>
      </c>
    </row>
    <row r="26" spans="1:6" ht="32.25" thickBot="1">
      <c r="A26" s="31" t="s">
        <v>45</v>
      </c>
      <c r="B26" s="32" t="s">
        <v>46</v>
      </c>
      <c r="C26" s="30">
        <f>170156*$C$19*9</f>
        <v>6.0490458</v>
      </c>
    </row>
    <row r="27" spans="1:6" ht="32.25" thickBot="1">
      <c r="A27" s="31" t="s">
        <v>47</v>
      </c>
      <c r="B27" s="32" t="s">
        <v>48</v>
      </c>
      <c r="C27" s="30">
        <f>377637*$C$19*9</f>
        <v>13.424995350000001</v>
      </c>
    </row>
    <row r="28" spans="1:6" ht="21.75" customHeight="1" thickBot="1">
      <c r="A28" s="31" t="s">
        <v>49</v>
      </c>
      <c r="B28" s="32" t="s">
        <v>50</v>
      </c>
      <c r="C28" s="30">
        <f>51508*$C$19*9</f>
        <v>1.8311094000000001</v>
      </c>
    </row>
    <row r="29" spans="1:6" ht="21" customHeight="1" thickBot="1">
      <c r="A29" s="31" t="s">
        <v>51</v>
      </c>
      <c r="B29" s="32" t="s">
        <v>52</v>
      </c>
      <c r="C29" s="30">
        <f>27437*$C$19*9</f>
        <v>0.97538535000000004</v>
      </c>
    </row>
    <row r="30" spans="1:6" ht="19.5" customHeight="1" thickBot="1">
      <c r="A30" s="31" t="s">
        <v>53</v>
      </c>
      <c r="B30" s="32" t="s">
        <v>54</v>
      </c>
      <c r="C30" s="30">
        <f>1110*$C$19*9</f>
        <v>3.9460500000000003E-2</v>
      </c>
    </row>
    <row r="31" spans="1:6" ht="32.25" thickBot="1">
      <c r="A31" s="31" t="s">
        <v>55</v>
      </c>
      <c r="B31" s="32" t="s">
        <v>56</v>
      </c>
      <c r="C31" s="30">
        <f>13237*$C$19*9</f>
        <v>0.47057535000000006</v>
      </c>
    </row>
    <row r="32" spans="1:6" ht="32.25" thickBot="1">
      <c r="A32" s="31" t="s">
        <v>57</v>
      </c>
      <c r="B32" s="32" t="s">
        <v>58</v>
      </c>
      <c r="C32" s="30">
        <f>8480*$C$19*9</f>
        <v>0.30146400000000007</v>
      </c>
    </row>
    <row r="33" spans="1:3" ht="32.25" thickBot="1">
      <c r="A33" s="31" t="s">
        <v>59</v>
      </c>
      <c r="B33" s="32" t="s">
        <v>60</v>
      </c>
      <c r="C33" s="30">
        <f>16199*$C$19*9</f>
        <v>0.57587445000000004</v>
      </c>
    </row>
    <row r="34" spans="1:3" ht="20.25" customHeight="1" thickBot="1">
      <c r="A34" s="31" t="s">
        <v>61</v>
      </c>
      <c r="B34" s="32" t="s">
        <v>62</v>
      </c>
      <c r="C34" s="30">
        <f>106687*$C$19*9</f>
        <v>3.7927228500000001</v>
      </c>
    </row>
    <row r="35" spans="1:3" ht="32.25" thickBot="1">
      <c r="A35" s="31" t="s">
        <v>63</v>
      </c>
      <c r="B35" s="34" t="s">
        <v>64</v>
      </c>
      <c r="C35" s="30">
        <f>616784*$C$19*9</f>
        <v>21.926671200000001</v>
      </c>
    </row>
    <row r="36" spans="1:3" ht="15.75">
      <c r="A36" s="116" t="s">
        <v>29</v>
      </c>
      <c r="B36" s="117"/>
      <c r="C36" s="35">
        <f>SUM(C20:C35)</f>
        <v>107.32243893633</v>
      </c>
    </row>
    <row r="37" spans="1:3" ht="15.75">
      <c r="A37" s="118" t="s">
        <v>65</v>
      </c>
      <c r="B37" s="119"/>
      <c r="C37" s="36">
        <f>C36+C17</f>
        <v>221.45823650132999</v>
      </c>
    </row>
    <row r="38" spans="1:3" ht="15.75">
      <c r="A38" s="1"/>
      <c r="B38" s="1"/>
      <c r="C38" s="37"/>
    </row>
    <row r="39" spans="1:3" ht="15.75">
      <c r="A39" s="103" t="s">
        <v>66</v>
      </c>
      <c r="B39" s="104"/>
      <c r="C39" s="38">
        <v>9</v>
      </c>
    </row>
    <row r="40" spans="1:3" ht="15.75">
      <c r="A40" s="103" t="s">
        <v>67</v>
      </c>
      <c r="B40" s="104"/>
      <c r="C40" s="39">
        <f>ROUND(C37/C39,2)</f>
        <v>24.61</v>
      </c>
    </row>
  </sheetData>
  <mergeCells count="14">
    <mergeCell ref="A8:B8"/>
    <mergeCell ref="A39:B39"/>
    <mergeCell ref="A40:B40"/>
    <mergeCell ref="A11:C11"/>
    <mergeCell ref="A12:A15"/>
    <mergeCell ref="A17:B17"/>
    <mergeCell ref="A18:C18"/>
    <mergeCell ref="A36:B36"/>
    <mergeCell ref="A37:B37"/>
    <mergeCell ref="B1:C1"/>
    <mergeCell ref="A3:C3"/>
    <mergeCell ref="A5:C5"/>
    <mergeCell ref="A6:C6"/>
    <mergeCell ref="A7:C7"/>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68247-DA0D-4337-9075-D3CB1FF9293B}">
  <sheetPr>
    <tabColor theme="6" tint="0.79998168889431442"/>
  </sheetPr>
  <dimension ref="A1:F40"/>
  <sheetViews>
    <sheetView zoomScaleNormal="100" workbookViewId="0">
      <selection activeCell="H10" sqref="H10"/>
    </sheetView>
  </sheetViews>
  <sheetFormatPr defaultRowHeight="12.75"/>
  <cols>
    <col min="1" max="1" width="10.7109375" customWidth="1"/>
    <col min="2" max="2" width="98.85546875" customWidth="1"/>
    <col min="3" max="3" width="25.5703125" customWidth="1"/>
  </cols>
  <sheetData>
    <row r="1" spans="1:3" ht="79.5" customHeight="1">
      <c r="B1" s="99" t="s">
        <v>308</v>
      </c>
      <c r="C1" s="99"/>
    </row>
    <row r="3" spans="1:3" ht="15.75">
      <c r="A3" s="100" t="s">
        <v>91</v>
      </c>
      <c r="B3" s="100"/>
      <c r="C3" s="100"/>
    </row>
    <row r="4" spans="1:3" ht="15.75">
      <c r="A4" s="40"/>
      <c r="B4" s="40"/>
      <c r="C4" s="40"/>
    </row>
    <row r="5" spans="1:3" ht="15.75">
      <c r="A5" s="101" t="s">
        <v>114</v>
      </c>
      <c r="B5" s="101"/>
      <c r="C5" s="101"/>
    </row>
    <row r="6" spans="1:3" ht="56.25" customHeight="1">
      <c r="A6" s="102" t="s">
        <v>119</v>
      </c>
      <c r="B6" s="102"/>
      <c r="C6" s="102"/>
    </row>
    <row r="7" spans="1:3" ht="15.75">
      <c r="A7" s="101" t="s">
        <v>115</v>
      </c>
      <c r="B7" s="101"/>
      <c r="C7" s="101"/>
    </row>
    <row r="8" spans="1:3" ht="15.75">
      <c r="A8" s="98" t="s">
        <v>120</v>
      </c>
      <c r="B8" s="98"/>
      <c r="C8" s="40"/>
    </row>
    <row r="10" spans="1:3" ht="63">
      <c r="A10" s="14" t="s">
        <v>24</v>
      </c>
      <c r="B10" s="15" t="s">
        <v>25</v>
      </c>
      <c r="C10" s="16" t="s">
        <v>30</v>
      </c>
    </row>
    <row r="11" spans="1:3" ht="16.5" thickBot="1">
      <c r="A11" s="105" t="s">
        <v>26</v>
      </c>
      <c r="B11" s="106"/>
      <c r="C11" s="107"/>
    </row>
    <row r="12" spans="1:3" ht="15.75">
      <c r="A12" s="108" t="s">
        <v>31</v>
      </c>
      <c r="B12" s="17" t="s">
        <v>68</v>
      </c>
      <c r="C12" s="18">
        <f>9.714*0.5*35</f>
        <v>169.995</v>
      </c>
    </row>
    <row r="13" spans="1:3" ht="16.5" customHeight="1">
      <c r="A13" s="109"/>
      <c r="B13" s="19" t="s">
        <v>89</v>
      </c>
      <c r="C13" s="18">
        <f>11.571*0.25*35</f>
        <v>101.24625</v>
      </c>
    </row>
    <row r="14" spans="1:3" ht="15.75">
      <c r="A14" s="109"/>
      <c r="B14" s="19" t="s">
        <v>69</v>
      </c>
      <c r="C14" s="18">
        <f>9.714*0.1*35</f>
        <v>33.999000000000002</v>
      </c>
    </row>
    <row r="15" spans="1:3" ht="15.75">
      <c r="A15" s="109"/>
      <c r="B15" s="19" t="s">
        <v>159</v>
      </c>
      <c r="C15" s="18">
        <f>15.4*0.1*35</f>
        <v>53.9</v>
      </c>
    </row>
    <row r="16" spans="1:3" ht="32.25" thickBot="1">
      <c r="A16" s="21" t="s">
        <v>32</v>
      </c>
      <c r="B16" s="22" t="s">
        <v>33</v>
      </c>
      <c r="C16" s="18">
        <f>(C12+C13+C14+C15)*0.2359</f>
        <v>84.721184975000014</v>
      </c>
    </row>
    <row r="17" spans="1:6" ht="15.75">
      <c r="A17" s="111" t="s">
        <v>27</v>
      </c>
      <c r="B17" s="112"/>
      <c r="C17" s="24">
        <f>SUM(C12:C16)</f>
        <v>443.86143497500007</v>
      </c>
      <c r="F17" s="45">
        <f>C17+C20+C21</f>
        <v>616.30236053295005</v>
      </c>
    </row>
    <row r="18" spans="1:6" ht="16.5" thickBot="1">
      <c r="A18" s="113" t="s">
        <v>28</v>
      </c>
      <c r="B18" s="114"/>
      <c r="C18" s="115"/>
      <c r="F18" s="45">
        <f>C22+C23+C24+C25+C26+C27+C28+C29+C30+C31+C32+C33</f>
        <v>144.90424899999999</v>
      </c>
    </row>
    <row r="19" spans="1:6" ht="15.75">
      <c r="A19" s="25"/>
      <c r="B19" s="26" t="s">
        <v>34</v>
      </c>
      <c r="C19" s="27">
        <v>3.9500000000000003E-6</v>
      </c>
      <c r="F19" s="45">
        <f>C34+C35</f>
        <v>100.01986574999999</v>
      </c>
    </row>
    <row r="20" spans="1:6" ht="16.5" thickBot="1">
      <c r="A20" s="28" t="s">
        <v>35</v>
      </c>
      <c r="B20" s="29" t="s">
        <v>36</v>
      </c>
      <c r="C20" s="30">
        <f>1009234*$C$19*35</f>
        <v>139.5266005</v>
      </c>
    </row>
    <row r="21" spans="1:6" ht="32.25" thickBot="1">
      <c r="A21" s="31" t="s">
        <v>32</v>
      </c>
      <c r="B21" s="32" t="s">
        <v>33</v>
      </c>
      <c r="C21" s="30">
        <f>C20*0.2359</f>
        <v>32.914325057950002</v>
      </c>
    </row>
    <row r="22" spans="1:6" ht="32.25" thickBot="1">
      <c r="A22" s="31" t="s">
        <v>37</v>
      </c>
      <c r="B22" s="32" t="s">
        <v>38</v>
      </c>
      <c r="C22" s="30">
        <f>93709*$C$19*35</f>
        <v>12.955269250000001</v>
      </c>
    </row>
    <row r="23" spans="1:6" ht="19.5" customHeight="1" thickBot="1">
      <c r="A23" s="31" t="s">
        <v>39</v>
      </c>
      <c r="B23" s="32" t="s">
        <v>40</v>
      </c>
      <c r="C23" s="30">
        <f>76039*$C$19*35</f>
        <v>10.512391750000001</v>
      </c>
    </row>
    <row r="24" spans="1:6" ht="20.25" customHeight="1" thickBot="1">
      <c r="A24" s="31" t="s">
        <v>41</v>
      </c>
      <c r="B24" s="32" t="s">
        <v>42</v>
      </c>
      <c r="C24" s="30">
        <f>84854*$C$19*35</f>
        <v>11.7310655</v>
      </c>
    </row>
    <row r="25" spans="1:6" ht="16.5" thickBot="1">
      <c r="A25" s="31" t="s">
        <v>43</v>
      </c>
      <c r="B25" s="32" t="s">
        <v>44</v>
      </c>
      <c r="C25" s="30">
        <f>127766*$C$19*35</f>
        <v>17.663649500000002</v>
      </c>
    </row>
    <row r="26" spans="1:6" ht="32.25" thickBot="1">
      <c r="A26" s="31" t="s">
        <v>45</v>
      </c>
      <c r="B26" s="32" t="s">
        <v>46</v>
      </c>
      <c r="C26" s="30">
        <f>170156*$C$19*35</f>
        <v>23.524067000000002</v>
      </c>
    </row>
    <row r="27" spans="1:6" ht="32.25" thickBot="1">
      <c r="A27" s="31" t="s">
        <v>47</v>
      </c>
      <c r="B27" s="32" t="s">
        <v>48</v>
      </c>
      <c r="C27" s="30">
        <f>377637*$C$19*35</f>
        <v>52.208315250000005</v>
      </c>
    </row>
    <row r="28" spans="1:6" ht="20.25" customHeight="1" thickBot="1">
      <c r="A28" s="31" t="s">
        <v>49</v>
      </c>
      <c r="B28" s="32" t="s">
        <v>50</v>
      </c>
      <c r="C28" s="30">
        <f>51508*$C$19*35</f>
        <v>7.1209810000000004</v>
      </c>
    </row>
    <row r="29" spans="1:6" ht="18.75" customHeight="1" thickBot="1">
      <c r="A29" s="31" t="s">
        <v>51</v>
      </c>
      <c r="B29" s="32" t="s">
        <v>52</v>
      </c>
      <c r="C29" s="30">
        <f>27437*$C$19*35</f>
        <v>3.7931652500000004</v>
      </c>
    </row>
    <row r="30" spans="1:6" ht="20.25" customHeight="1" thickBot="1">
      <c r="A30" s="31" t="s">
        <v>53</v>
      </c>
      <c r="B30" s="32" t="s">
        <v>54</v>
      </c>
      <c r="C30" s="30">
        <f>1110*$C$19*35</f>
        <v>0.15345750000000002</v>
      </c>
    </row>
    <row r="31" spans="1:6" ht="32.25" thickBot="1">
      <c r="A31" s="31" t="s">
        <v>55</v>
      </c>
      <c r="B31" s="32" t="s">
        <v>56</v>
      </c>
      <c r="C31" s="30">
        <f>13237*$C$19*35</f>
        <v>1.8300152500000002</v>
      </c>
    </row>
    <row r="32" spans="1:6" ht="32.25" thickBot="1">
      <c r="A32" s="31" t="s">
        <v>57</v>
      </c>
      <c r="B32" s="32" t="s">
        <v>58</v>
      </c>
      <c r="C32" s="30">
        <f>8480*$C$19*35</f>
        <v>1.1723600000000001</v>
      </c>
    </row>
    <row r="33" spans="1:3" ht="32.25" thickBot="1">
      <c r="A33" s="31" t="s">
        <v>59</v>
      </c>
      <c r="B33" s="32" t="s">
        <v>60</v>
      </c>
      <c r="C33" s="30">
        <f>16199*$C$19*35</f>
        <v>2.2395117500000001</v>
      </c>
    </row>
    <row r="34" spans="1:3" ht="21.75" customHeight="1" thickBot="1">
      <c r="A34" s="31" t="s">
        <v>61</v>
      </c>
      <c r="B34" s="32" t="s">
        <v>62</v>
      </c>
      <c r="C34" s="30">
        <f>106687*$C$19*35</f>
        <v>14.74947775</v>
      </c>
    </row>
    <row r="35" spans="1:3" ht="32.25" thickBot="1">
      <c r="A35" s="31" t="s">
        <v>63</v>
      </c>
      <c r="B35" s="34" t="s">
        <v>64</v>
      </c>
      <c r="C35" s="30">
        <f>616784*$C$19*35</f>
        <v>85.270387999999997</v>
      </c>
    </row>
    <row r="36" spans="1:3" ht="15.75">
      <c r="A36" s="116" t="s">
        <v>29</v>
      </c>
      <c r="B36" s="117"/>
      <c r="C36" s="35">
        <f>SUM(C20:C35)</f>
        <v>417.36504030795004</v>
      </c>
    </row>
    <row r="37" spans="1:3" ht="15.75">
      <c r="A37" s="118" t="s">
        <v>65</v>
      </c>
      <c r="B37" s="119"/>
      <c r="C37" s="36">
        <f>C36+C17</f>
        <v>861.2264752829501</v>
      </c>
    </row>
    <row r="38" spans="1:3" ht="15.75">
      <c r="A38" s="1"/>
      <c r="B38" s="1"/>
      <c r="C38" s="37"/>
    </row>
    <row r="39" spans="1:3" ht="15.75">
      <c r="A39" s="103" t="s">
        <v>66</v>
      </c>
      <c r="B39" s="104"/>
      <c r="C39" s="38">
        <v>35</v>
      </c>
    </row>
    <row r="40" spans="1:3" ht="15.75">
      <c r="A40" s="103" t="s">
        <v>67</v>
      </c>
      <c r="B40" s="104"/>
      <c r="C40" s="39">
        <f>ROUND(C37/C39,2)</f>
        <v>24.61</v>
      </c>
    </row>
  </sheetData>
  <mergeCells count="14">
    <mergeCell ref="A8:B8"/>
    <mergeCell ref="A39:B39"/>
    <mergeCell ref="A40:B40"/>
    <mergeCell ref="A11:C11"/>
    <mergeCell ref="A12:A15"/>
    <mergeCell ref="A17:B17"/>
    <mergeCell ref="A18:C18"/>
    <mergeCell ref="A36:B36"/>
    <mergeCell ref="A37:B37"/>
    <mergeCell ref="B1:C1"/>
    <mergeCell ref="A3:C3"/>
    <mergeCell ref="A5:C5"/>
    <mergeCell ref="A6:C6"/>
    <mergeCell ref="A7:C7"/>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8404D-D7F1-424A-B053-BCF9EFBE20AD}">
  <sheetPr>
    <tabColor theme="6" tint="0.79998168889431442"/>
  </sheetPr>
  <dimension ref="A1:F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81" customHeight="1">
      <c r="B1" s="99" t="s">
        <v>308</v>
      </c>
      <c r="C1" s="99"/>
    </row>
    <row r="3" spans="1:3" ht="15.75">
      <c r="A3" s="100" t="s">
        <v>91</v>
      </c>
      <c r="B3" s="100"/>
      <c r="C3" s="100"/>
    </row>
    <row r="4" spans="1:3" ht="15.75">
      <c r="A4" s="40"/>
      <c r="B4" s="40"/>
      <c r="C4" s="40"/>
    </row>
    <row r="5" spans="1:3" ht="15.75">
      <c r="A5" s="101" t="s">
        <v>114</v>
      </c>
      <c r="B5" s="101"/>
      <c r="C5" s="101"/>
    </row>
    <row r="6" spans="1:3" ht="48.75" customHeight="1">
      <c r="A6" s="102" t="s">
        <v>121</v>
      </c>
      <c r="B6" s="102"/>
      <c r="C6" s="102"/>
    </row>
    <row r="7" spans="1:3" ht="15.75">
      <c r="A7" s="101" t="s">
        <v>115</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75</v>
      </c>
      <c r="C12" s="18">
        <f>9.714*0.75*1</f>
        <v>7.2855000000000008</v>
      </c>
    </row>
    <row r="13" spans="1:3" ht="15.75">
      <c r="A13" s="109"/>
      <c r="B13" s="19" t="s">
        <v>73</v>
      </c>
      <c r="C13" s="18">
        <f>11.571*0.5*1</f>
        <v>5.7854999999999999</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6" ht="32.25" thickBot="1">
      <c r="A17" s="21" t="s">
        <v>32</v>
      </c>
      <c r="B17" s="22" t="s">
        <v>33</v>
      </c>
      <c r="C17" s="23">
        <f>(C12+C13+C14+C15+C16)*0.2359</f>
        <v>4.11482729</v>
      </c>
    </row>
    <row r="18" spans="1:6" ht="15.75">
      <c r="A18" s="111" t="s">
        <v>27</v>
      </c>
      <c r="B18" s="112"/>
      <c r="C18" s="24">
        <f>SUM(C12:C17)</f>
        <v>21.557927290000002</v>
      </c>
      <c r="F18" s="45">
        <f>C18+C21+C22</f>
        <v>29.927392827026004</v>
      </c>
    </row>
    <row r="19" spans="1:6" ht="16.5" thickBot="1">
      <c r="A19" s="113" t="s">
        <v>28</v>
      </c>
      <c r="B19" s="114"/>
      <c r="C19" s="115"/>
      <c r="F19" s="45">
        <f>C23+C24+C25+C26+C27+C28+C29+C30+C31+C32</f>
        <v>5.0339091000000016</v>
      </c>
    </row>
    <row r="20" spans="1:6" ht="15.75">
      <c r="A20" s="25"/>
      <c r="B20" s="26" t="s">
        <v>34</v>
      </c>
      <c r="C20" s="27">
        <v>6.7100000000000001E-6</v>
      </c>
      <c r="F20" s="45">
        <f>C33+C34</f>
        <v>4.8544904100000004</v>
      </c>
    </row>
    <row r="21" spans="1:6" ht="16.5" thickBot="1">
      <c r="A21" s="28" t="s">
        <v>35</v>
      </c>
      <c r="B21" s="29" t="s">
        <v>36</v>
      </c>
      <c r="C21" s="30">
        <f>1009234*$C$20*1</f>
        <v>6.77196014</v>
      </c>
    </row>
    <row r="22" spans="1:6" ht="32.25" thickBot="1">
      <c r="A22" s="31" t="s">
        <v>32</v>
      </c>
      <c r="B22" s="32" t="s">
        <v>33</v>
      </c>
      <c r="C22" s="30">
        <f>C21*0.2359</f>
        <v>1.597505397026</v>
      </c>
    </row>
    <row r="23" spans="1:6" ht="32.25" thickBot="1">
      <c r="A23" s="31" t="s">
        <v>37</v>
      </c>
      <c r="B23" s="32" t="s">
        <v>38</v>
      </c>
      <c r="C23" s="30">
        <f>93709*$C$20*1</f>
        <v>0.62878739000000006</v>
      </c>
    </row>
    <row r="24" spans="1:6" ht="32.25" thickBot="1">
      <c r="A24" s="31" t="s">
        <v>39</v>
      </c>
      <c r="B24" s="32" t="s">
        <v>40</v>
      </c>
      <c r="C24" s="30">
        <f>76039*$C$20*1</f>
        <v>0.51022169000000006</v>
      </c>
    </row>
    <row r="25" spans="1:6" ht="32.25" thickBot="1">
      <c r="A25" s="31" t="s">
        <v>41</v>
      </c>
      <c r="B25" s="32" t="s">
        <v>42</v>
      </c>
      <c r="C25" s="30">
        <f>84854*$C$20*1</f>
        <v>0.56937033999999997</v>
      </c>
    </row>
    <row r="26" spans="1:6" ht="32.25" thickBot="1">
      <c r="A26" s="31" t="s">
        <v>47</v>
      </c>
      <c r="B26" s="32" t="s">
        <v>48</v>
      </c>
      <c r="C26" s="30">
        <f>377637*$C$20*1</f>
        <v>2.5339442700000001</v>
      </c>
    </row>
    <row r="27" spans="1:6" ht="32.25" thickBot="1">
      <c r="A27" s="31" t="s">
        <v>49</v>
      </c>
      <c r="B27" s="32" t="s">
        <v>50</v>
      </c>
      <c r="C27" s="30">
        <f>51508*$C$20*1</f>
        <v>0.34561868000000001</v>
      </c>
    </row>
    <row r="28" spans="1:6" ht="32.25" thickBot="1">
      <c r="A28" s="31" t="s">
        <v>51</v>
      </c>
      <c r="B28" s="32" t="s">
        <v>52</v>
      </c>
      <c r="C28" s="30">
        <f>27437*$C$20*1</f>
        <v>0.18410227000000001</v>
      </c>
    </row>
    <row r="29" spans="1:6" ht="32.25" thickBot="1">
      <c r="A29" s="31" t="s">
        <v>53</v>
      </c>
      <c r="B29" s="32" t="s">
        <v>54</v>
      </c>
      <c r="C29" s="30">
        <f>1110*$C$20*1</f>
        <v>7.4481E-3</v>
      </c>
    </row>
    <row r="30" spans="1:6" ht="32.25" thickBot="1">
      <c r="A30" s="31" t="s">
        <v>55</v>
      </c>
      <c r="B30" s="32" t="s">
        <v>56</v>
      </c>
      <c r="C30" s="30">
        <f>13237*$C$20*1</f>
        <v>8.8820270000000007E-2</v>
      </c>
    </row>
    <row r="31" spans="1:6" ht="32.25" thickBot="1">
      <c r="A31" s="31" t="s">
        <v>57</v>
      </c>
      <c r="B31" s="32" t="s">
        <v>58</v>
      </c>
      <c r="C31" s="30">
        <f>8480*$C$20*1</f>
        <v>5.6900800000000001E-2</v>
      </c>
    </row>
    <row r="32" spans="1:6" ht="32.25" thickBot="1">
      <c r="A32" s="31" t="s">
        <v>59</v>
      </c>
      <c r="B32" s="32" t="s">
        <v>60</v>
      </c>
      <c r="C32" s="30">
        <f>16199*$C$20*1</f>
        <v>0.10869529</v>
      </c>
    </row>
    <row r="33" spans="1:3" ht="32.25" thickBot="1">
      <c r="A33" s="31" t="s">
        <v>61</v>
      </c>
      <c r="B33" s="32" t="s">
        <v>62</v>
      </c>
      <c r="C33" s="30">
        <f>106687*$C$20*1</f>
        <v>0.71586976999999996</v>
      </c>
    </row>
    <row r="34" spans="1:3" ht="32.25" thickBot="1">
      <c r="A34" s="31" t="s">
        <v>63</v>
      </c>
      <c r="B34" s="34" t="s">
        <v>64</v>
      </c>
      <c r="C34" s="30">
        <f>616784*$C$20*1</f>
        <v>4.1386206400000001</v>
      </c>
    </row>
    <row r="35" spans="1:3" ht="15.75">
      <c r="A35" s="116" t="s">
        <v>29</v>
      </c>
      <c r="B35" s="117"/>
      <c r="C35" s="35">
        <f>SUM(C21:C34)</f>
        <v>18.257865047025998</v>
      </c>
    </row>
    <row r="36" spans="1:3" ht="15.75">
      <c r="A36" s="118" t="s">
        <v>65</v>
      </c>
      <c r="B36" s="119"/>
      <c r="C36" s="36">
        <f>C35+C18</f>
        <v>39.815792337025997</v>
      </c>
    </row>
    <row r="37" spans="1:3" ht="15.75">
      <c r="A37" s="1"/>
      <c r="B37" s="1"/>
      <c r="C37" s="37"/>
    </row>
    <row r="38" spans="1:3" ht="15.75">
      <c r="A38" s="103" t="s">
        <v>66</v>
      </c>
      <c r="B38" s="104"/>
      <c r="C38" s="38">
        <v>1</v>
      </c>
    </row>
    <row r="39" spans="1:3" ht="15.75">
      <c r="A39" s="103" t="s">
        <v>67</v>
      </c>
      <c r="B39" s="104"/>
      <c r="C39" s="39">
        <f>ROUND(C36/C38,2)</f>
        <v>39.82</v>
      </c>
    </row>
  </sheetData>
  <mergeCells count="14">
    <mergeCell ref="A8:B8"/>
    <mergeCell ref="A38:B38"/>
    <mergeCell ref="A39:B39"/>
    <mergeCell ref="A11:C11"/>
    <mergeCell ref="A12:A16"/>
    <mergeCell ref="A18:B18"/>
    <mergeCell ref="A19:C19"/>
    <mergeCell ref="A35:B35"/>
    <mergeCell ref="A36:B36"/>
    <mergeCell ref="B1:C1"/>
    <mergeCell ref="A3:C3"/>
    <mergeCell ref="A5:C5"/>
    <mergeCell ref="A6:C6"/>
    <mergeCell ref="A7:C7"/>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6D920-1A94-45DD-9DE5-F68571088354}">
  <sheetPr>
    <tabColor theme="6" tint="0.79998168889431442"/>
  </sheetPr>
  <dimension ref="A1:F39"/>
  <sheetViews>
    <sheetView zoomScaleNormal="100" workbookViewId="0">
      <selection activeCell="F8" sqref="F8"/>
    </sheetView>
  </sheetViews>
  <sheetFormatPr defaultRowHeight="12.75"/>
  <cols>
    <col min="1" max="1" width="10.7109375" customWidth="1"/>
    <col min="2" max="2" width="98.85546875" customWidth="1"/>
    <col min="3" max="3" width="25.5703125" customWidth="1"/>
  </cols>
  <sheetData>
    <row r="1" spans="1:3" ht="81" customHeight="1">
      <c r="B1" s="99" t="s">
        <v>308</v>
      </c>
      <c r="C1" s="99"/>
    </row>
    <row r="3" spans="1:3" ht="15.75">
      <c r="A3" s="100" t="s">
        <v>91</v>
      </c>
      <c r="B3" s="100"/>
      <c r="C3" s="100"/>
    </row>
    <row r="4" spans="1:3" ht="15.75">
      <c r="A4" s="40"/>
      <c r="B4" s="40"/>
      <c r="C4" s="40"/>
    </row>
    <row r="5" spans="1:3" ht="15.75">
      <c r="A5" s="101" t="s">
        <v>122</v>
      </c>
      <c r="B5" s="101"/>
      <c r="C5" s="101"/>
    </row>
    <row r="6" spans="1:3" ht="49.5" customHeight="1">
      <c r="A6" s="102" t="s">
        <v>123</v>
      </c>
      <c r="B6" s="102"/>
      <c r="C6" s="102"/>
    </row>
    <row r="7" spans="1:3" ht="15.75">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75</v>
      </c>
      <c r="C12" s="18">
        <f>9.714*0.75*1</f>
        <v>7.2855000000000008</v>
      </c>
    </row>
    <row r="13" spans="1:3" ht="15.75">
      <c r="A13" s="109"/>
      <c r="B13" s="19" t="s">
        <v>163</v>
      </c>
      <c r="C13" s="18">
        <f>11.571*0.5*1</f>
        <v>5.7854999999999999</v>
      </c>
    </row>
    <row r="14" spans="1:3" ht="15.75">
      <c r="A14" s="109"/>
      <c r="B14" s="19" t="s">
        <v>69</v>
      </c>
      <c r="C14" s="18">
        <f>9.714*0.1*1</f>
        <v>0.97140000000000004</v>
      </c>
    </row>
    <row r="15" spans="1:3" ht="15.75">
      <c r="A15" s="109"/>
      <c r="B15" s="19" t="s">
        <v>161</v>
      </c>
      <c r="C15" s="18">
        <f>15.4*0.1*1</f>
        <v>1.54</v>
      </c>
    </row>
    <row r="16" spans="1:3" ht="16.5" thickBot="1">
      <c r="A16" s="109"/>
      <c r="B16" s="20" t="s">
        <v>162</v>
      </c>
      <c r="C16" s="18">
        <f>18.607*0.1*1</f>
        <v>1.8607</v>
      </c>
    </row>
    <row r="17" spans="1:6" ht="32.25" thickBot="1">
      <c r="A17" s="21" t="s">
        <v>32</v>
      </c>
      <c r="B17" s="22" t="s">
        <v>33</v>
      </c>
      <c r="C17" s="23">
        <f>(C12+C13+C14+C15+C16)*0.2359</f>
        <v>4.11482729</v>
      </c>
    </row>
    <row r="18" spans="1:6" ht="15.75">
      <c r="A18" s="111" t="s">
        <v>27</v>
      </c>
      <c r="B18" s="112"/>
      <c r="C18" s="24">
        <f>SUM(C12:C17)</f>
        <v>21.557927290000002</v>
      </c>
      <c r="F18" s="45">
        <f>C18+C21+C22</f>
        <v>29.927392827026004</v>
      </c>
    </row>
    <row r="19" spans="1:6" ht="16.5" thickBot="1">
      <c r="A19" s="113" t="s">
        <v>28</v>
      </c>
      <c r="B19" s="114"/>
      <c r="C19" s="115"/>
      <c r="F19" s="45">
        <f>C23+C24+C25+C26+C27+C28+C29+C30+C31+C32</f>
        <v>10.697149099999999</v>
      </c>
    </row>
    <row r="20" spans="1:6" ht="15.75">
      <c r="A20" s="25"/>
      <c r="B20" s="26" t="s">
        <v>34</v>
      </c>
      <c r="C20" s="27">
        <v>6.7100000000000001E-6</v>
      </c>
      <c r="F20" s="45">
        <f>C33+C34</f>
        <v>4.8544904100000004</v>
      </c>
    </row>
    <row r="21" spans="1:6" ht="16.5" thickBot="1">
      <c r="A21" s="28" t="s">
        <v>35</v>
      </c>
      <c r="B21" s="29" t="s">
        <v>36</v>
      </c>
      <c r="C21" s="30">
        <f>1009234*$C$20*1</f>
        <v>6.77196014</v>
      </c>
    </row>
    <row r="22" spans="1:6" ht="32.25" thickBot="1">
      <c r="A22" s="31" t="s">
        <v>32</v>
      </c>
      <c r="B22" s="32" t="s">
        <v>33</v>
      </c>
      <c r="C22" s="30">
        <f>C21*0.2359</f>
        <v>1.597505397026</v>
      </c>
    </row>
    <row r="23" spans="1:6" ht="32.25" thickBot="1">
      <c r="A23" s="31" t="s">
        <v>37</v>
      </c>
      <c r="B23" s="32" t="s">
        <v>38</v>
      </c>
      <c r="C23" s="30">
        <f>937709*$C$20*1</f>
        <v>6.2920273900000003</v>
      </c>
    </row>
    <row r="24" spans="1:6" ht="21" customHeight="1" thickBot="1">
      <c r="A24" s="31" t="s">
        <v>39</v>
      </c>
      <c r="B24" s="32" t="s">
        <v>40</v>
      </c>
      <c r="C24" s="30">
        <f>76039*$C$20*1</f>
        <v>0.51022169000000006</v>
      </c>
    </row>
    <row r="25" spans="1:6" ht="21.75" customHeight="1" thickBot="1">
      <c r="A25" s="31" t="s">
        <v>41</v>
      </c>
      <c r="B25" s="32" t="s">
        <v>42</v>
      </c>
      <c r="C25" s="30">
        <f>84854*$C$20*1</f>
        <v>0.56937033999999997</v>
      </c>
    </row>
    <row r="26" spans="1:6" ht="32.25" thickBot="1">
      <c r="A26" s="31" t="s">
        <v>47</v>
      </c>
      <c r="B26" s="32" t="s">
        <v>48</v>
      </c>
      <c r="C26" s="30">
        <f>377637*$C$20*1</f>
        <v>2.5339442700000001</v>
      </c>
    </row>
    <row r="27" spans="1:6" ht="20.25" customHeight="1" thickBot="1">
      <c r="A27" s="31" t="s">
        <v>49</v>
      </c>
      <c r="B27" s="32" t="s">
        <v>50</v>
      </c>
      <c r="C27" s="30">
        <f>51508*$C$20*1</f>
        <v>0.34561868000000001</v>
      </c>
    </row>
    <row r="28" spans="1:6" ht="19.5" customHeight="1" thickBot="1">
      <c r="A28" s="31" t="s">
        <v>51</v>
      </c>
      <c r="B28" s="32" t="s">
        <v>52</v>
      </c>
      <c r="C28" s="30">
        <f>27437*$C$20*1</f>
        <v>0.18410227000000001</v>
      </c>
    </row>
    <row r="29" spans="1:6" ht="20.25" customHeight="1" thickBot="1">
      <c r="A29" s="31" t="s">
        <v>53</v>
      </c>
      <c r="B29" s="32" t="s">
        <v>54</v>
      </c>
      <c r="C29" s="30">
        <f>1110*$C$20*1</f>
        <v>7.4481E-3</v>
      </c>
    </row>
    <row r="30" spans="1:6" ht="32.25" thickBot="1">
      <c r="A30" s="31" t="s">
        <v>55</v>
      </c>
      <c r="B30" s="32" t="s">
        <v>56</v>
      </c>
      <c r="C30" s="30">
        <f>13237*$C$20*1</f>
        <v>8.8820270000000007E-2</v>
      </c>
    </row>
    <row r="31" spans="1:6" ht="32.25" thickBot="1">
      <c r="A31" s="31" t="s">
        <v>57</v>
      </c>
      <c r="B31" s="32" t="s">
        <v>58</v>
      </c>
      <c r="C31" s="30">
        <f>8480*$C$20*1</f>
        <v>5.6900800000000001E-2</v>
      </c>
    </row>
    <row r="32" spans="1:6" ht="32.25" thickBot="1">
      <c r="A32" s="31" t="s">
        <v>59</v>
      </c>
      <c r="B32" s="32" t="s">
        <v>60</v>
      </c>
      <c r="C32" s="30">
        <f>16199*$C$20*1</f>
        <v>0.10869529</v>
      </c>
    </row>
    <row r="33" spans="1:3" ht="19.5" customHeight="1" thickBot="1">
      <c r="A33" s="31" t="s">
        <v>61</v>
      </c>
      <c r="B33" s="32" t="s">
        <v>62</v>
      </c>
      <c r="C33" s="30">
        <f>106687*$C$20*1</f>
        <v>0.71586976999999996</v>
      </c>
    </row>
    <row r="34" spans="1:3" ht="32.25" thickBot="1">
      <c r="A34" s="31" t="s">
        <v>63</v>
      </c>
      <c r="B34" s="34" t="s">
        <v>64</v>
      </c>
      <c r="C34" s="30">
        <f>616784*$C$20*1</f>
        <v>4.1386206400000001</v>
      </c>
    </row>
    <row r="35" spans="1:3" ht="15.75">
      <c r="A35" s="116" t="s">
        <v>29</v>
      </c>
      <c r="B35" s="117"/>
      <c r="C35" s="35">
        <f>SUM(C21:C34)</f>
        <v>23.921105047026003</v>
      </c>
    </row>
    <row r="36" spans="1:3" ht="15.75">
      <c r="A36" s="118" t="s">
        <v>65</v>
      </c>
      <c r="B36" s="119"/>
      <c r="C36" s="36">
        <f>C35+C18</f>
        <v>45.479032337026005</v>
      </c>
    </row>
    <row r="37" spans="1:3" ht="15.75">
      <c r="A37" s="1"/>
      <c r="B37" s="1"/>
      <c r="C37" s="37"/>
    </row>
    <row r="38" spans="1:3" ht="15.75">
      <c r="A38" s="103" t="s">
        <v>66</v>
      </c>
      <c r="B38" s="104"/>
      <c r="C38" s="38">
        <v>1</v>
      </c>
    </row>
    <row r="39" spans="1:3" ht="15.75">
      <c r="A39" s="103" t="s">
        <v>67</v>
      </c>
      <c r="B39" s="104"/>
      <c r="C39" s="39">
        <f>ROUND(C36/C38,2)</f>
        <v>45.48</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FB7E2-4C0E-4B2C-BF4A-987BDE65FEBF}">
  <sheetPr>
    <tabColor theme="6" tint="0.79998168889431442"/>
  </sheetPr>
  <dimension ref="A1:F39"/>
  <sheetViews>
    <sheetView zoomScaleNormal="100" workbookViewId="0">
      <selection activeCell="G10" sqref="G10"/>
    </sheetView>
  </sheetViews>
  <sheetFormatPr defaultRowHeight="12.75"/>
  <cols>
    <col min="1" max="1" width="10.7109375" customWidth="1"/>
    <col min="2" max="2" width="98.85546875" customWidth="1"/>
    <col min="3" max="3" width="25.5703125" customWidth="1"/>
  </cols>
  <sheetData>
    <row r="1" spans="1:3" ht="75" customHeight="1">
      <c r="B1" s="99" t="s">
        <v>308</v>
      </c>
      <c r="C1" s="99"/>
    </row>
    <row r="3" spans="1:3" ht="15.75">
      <c r="A3" s="100" t="s">
        <v>91</v>
      </c>
      <c r="B3" s="100"/>
      <c r="C3" s="100"/>
    </row>
    <row r="4" spans="1:3" ht="15.75">
      <c r="A4" s="40"/>
      <c r="B4" s="40"/>
      <c r="C4" s="40"/>
    </row>
    <row r="5" spans="1:3" ht="15.75">
      <c r="A5" s="101" t="s">
        <v>122</v>
      </c>
      <c r="B5" s="101"/>
      <c r="C5" s="101"/>
    </row>
    <row r="6" spans="1:3" ht="48.75" customHeight="1">
      <c r="A6" s="102" t="s">
        <v>125</v>
      </c>
      <c r="B6" s="102"/>
      <c r="C6" s="102"/>
    </row>
    <row r="7" spans="1:3" ht="15.75">
      <c r="A7" s="101" t="s">
        <v>124</v>
      </c>
      <c r="B7" s="101"/>
      <c r="C7" s="101"/>
    </row>
    <row r="8" spans="1:3" ht="15.75">
      <c r="A8" s="98" t="s">
        <v>126</v>
      </c>
      <c r="B8" s="98"/>
      <c r="C8" s="40"/>
    </row>
    <row r="10" spans="1:3" ht="63">
      <c r="A10" s="14" t="s">
        <v>24</v>
      </c>
      <c r="B10" s="15" t="s">
        <v>25</v>
      </c>
      <c r="C10" s="16" t="s">
        <v>30</v>
      </c>
    </row>
    <row r="11" spans="1:3" ht="16.5" thickBot="1">
      <c r="A11" s="105" t="s">
        <v>26</v>
      </c>
      <c r="B11" s="106"/>
      <c r="C11" s="107"/>
    </row>
    <row r="12" spans="1:3" ht="15.75">
      <c r="A12" s="108" t="s">
        <v>31</v>
      </c>
      <c r="B12" s="17" t="s">
        <v>75</v>
      </c>
      <c r="C12" s="18">
        <f>9.714*0.75*30</f>
        <v>218.56500000000003</v>
      </c>
    </row>
    <row r="13" spans="1:3" ht="15.75">
      <c r="A13" s="109"/>
      <c r="B13" s="19" t="s">
        <v>73</v>
      </c>
      <c r="C13" s="18">
        <f>11.571*0.5*30</f>
        <v>173.565</v>
      </c>
    </row>
    <row r="14" spans="1:3" ht="15.75">
      <c r="A14" s="109"/>
      <c r="B14" s="19" t="s">
        <v>69</v>
      </c>
      <c r="C14" s="18">
        <f>9.714*0.1*30</f>
        <v>29.142000000000003</v>
      </c>
    </row>
    <row r="15" spans="1:3" ht="15.75">
      <c r="A15" s="109"/>
      <c r="B15" s="19" t="s">
        <v>159</v>
      </c>
      <c r="C15" s="18">
        <f>15.4*0.1*30</f>
        <v>46.2</v>
      </c>
    </row>
    <row r="16" spans="1:3" ht="16.5" thickBot="1">
      <c r="A16" s="109"/>
      <c r="B16" s="20" t="s">
        <v>71</v>
      </c>
      <c r="C16" s="18">
        <f>18.607*0.1*30</f>
        <v>55.820999999999998</v>
      </c>
    </row>
    <row r="17" spans="1:6" ht="32.25" thickBot="1">
      <c r="A17" s="21" t="s">
        <v>32</v>
      </c>
      <c r="B17" s="22" t="s">
        <v>33</v>
      </c>
      <c r="C17" s="23">
        <f>(C12+C13+C14+C15+C16)*0.2359</f>
        <v>123.4448187</v>
      </c>
    </row>
    <row r="18" spans="1:6" ht="15.75">
      <c r="A18" s="111" t="s">
        <v>27</v>
      </c>
      <c r="B18" s="112"/>
      <c r="C18" s="24">
        <f>SUM(C12:C17)</f>
        <v>646.73781870000005</v>
      </c>
      <c r="F18" s="45">
        <f>C18+C21+C22</f>
        <v>897.82178481078006</v>
      </c>
    </row>
    <row r="19" spans="1:6" ht="16.5" thickBot="1">
      <c r="A19" s="113" t="s">
        <v>28</v>
      </c>
      <c r="B19" s="114"/>
      <c r="C19" s="115"/>
      <c r="F19" s="45">
        <f>C23+C24+C25+C26+C27+C28+C29+C30+C31+C32</f>
        <v>151.01727299999999</v>
      </c>
    </row>
    <row r="20" spans="1:6" ht="15.75">
      <c r="A20" s="25"/>
      <c r="B20" s="26" t="s">
        <v>34</v>
      </c>
      <c r="C20" s="27">
        <v>6.7100000000000001E-6</v>
      </c>
      <c r="F20" s="45">
        <f>C33+C34</f>
        <v>145.63471229999999</v>
      </c>
    </row>
    <row r="21" spans="1:6" ht="16.5" thickBot="1">
      <c r="A21" s="28" t="s">
        <v>35</v>
      </c>
      <c r="B21" s="29" t="s">
        <v>36</v>
      </c>
      <c r="C21" s="30">
        <f>1009234*$C$20*30</f>
        <v>203.15880419999999</v>
      </c>
    </row>
    <row r="22" spans="1:6" ht="32.25" thickBot="1">
      <c r="A22" s="31" t="s">
        <v>32</v>
      </c>
      <c r="B22" s="32" t="s">
        <v>33</v>
      </c>
      <c r="C22" s="30">
        <f>C21*0.2359</f>
        <v>47.925161910779998</v>
      </c>
    </row>
    <row r="23" spans="1:6" ht="32.25" thickBot="1">
      <c r="A23" s="31" t="s">
        <v>37</v>
      </c>
      <c r="B23" s="32" t="s">
        <v>38</v>
      </c>
      <c r="C23" s="30">
        <f>93709*$C$20*30</f>
        <v>18.863621700000003</v>
      </c>
    </row>
    <row r="24" spans="1:6" ht="18" customHeight="1" thickBot="1">
      <c r="A24" s="31" t="s">
        <v>39</v>
      </c>
      <c r="B24" s="32" t="s">
        <v>40</v>
      </c>
      <c r="C24" s="30">
        <f>76039*$C$20*30</f>
        <v>15.306650700000002</v>
      </c>
    </row>
    <row r="25" spans="1:6" ht="20.25" customHeight="1" thickBot="1">
      <c r="A25" s="31" t="s">
        <v>41</v>
      </c>
      <c r="B25" s="32" t="s">
        <v>42</v>
      </c>
      <c r="C25" s="30">
        <f>84854*$C$20*30</f>
        <v>17.081110199999998</v>
      </c>
    </row>
    <row r="26" spans="1:6" ht="32.25" thickBot="1">
      <c r="A26" s="31" t="s">
        <v>47</v>
      </c>
      <c r="B26" s="32" t="s">
        <v>48</v>
      </c>
      <c r="C26" s="30">
        <f>377637*$C$20*30</f>
        <v>76.018328100000005</v>
      </c>
    </row>
    <row r="27" spans="1:6" ht="20.25" customHeight="1" thickBot="1">
      <c r="A27" s="31" t="s">
        <v>49</v>
      </c>
      <c r="B27" s="32" t="s">
        <v>50</v>
      </c>
      <c r="C27" s="30">
        <f>51508*$C$20*30</f>
        <v>10.3685604</v>
      </c>
    </row>
    <row r="28" spans="1:6" ht="17.25" customHeight="1" thickBot="1">
      <c r="A28" s="31" t="s">
        <v>51</v>
      </c>
      <c r="B28" s="32" t="s">
        <v>52</v>
      </c>
      <c r="C28" s="30">
        <f>27437*$C$20*30</f>
        <v>5.5230681000000006</v>
      </c>
    </row>
    <row r="29" spans="1:6" ht="22.5" customHeight="1" thickBot="1">
      <c r="A29" s="31" t="s">
        <v>53</v>
      </c>
      <c r="B29" s="32" t="s">
        <v>54</v>
      </c>
      <c r="C29" s="30">
        <f>1110*$C$20*30</f>
        <v>0.223443</v>
      </c>
    </row>
    <row r="30" spans="1:6" ht="32.25" thickBot="1">
      <c r="A30" s="31" t="s">
        <v>55</v>
      </c>
      <c r="B30" s="32" t="s">
        <v>56</v>
      </c>
      <c r="C30" s="30">
        <f>13237*$C$20*30</f>
        <v>2.6646081000000001</v>
      </c>
    </row>
    <row r="31" spans="1:6" ht="32.25" thickBot="1">
      <c r="A31" s="31" t="s">
        <v>57</v>
      </c>
      <c r="B31" s="32" t="s">
        <v>58</v>
      </c>
      <c r="C31" s="30">
        <f>8480*$C$20*30</f>
        <v>1.7070240000000001</v>
      </c>
    </row>
    <row r="32" spans="1:6" ht="32.25" thickBot="1">
      <c r="A32" s="31" t="s">
        <v>59</v>
      </c>
      <c r="B32" s="32" t="s">
        <v>60</v>
      </c>
      <c r="C32" s="30">
        <f>16199*$C$20*30</f>
        <v>3.2608587</v>
      </c>
    </row>
    <row r="33" spans="1:3" ht="18.75" customHeight="1" thickBot="1">
      <c r="A33" s="31" t="s">
        <v>61</v>
      </c>
      <c r="B33" s="32" t="s">
        <v>62</v>
      </c>
      <c r="C33" s="30">
        <f>106687*$C$20*30</f>
        <v>21.4760931</v>
      </c>
    </row>
    <row r="34" spans="1:3" ht="32.25" thickBot="1">
      <c r="A34" s="31" t="s">
        <v>63</v>
      </c>
      <c r="B34" s="34" t="s">
        <v>64</v>
      </c>
      <c r="C34" s="30">
        <f>616784*$C$20*30</f>
        <v>124.1586192</v>
      </c>
    </row>
    <row r="35" spans="1:3" ht="15.75">
      <c r="A35" s="116" t="s">
        <v>29</v>
      </c>
      <c r="B35" s="117"/>
      <c r="C35" s="35">
        <f>SUM(C21:C34)</f>
        <v>547.73595141077999</v>
      </c>
    </row>
    <row r="36" spans="1:3" ht="15.75">
      <c r="A36" s="118" t="s">
        <v>65</v>
      </c>
      <c r="B36" s="119"/>
      <c r="C36" s="36">
        <f>C35+C18</f>
        <v>1194.4737701107802</v>
      </c>
    </row>
    <row r="37" spans="1:3" ht="15.75">
      <c r="A37" s="1"/>
      <c r="B37" s="1"/>
      <c r="C37" s="37"/>
    </row>
    <row r="38" spans="1:3" ht="15.75">
      <c r="A38" s="103" t="s">
        <v>66</v>
      </c>
      <c r="B38" s="104"/>
      <c r="C38" s="38">
        <v>30</v>
      </c>
    </row>
    <row r="39" spans="1:3" ht="15.75">
      <c r="A39" s="103" t="s">
        <v>67</v>
      </c>
      <c r="B39" s="104"/>
      <c r="C39" s="39">
        <f>ROUND(C36/C38,2)</f>
        <v>39.82</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C0C0D-2A5B-4612-8EB0-E3FD6FF64951}">
  <sheetPr>
    <tabColor theme="6" tint="0.79998168889431442"/>
  </sheetPr>
  <dimension ref="A1:F40"/>
  <sheetViews>
    <sheetView zoomScaleNormal="100" workbookViewId="0">
      <selection activeCell="H8" sqref="H8"/>
    </sheetView>
  </sheetViews>
  <sheetFormatPr defaultRowHeight="12.75"/>
  <cols>
    <col min="1" max="1" width="10.7109375" customWidth="1"/>
    <col min="2" max="2" width="98.85546875" customWidth="1"/>
    <col min="3" max="3" width="25.5703125" customWidth="1"/>
  </cols>
  <sheetData>
    <row r="1" spans="1:3" ht="69.75" customHeight="1">
      <c r="B1" s="99" t="s">
        <v>308</v>
      </c>
      <c r="C1" s="99"/>
    </row>
    <row r="3" spans="1:3" ht="15.75">
      <c r="A3" s="100" t="s">
        <v>91</v>
      </c>
      <c r="B3" s="100"/>
      <c r="C3" s="100"/>
    </row>
    <row r="4" spans="1:3" ht="15.75">
      <c r="A4" s="40"/>
      <c r="B4" s="40"/>
      <c r="C4" s="40"/>
    </row>
    <row r="5" spans="1:3" ht="15.75">
      <c r="A5" s="101" t="s">
        <v>122</v>
      </c>
      <c r="B5" s="101"/>
      <c r="C5" s="101"/>
    </row>
    <row r="6" spans="1:3" ht="48" customHeight="1">
      <c r="A6" s="102" t="s">
        <v>127</v>
      </c>
      <c r="B6" s="102"/>
      <c r="C6" s="102"/>
    </row>
    <row r="7" spans="1:3" ht="15.75">
      <c r="A7" s="101" t="s">
        <v>124</v>
      </c>
      <c r="B7" s="101"/>
      <c r="C7" s="101"/>
    </row>
    <row r="8" spans="1:3" ht="15.75">
      <c r="A8" s="98" t="s">
        <v>128</v>
      </c>
      <c r="B8" s="98"/>
      <c r="C8" s="40"/>
    </row>
    <row r="10" spans="1:3" ht="63">
      <c r="A10" s="14" t="s">
        <v>24</v>
      </c>
      <c r="B10" s="15" t="s">
        <v>25</v>
      </c>
      <c r="C10" s="16" t="s">
        <v>30</v>
      </c>
    </row>
    <row r="11" spans="1:3" ht="16.5" thickBot="1">
      <c r="A11" s="105" t="s">
        <v>26</v>
      </c>
      <c r="B11" s="106"/>
      <c r="C11" s="107"/>
    </row>
    <row r="12" spans="1:3" ht="15.75">
      <c r="A12" s="108" t="s">
        <v>31</v>
      </c>
      <c r="B12" s="17" t="s">
        <v>78</v>
      </c>
      <c r="C12" s="18">
        <f>9.714*1.25*2</f>
        <v>24.285</v>
      </c>
    </row>
    <row r="13" spans="1:3" ht="15.75">
      <c r="A13" s="109"/>
      <c r="B13" s="19" t="s">
        <v>87</v>
      </c>
      <c r="C13" s="18">
        <f>11.571*1.25*2</f>
        <v>28.927499999999998</v>
      </c>
    </row>
    <row r="14" spans="1:3" ht="15.75">
      <c r="A14" s="109"/>
      <c r="B14" s="19" t="s">
        <v>69</v>
      </c>
      <c r="C14" s="18">
        <f>9.714*0.1*2</f>
        <v>1.9428000000000001</v>
      </c>
    </row>
    <row r="15" spans="1:3" ht="15.75">
      <c r="A15" s="109"/>
      <c r="B15" s="19" t="s">
        <v>159</v>
      </c>
      <c r="C15" s="18">
        <f>15.4*0.1*2</f>
        <v>3.08</v>
      </c>
    </row>
    <row r="16" spans="1:3" ht="32.25" thickBot="1">
      <c r="A16" s="21" t="s">
        <v>32</v>
      </c>
      <c r="B16" s="22" t="s">
        <v>33</v>
      </c>
      <c r="C16" s="18">
        <f>(C12+C13+C14+C15)*0.2359</f>
        <v>13.73770727</v>
      </c>
    </row>
    <row r="17" spans="1:6" ht="15.75">
      <c r="A17" s="111" t="s">
        <v>27</v>
      </c>
      <c r="B17" s="112"/>
      <c r="C17" s="24">
        <f>SUM(C12:C16)</f>
        <v>71.973007269999997</v>
      </c>
      <c r="F17" s="45">
        <f>C17+C20+C21</f>
        <v>99.912802803439988</v>
      </c>
    </row>
    <row r="18" spans="1:6" ht="16.5" thickBot="1">
      <c r="A18" s="113" t="s">
        <v>28</v>
      </c>
      <c r="B18" s="114"/>
      <c r="C18" s="115"/>
      <c r="F18" s="45">
        <f>C22+C23+C24+C25+C26+C27+C28+C29+C30+C31+C32+C33</f>
        <v>23.478156800000001</v>
      </c>
    </row>
    <row r="19" spans="1:6" ht="15.75">
      <c r="A19" s="25"/>
      <c r="B19" s="26" t="s">
        <v>34</v>
      </c>
      <c r="C19" s="27">
        <v>1.1199999999999999E-5</v>
      </c>
      <c r="F19" s="45">
        <f>C34+C35</f>
        <v>16.205750399999999</v>
      </c>
    </row>
    <row r="20" spans="1:6" ht="16.5" thickBot="1">
      <c r="A20" s="28" t="s">
        <v>35</v>
      </c>
      <c r="B20" s="29" t="s">
        <v>36</v>
      </c>
      <c r="C20" s="30">
        <f>1009234*$C$19*2</f>
        <v>22.606841599999999</v>
      </c>
    </row>
    <row r="21" spans="1:6" ht="32.25" thickBot="1">
      <c r="A21" s="31" t="s">
        <v>32</v>
      </c>
      <c r="B21" s="32" t="s">
        <v>33</v>
      </c>
      <c r="C21" s="30">
        <f>C20*0.2359</f>
        <v>5.3329539334399998</v>
      </c>
    </row>
    <row r="22" spans="1:6" ht="32.25" thickBot="1">
      <c r="A22" s="31" t="s">
        <v>37</v>
      </c>
      <c r="B22" s="32" t="s">
        <v>38</v>
      </c>
      <c r="C22" s="30">
        <f>93709*$C$19*2</f>
        <v>2.0990815999999999</v>
      </c>
    </row>
    <row r="23" spans="1:6" ht="20.25" customHeight="1" thickBot="1">
      <c r="A23" s="31" t="s">
        <v>39</v>
      </c>
      <c r="B23" s="32" t="s">
        <v>40</v>
      </c>
      <c r="C23" s="30">
        <f>76039*$C$19*2</f>
        <v>1.7032735999999999</v>
      </c>
    </row>
    <row r="24" spans="1:6" ht="16.5" customHeight="1" thickBot="1">
      <c r="A24" s="31" t="s">
        <v>41</v>
      </c>
      <c r="B24" s="32" t="s">
        <v>42</v>
      </c>
      <c r="C24" s="30">
        <f>84854*$C$19*2</f>
        <v>1.9007296</v>
      </c>
    </row>
    <row r="25" spans="1:6" ht="16.5" thickBot="1">
      <c r="A25" s="31" t="s">
        <v>43</v>
      </c>
      <c r="B25" s="32" t="s">
        <v>44</v>
      </c>
      <c r="C25" s="30">
        <f>127766*$C$19*2</f>
        <v>2.8619583999999998</v>
      </c>
    </row>
    <row r="26" spans="1:6" ht="32.25" thickBot="1">
      <c r="A26" s="31" t="s">
        <v>45</v>
      </c>
      <c r="B26" s="32" t="s">
        <v>46</v>
      </c>
      <c r="C26" s="30">
        <f>170156*$C$19*2</f>
        <v>3.8114943999999999</v>
      </c>
    </row>
    <row r="27" spans="1:6" ht="32.25" thickBot="1">
      <c r="A27" s="31" t="s">
        <v>47</v>
      </c>
      <c r="B27" s="32" t="s">
        <v>48</v>
      </c>
      <c r="C27" s="30">
        <f>377637*$C$19*2</f>
        <v>8.4590687999999989</v>
      </c>
    </row>
    <row r="28" spans="1:6" ht="16.5" customHeight="1" thickBot="1">
      <c r="A28" s="31" t="s">
        <v>49</v>
      </c>
      <c r="B28" s="32" t="s">
        <v>50</v>
      </c>
      <c r="C28" s="30">
        <f>51508*$C$19*2</f>
        <v>1.1537792</v>
      </c>
    </row>
    <row r="29" spans="1:6" ht="21" customHeight="1" thickBot="1">
      <c r="A29" s="31" t="s">
        <v>51</v>
      </c>
      <c r="B29" s="32" t="s">
        <v>52</v>
      </c>
      <c r="C29" s="30">
        <f>27437*$C$19*2</f>
        <v>0.61458879999999994</v>
      </c>
    </row>
    <row r="30" spans="1:6" ht="18" customHeight="1" thickBot="1">
      <c r="A30" s="31" t="s">
        <v>53</v>
      </c>
      <c r="B30" s="32" t="s">
        <v>54</v>
      </c>
      <c r="C30" s="30">
        <f>1110*$C$19*2</f>
        <v>2.4863999999999997E-2</v>
      </c>
    </row>
    <row r="31" spans="1:6" ht="32.25" thickBot="1">
      <c r="A31" s="31" t="s">
        <v>55</v>
      </c>
      <c r="B31" s="32" t="s">
        <v>56</v>
      </c>
      <c r="C31" s="30">
        <f>13237*$C$19*2</f>
        <v>0.29650879999999996</v>
      </c>
    </row>
    <row r="32" spans="1:6" ht="32.25" thickBot="1">
      <c r="A32" s="31" t="s">
        <v>57</v>
      </c>
      <c r="B32" s="32" t="s">
        <v>58</v>
      </c>
      <c r="C32" s="30">
        <f>8480*$C$19*2</f>
        <v>0.18995199999999998</v>
      </c>
    </row>
    <row r="33" spans="1:3" ht="32.25" thickBot="1">
      <c r="A33" s="31" t="s">
        <v>59</v>
      </c>
      <c r="B33" s="32" t="s">
        <v>60</v>
      </c>
      <c r="C33" s="30">
        <f>16199*$C$19*2</f>
        <v>0.3628576</v>
      </c>
    </row>
    <row r="34" spans="1:3" ht="20.25" customHeight="1" thickBot="1">
      <c r="A34" s="31" t="s">
        <v>61</v>
      </c>
      <c r="B34" s="32" t="s">
        <v>62</v>
      </c>
      <c r="C34" s="30">
        <f>106687*$C$19*2</f>
        <v>2.3897887999999998</v>
      </c>
    </row>
    <row r="35" spans="1:3" ht="32.25" thickBot="1">
      <c r="A35" s="31" t="s">
        <v>63</v>
      </c>
      <c r="B35" s="34" t="s">
        <v>64</v>
      </c>
      <c r="C35" s="30">
        <f>616784*$C$19*2</f>
        <v>13.8159616</v>
      </c>
    </row>
    <row r="36" spans="1:3" ht="15.75">
      <c r="A36" s="116" t="s">
        <v>29</v>
      </c>
      <c r="B36" s="117"/>
      <c r="C36" s="35">
        <f>SUM(C20:C35)</f>
        <v>67.623702733439984</v>
      </c>
    </row>
    <row r="37" spans="1:3" ht="15.75">
      <c r="A37" s="118" t="s">
        <v>65</v>
      </c>
      <c r="B37" s="119"/>
      <c r="C37" s="36">
        <f>C36+C17</f>
        <v>139.59671000343997</v>
      </c>
    </row>
    <row r="38" spans="1:3" ht="15.75">
      <c r="A38" s="1"/>
      <c r="B38" s="1"/>
      <c r="C38" s="37"/>
    </row>
    <row r="39" spans="1:3" ht="15.75">
      <c r="A39" s="103" t="s">
        <v>66</v>
      </c>
      <c r="B39" s="104"/>
      <c r="C39" s="38">
        <v>2</v>
      </c>
    </row>
    <row r="40" spans="1:3" ht="15.75">
      <c r="A40" s="103" t="s">
        <v>67</v>
      </c>
      <c r="B40" s="104"/>
      <c r="C40" s="39">
        <f>ROUND(C37/C39,2)</f>
        <v>69.8</v>
      </c>
    </row>
  </sheetData>
  <mergeCells count="14">
    <mergeCell ref="B1:C1"/>
    <mergeCell ref="A3:C3"/>
    <mergeCell ref="A5:C5"/>
    <mergeCell ref="A6:C6"/>
    <mergeCell ref="A7:C7"/>
    <mergeCell ref="A8:B8"/>
    <mergeCell ref="A39:B39"/>
    <mergeCell ref="A40:B40"/>
    <mergeCell ref="A11:C11"/>
    <mergeCell ref="A12:A15"/>
    <mergeCell ref="A17:B17"/>
    <mergeCell ref="A18:C18"/>
    <mergeCell ref="A36:B36"/>
    <mergeCell ref="A37:B37"/>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EABE-3B83-4A3E-BB96-458D8DF753B5}">
  <sheetPr>
    <tabColor theme="6" tint="0.79998168889431442"/>
  </sheetPr>
  <dimension ref="A1:F39"/>
  <sheetViews>
    <sheetView zoomScaleNormal="100" workbookViewId="0">
      <selection activeCell="F6" sqref="F6"/>
    </sheetView>
  </sheetViews>
  <sheetFormatPr defaultRowHeight="12.75"/>
  <cols>
    <col min="1" max="1" width="10.7109375" customWidth="1"/>
    <col min="2" max="2" width="98.85546875" customWidth="1"/>
    <col min="3" max="3" width="25.5703125" customWidth="1"/>
  </cols>
  <sheetData>
    <row r="1" spans="1:3" ht="78.75" customHeight="1">
      <c r="B1" s="99" t="s">
        <v>308</v>
      </c>
      <c r="C1" s="99"/>
    </row>
    <row r="2" spans="1:3" ht="13.5" customHeight="1">
      <c r="B2" s="42"/>
      <c r="C2" s="42"/>
    </row>
    <row r="3" spans="1:3" ht="15.75">
      <c r="A3" s="100" t="s">
        <v>91</v>
      </c>
      <c r="B3" s="100"/>
      <c r="C3" s="100"/>
    </row>
    <row r="4" spans="1:3" ht="15.75">
      <c r="A4" s="40"/>
      <c r="B4" s="40"/>
      <c r="C4" s="40"/>
    </row>
    <row r="5" spans="1:3" ht="15.75">
      <c r="A5" s="101" t="s">
        <v>122</v>
      </c>
      <c r="B5" s="101"/>
      <c r="C5" s="101"/>
    </row>
    <row r="6" spans="1:3" ht="51" customHeight="1">
      <c r="A6" s="102" t="s">
        <v>129</v>
      </c>
      <c r="B6" s="102"/>
      <c r="C6" s="102"/>
    </row>
    <row r="7" spans="1:3" ht="15.75">
      <c r="A7" s="101" t="s">
        <v>124</v>
      </c>
      <c r="B7" s="101"/>
      <c r="C7" s="101"/>
    </row>
    <row r="8" spans="1:3" ht="15.75">
      <c r="A8" s="98" t="s">
        <v>104</v>
      </c>
      <c r="B8" s="98"/>
      <c r="C8" s="40"/>
    </row>
    <row r="10" spans="1:3" ht="63">
      <c r="A10" s="14" t="s">
        <v>24</v>
      </c>
      <c r="B10" s="15" t="s">
        <v>25</v>
      </c>
      <c r="C10" s="16" t="s">
        <v>30</v>
      </c>
    </row>
    <row r="11" spans="1:3" ht="16.5" thickBot="1">
      <c r="A11" s="105" t="s">
        <v>26</v>
      </c>
      <c r="B11" s="106"/>
      <c r="C11" s="107"/>
    </row>
    <row r="12" spans="1:3" ht="15.75">
      <c r="A12" s="108" t="s">
        <v>31</v>
      </c>
      <c r="B12" s="17" t="s">
        <v>75</v>
      </c>
      <c r="C12" s="18">
        <f>9.714*0.75*20</f>
        <v>145.71</v>
      </c>
    </row>
    <row r="13" spans="1:3" ht="15.75">
      <c r="A13" s="109"/>
      <c r="B13" s="19" t="s">
        <v>73</v>
      </c>
      <c r="C13" s="18">
        <f>11.571*0.5*20</f>
        <v>115.71</v>
      </c>
    </row>
    <row r="14" spans="1:3" ht="15.75">
      <c r="A14" s="109"/>
      <c r="B14" s="19" t="s">
        <v>69</v>
      </c>
      <c r="C14" s="18">
        <f>9.714*0.1*20</f>
        <v>19.428000000000001</v>
      </c>
    </row>
    <row r="15" spans="1:3" ht="15.75">
      <c r="A15" s="109"/>
      <c r="B15" s="19" t="s">
        <v>159</v>
      </c>
      <c r="C15" s="18">
        <f>15.4*0.1*20</f>
        <v>30.8</v>
      </c>
    </row>
    <row r="16" spans="1:3" ht="16.5" thickBot="1">
      <c r="A16" s="109"/>
      <c r="B16" s="20" t="s">
        <v>71</v>
      </c>
      <c r="C16" s="18">
        <f>18.607*0.1*20</f>
        <v>37.213999999999999</v>
      </c>
    </row>
    <row r="17" spans="1:6" ht="32.25" thickBot="1">
      <c r="A17" s="21" t="s">
        <v>32</v>
      </c>
      <c r="B17" s="22" t="s">
        <v>33</v>
      </c>
      <c r="C17" s="23">
        <f>(C12+C13+C14+C15+C16)*0.2359</f>
        <v>82.296545800000004</v>
      </c>
    </row>
    <row r="18" spans="1:6" ht="15.75">
      <c r="A18" s="111" t="s">
        <v>27</v>
      </c>
      <c r="B18" s="112"/>
      <c r="C18" s="24">
        <f>SUM(C12:C17)</f>
        <v>431.15854580000001</v>
      </c>
      <c r="F18" s="45">
        <f>C18+C21+C22</f>
        <v>598.54785654052</v>
      </c>
    </row>
    <row r="19" spans="1:6" ht="16.5" thickBot="1">
      <c r="A19" s="113" t="s">
        <v>28</v>
      </c>
      <c r="B19" s="114"/>
      <c r="C19" s="115"/>
      <c r="F19" s="45">
        <f>C23+C24+C25+C26+C27+C28+C29+C30+C31+C32</f>
        <v>100.67818199999999</v>
      </c>
    </row>
    <row r="20" spans="1:6" ht="15.75">
      <c r="A20" s="25"/>
      <c r="B20" s="26" t="s">
        <v>34</v>
      </c>
      <c r="C20" s="27">
        <v>6.7100000000000001E-6</v>
      </c>
      <c r="F20" s="45">
        <f>C33+C34</f>
        <v>97.089808199999993</v>
      </c>
    </row>
    <row r="21" spans="1:6" ht="16.5" thickBot="1">
      <c r="A21" s="28" t="s">
        <v>35</v>
      </c>
      <c r="B21" s="29" t="s">
        <v>36</v>
      </c>
      <c r="C21" s="30">
        <f>1009234*$C$20*20</f>
        <v>135.4392028</v>
      </c>
    </row>
    <row r="22" spans="1:6" ht="32.25" thickBot="1">
      <c r="A22" s="31" t="s">
        <v>32</v>
      </c>
      <c r="B22" s="32" t="s">
        <v>33</v>
      </c>
      <c r="C22" s="30">
        <f>C21*0.2359</f>
        <v>31.950107940520002</v>
      </c>
    </row>
    <row r="23" spans="1:6" ht="32.25" thickBot="1">
      <c r="A23" s="31" t="s">
        <v>37</v>
      </c>
      <c r="B23" s="32" t="s">
        <v>38</v>
      </c>
      <c r="C23" s="30">
        <f>93709*$C$20*20</f>
        <v>12.575747800000002</v>
      </c>
    </row>
    <row r="24" spans="1:6" ht="19.5" customHeight="1" thickBot="1">
      <c r="A24" s="31" t="s">
        <v>39</v>
      </c>
      <c r="B24" s="32" t="s">
        <v>40</v>
      </c>
      <c r="C24" s="30">
        <f>76039*$C$20*20</f>
        <v>10.2044338</v>
      </c>
    </row>
    <row r="25" spans="1:6" ht="18.75" customHeight="1" thickBot="1">
      <c r="A25" s="31" t="s">
        <v>41</v>
      </c>
      <c r="B25" s="32" t="s">
        <v>42</v>
      </c>
      <c r="C25" s="30">
        <f>84854*$C$20*20</f>
        <v>11.387406799999999</v>
      </c>
    </row>
    <row r="26" spans="1:6" ht="32.25" thickBot="1">
      <c r="A26" s="31" t="s">
        <v>47</v>
      </c>
      <c r="B26" s="32" t="s">
        <v>48</v>
      </c>
      <c r="C26" s="30">
        <f>377637*$C$20*20</f>
        <v>50.678885399999999</v>
      </c>
    </row>
    <row r="27" spans="1:6" ht="18" customHeight="1" thickBot="1">
      <c r="A27" s="31" t="s">
        <v>49</v>
      </c>
      <c r="B27" s="32" t="s">
        <v>50</v>
      </c>
      <c r="C27" s="30">
        <f>51508*$C$20*20</f>
        <v>6.9123736000000005</v>
      </c>
    </row>
    <row r="28" spans="1:6" ht="20.25" customHeight="1" thickBot="1">
      <c r="A28" s="31" t="s">
        <v>51</v>
      </c>
      <c r="B28" s="32" t="s">
        <v>52</v>
      </c>
      <c r="C28" s="30">
        <f>27437*$C$20*20</f>
        <v>3.6820454000000002</v>
      </c>
    </row>
    <row r="29" spans="1:6" ht="20.25" customHeight="1" thickBot="1">
      <c r="A29" s="31" t="s">
        <v>53</v>
      </c>
      <c r="B29" s="32" t="s">
        <v>54</v>
      </c>
      <c r="C29" s="30">
        <f>1110*$C$20*20</f>
        <v>0.14896200000000001</v>
      </c>
    </row>
    <row r="30" spans="1:6" ht="32.25" thickBot="1">
      <c r="A30" s="31" t="s">
        <v>55</v>
      </c>
      <c r="B30" s="32" t="s">
        <v>56</v>
      </c>
      <c r="C30" s="30">
        <f>13237*$C$20*20</f>
        <v>1.7764054000000002</v>
      </c>
    </row>
    <row r="31" spans="1:6" ht="32.25" thickBot="1">
      <c r="A31" s="31" t="s">
        <v>57</v>
      </c>
      <c r="B31" s="32" t="s">
        <v>58</v>
      </c>
      <c r="C31" s="30">
        <f>8480*$C$20*20</f>
        <v>1.1380159999999999</v>
      </c>
    </row>
    <row r="32" spans="1:6" ht="32.25" thickBot="1">
      <c r="A32" s="31" t="s">
        <v>59</v>
      </c>
      <c r="B32" s="32" t="s">
        <v>60</v>
      </c>
      <c r="C32" s="30">
        <f>16199*$C$20*20</f>
        <v>2.1739058</v>
      </c>
    </row>
    <row r="33" spans="1:3" ht="20.25" customHeight="1" thickBot="1">
      <c r="A33" s="31" t="s">
        <v>61</v>
      </c>
      <c r="B33" s="32" t="s">
        <v>62</v>
      </c>
      <c r="C33" s="30">
        <f>106687*$C$20*20</f>
        <v>14.317395399999999</v>
      </c>
    </row>
    <row r="34" spans="1:3" ht="32.25" thickBot="1">
      <c r="A34" s="31" t="s">
        <v>63</v>
      </c>
      <c r="B34" s="34" t="s">
        <v>64</v>
      </c>
      <c r="C34" s="30">
        <f>616784*$C$20*20</f>
        <v>82.772412799999998</v>
      </c>
    </row>
    <row r="35" spans="1:3" ht="15.75">
      <c r="A35" s="116" t="s">
        <v>29</v>
      </c>
      <c r="B35" s="117"/>
      <c r="C35" s="35">
        <f>SUM(C21:C34)</f>
        <v>365.15730094052003</v>
      </c>
    </row>
    <row r="36" spans="1:3" ht="15.75">
      <c r="A36" s="118" t="s">
        <v>65</v>
      </c>
      <c r="B36" s="119"/>
      <c r="C36" s="36">
        <f>C35+C18</f>
        <v>796.3158467405201</v>
      </c>
    </row>
    <row r="37" spans="1:3" ht="15.75">
      <c r="A37" s="1"/>
      <c r="B37" s="1"/>
      <c r="C37" s="37"/>
    </row>
    <row r="38" spans="1:3" ht="15.75">
      <c r="A38" s="103" t="s">
        <v>66</v>
      </c>
      <c r="B38" s="104"/>
      <c r="C38" s="38">
        <v>20</v>
      </c>
    </row>
    <row r="39" spans="1:3" ht="15.75">
      <c r="A39" s="103" t="s">
        <v>67</v>
      </c>
      <c r="B39" s="104"/>
      <c r="C39" s="39">
        <f>ROUND(C36/C38,2)</f>
        <v>39.82</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BD2ED-FEBA-40DD-AD72-D50BB5784B66}">
  <sheetPr>
    <tabColor theme="6" tint="0.79998168889431442"/>
  </sheetPr>
  <dimension ref="A1:F48"/>
  <sheetViews>
    <sheetView topLeftCell="B1" zoomScaleNormal="100" workbookViewId="0">
      <selection activeCell="H9" sqref="H9"/>
    </sheetView>
  </sheetViews>
  <sheetFormatPr defaultRowHeight="12.75"/>
  <cols>
    <col min="1" max="1" width="14.7109375" customWidth="1"/>
    <col min="2" max="2" width="10.7109375" customWidth="1"/>
    <col min="3" max="3" width="98.85546875" customWidth="1"/>
    <col min="4" max="4" width="25.5703125" customWidth="1"/>
  </cols>
  <sheetData>
    <row r="1" spans="1:4" ht="71.25" customHeight="1">
      <c r="C1" s="99" t="s">
        <v>308</v>
      </c>
      <c r="D1" s="99"/>
    </row>
    <row r="3" spans="1:4" ht="15.75">
      <c r="B3" s="100" t="s">
        <v>91</v>
      </c>
      <c r="C3" s="100"/>
      <c r="D3" s="100"/>
    </row>
    <row r="4" spans="1:4" ht="15.75">
      <c r="B4" s="40"/>
      <c r="C4" s="40"/>
      <c r="D4" s="40"/>
    </row>
    <row r="5" spans="1:4" ht="15.75">
      <c r="B5" s="101" t="s">
        <v>122</v>
      </c>
      <c r="C5" s="101"/>
      <c r="D5" s="101"/>
    </row>
    <row r="6" spans="1:4" ht="49.5" customHeight="1">
      <c r="B6" s="102" t="s">
        <v>130</v>
      </c>
      <c r="C6" s="102"/>
      <c r="D6" s="102"/>
    </row>
    <row r="7" spans="1:4" ht="15.75">
      <c r="B7" s="101" t="s">
        <v>124</v>
      </c>
      <c r="C7" s="101"/>
      <c r="D7" s="101"/>
    </row>
    <row r="8" spans="1:4" ht="15.75">
      <c r="B8" s="98" t="s">
        <v>102</v>
      </c>
      <c r="C8" s="98"/>
      <c r="D8" s="40"/>
    </row>
    <row r="10" spans="1:4" ht="63">
      <c r="B10" s="14" t="s">
        <v>24</v>
      </c>
      <c r="C10" s="15" t="s">
        <v>25</v>
      </c>
      <c r="D10" s="16" t="s">
        <v>30</v>
      </c>
    </row>
    <row r="11" spans="1:4" ht="39" thickBot="1">
      <c r="A11" s="5" t="s">
        <v>24</v>
      </c>
      <c r="B11" s="105" t="s">
        <v>26</v>
      </c>
      <c r="C11" s="106"/>
      <c r="D11" s="107"/>
    </row>
    <row r="12" spans="1:4" ht="15.75">
      <c r="A12" s="6"/>
      <c r="B12" s="108" t="s">
        <v>31</v>
      </c>
      <c r="C12" s="17" t="s">
        <v>68</v>
      </c>
      <c r="D12" s="18">
        <f>9.714*0.5*1</f>
        <v>4.8570000000000002</v>
      </c>
    </row>
    <row r="13" spans="1:4" ht="18" customHeight="1">
      <c r="A13" s="7">
        <v>1100</v>
      </c>
      <c r="B13" s="109"/>
      <c r="C13" s="19" t="s">
        <v>89</v>
      </c>
      <c r="D13" s="18">
        <f>11.571*0.25*1</f>
        <v>2.8927499999999999</v>
      </c>
    </row>
    <row r="14" spans="1:4" ht="15.75">
      <c r="A14" s="7"/>
      <c r="B14" s="109"/>
      <c r="C14" s="19" t="s">
        <v>69</v>
      </c>
      <c r="D14" s="18">
        <f>9.714*0.1*1</f>
        <v>0.97140000000000004</v>
      </c>
    </row>
    <row r="15" spans="1:4" ht="15.75">
      <c r="A15" s="7"/>
      <c r="B15" s="109"/>
      <c r="C15" s="19" t="s">
        <v>159</v>
      </c>
      <c r="D15" s="18">
        <f>15.4*0.1*1</f>
        <v>1.54</v>
      </c>
    </row>
    <row r="16" spans="1:4" ht="32.25" thickBot="1">
      <c r="A16" s="7"/>
      <c r="B16" s="21" t="s">
        <v>32</v>
      </c>
      <c r="C16" s="22" t="s">
        <v>33</v>
      </c>
      <c r="D16" s="18">
        <f>(D12+D13+D14+D15)*0.2359</f>
        <v>2.4206052850000002</v>
      </c>
    </row>
    <row r="17" spans="1:6" ht="15.75">
      <c r="A17" s="8">
        <v>1100</v>
      </c>
      <c r="B17" s="111" t="s">
        <v>27</v>
      </c>
      <c r="C17" s="112"/>
      <c r="D17" s="24">
        <f>SUM(D12:D16)</f>
        <v>12.681755285000001</v>
      </c>
      <c r="F17" s="45">
        <f>D17+D20+D21</f>
        <v>17.608638872370001</v>
      </c>
    </row>
    <row r="18" spans="1:6" ht="16.5" thickBot="1">
      <c r="A18" s="9">
        <v>1210</v>
      </c>
      <c r="B18" s="113" t="s">
        <v>28</v>
      </c>
      <c r="C18" s="114"/>
      <c r="D18" s="115"/>
      <c r="F18" s="45">
        <f>D22+D23+D24+D25+D26+D27+D28+D29+D30+D31+D32</f>
        <v>4.1357368999999995</v>
      </c>
    </row>
    <row r="19" spans="1:6" ht="15.75">
      <c r="A19" s="10"/>
      <c r="B19" s="25"/>
      <c r="C19" s="26" t="s">
        <v>34</v>
      </c>
      <c r="D19" s="27">
        <v>3.9500000000000003E-6</v>
      </c>
      <c r="F19" s="45">
        <f>D33+D34</f>
        <v>2.8577104499999999</v>
      </c>
    </row>
    <row r="20" spans="1:6" ht="16.5" thickBot="1">
      <c r="A20" s="11">
        <v>1110</v>
      </c>
      <c r="B20" s="28" t="s">
        <v>35</v>
      </c>
      <c r="C20" s="29" t="s">
        <v>36</v>
      </c>
      <c r="D20" s="30">
        <f>1009234*$D$19*1</f>
        <v>3.9864743000000002</v>
      </c>
    </row>
    <row r="21" spans="1:6" ht="32.25" thickBot="1">
      <c r="A21" s="11">
        <v>1210</v>
      </c>
      <c r="B21" s="31" t="s">
        <v>32</v>
      </c>
      <c r="C21" s="32" t="s">
        <v>33</v>
      </c>
      <c r="D21" s="30">
        <f>D20*0.2359</f>
        <v>0.94040928737000007</v>
      </c>
    </row>
    <row r="22" spans="1:6" ht="32.25" thickBot="1">
      <c r="A22" s="12" t="s">
        <v>0</v>
      </c>
      <c r="B22" s="31" t="s">
        <v>37</v>
      </c>
      <c r="C22" s="32" t="s">
        <v>38</v>
      </c>
      <c r="D22" s="30">
        <f>93709*$D$19*1</f>
        <v>0.37015055000000002</v>
      </c>
    </row>
    <row r="23" spans="1:6" ht="19.5" customHeight="1" thickBot="1">
      <c r="A23" s="13" t="s">
        <v>2</v>
      </c>
      <c r="B23" s="31" t="s">
        <v>39</v>
      </c>
      <c r="C23" s="32" t="s">
        <v>40</v>
      </c>
      <c r="D23" s="30">
        <f>76039*$D$19*1</f>
        <v>0.30035405000000004</v>
      </c>
    </row>
    <row r="24" spans="1:6" ht="17.25" customHeight="1" thickBot="1">
      <c r="A24" s="13" t="s">
        <v>3</v>
      </c>
      <c r="B24" s="31" t="s">
        <v>41</v>
      </c>
      <c r="C24" s="32" t="s">
        <v>42</v>
      </c>
      <c r="D24" s="30">
        <f>84854*$D$19*1</f>
        <v>0.33517330000000001</v>
      </c>
    </row>
    <row r="25" spans="1:6" ht="16.5" thickBot="1">
      <c r="A25" s="13" t="s">
        <v>4</v>
      </c>
      <c r="B25" s="31" t="s">
        <v>43</v>
      </c>
      <c r="C25" s="32" t="s">
        <v>44</v>
      </c>
      <c r="D25" s="30">
        <f>127766*$D$19*1</f>
        <v>0.50467570000000006</v>
      </c>
    </row>
    <row r="26" spans="1:6" ht="32.25" thickBot="1">
      <c r="A26" s="13" t="s">
        <v>5</v>
      </c>
      <c r="B26" s="31" t="s">
        <v>45</v>
      </c>
      <c r="C26" s="32" t="s">
        <v>46</v>
      </c>
      <c r="D26" s="30">
        <f>170156*$D$19*1</f>
        <v>0.67211620000000005</v>
      </c>
    </row>
    <row r="27" spans="1:6" ht="32.25" thickBot="1">
      <c r="A27" s="13" t="s">
        <v>6</v>
      </c>
      <c r="B27" s="31" t="s">
        <v>47</v>
      </c>
      <c r="C27" s="32" t="s">
        <v>48</v>
      </c>
      <c r="D27" s="30">
        <f>377637*$D$19*1</f>
        <v>1.4916661500000001</v>
      </c>
    </row>
    <row r="28" spans="1:6" ht="21" customHeight="1" thickBot="1">
      <c r="A28" s="13" t="s">
        <v>7</v>
      </c>
      <c r="B28" s="31" t="s">
        <v>49</v>
      </c>
      <c r="C28" s="32" t="s">
        <v>50</v>
      </c>
      <c r="D28" s="30">
        <f>51508*$D$19*1</f>
        <v>0.20345660000000002</v>
      </c>
    </row>
    <row r="29" spans="1:6" ht="19.5" customHeight="1" thickBot="1">
      <c r="A29" s="13" t="s">
        <v>8</v>
      </c>
      <c r="B29" s="31" t="s">
        <v>51</v>
      </c>
      <c r="C29" s="32" t="s">
        <v>52</v>
      </c>
      <c r="D29" s="30">
        <f>27437*$D$19*1</f>
        <v>0.10837615</v>
      </c>
    </row>
    <row r="30" spans="1:6" ht="32.25" thickBot="1">
      <c r="A30" s="13" t="s">
        <v>10</v>
      </c>
      <c r="B30" s="31" t="s">
        <v>55</v>
      </c>
      <c r="C30" s="32" t="s">
        <v>56</v>
      </c>
      <c r="D30" s="30">
        <f>13237*$D$19*1</f>
        <v>5.2286150000000003E-2</v>
      </c>
    </row>
    <row r="31" spans="1:6" ht="32.25" thickBot="1">
      <c r="A31" s="13" t="s">
        <v>11</v>
      </c>
      <c r="B31" s="31" t="s">
        <v>57</v>
      </c>
      <c r="C31" s="32" t="s">
        <v>58</v>
      </c>
      <c r="D31" s="30">
        <f>8480*$D$19*1</f>
        <v>3.3496000000000005E-2</v>
      </c>
    </row>
    <row r="32" spans="1:6" ht="32.25" thickBot="1">
      <c r="A32" s="13" t="s">
        <v>12</v>
      </c>
      <c r="B32" s="31" t="s">
        <v>59</v>
      </c>
      <c r="C32" s="32" t="s">
        <v>60</v>
      </c>
      <c r="D32" s="30">
        <f>16199*$D$19*1</f>
        <v>6.3986050000000003E-2</v>
      </c>
    </row>
    <row r="33" spans="1:4" ht="18" customHeight="1" thickBot="1">
      <c r="A33" s="13" t="s">
        <v>13</v>
      </c>
      <c r="B33" s="31" t="s">
        <v>61</v>
      </c>
      <c r="C33" s="32" t="s">
        <v>62</v>
      </c>
      <c r="D33" s="30">
        <f>106687*$D$19*1</f>
        <v>0.42141365000000003</v>
      </c>
    </row>
    <row r="34" spans="1:4" ht="32.25" thickBot="1">
      <c r="A34" s="4" t="s">
        <v>1</v>
      </c>
      <c r="B34" s="31" t="s">
        <v>63</v>
      </c>
      <c r="C34" s="34" t="s">
        <v>64</v>
      </c>
      <c r="D34" s="30">
        <f>616784*$D$19*1</f>
        <v>2.4362968</v>
      </c>
    </row>
    <row r="35" spans="1:4" ht="15.75">
      <c r="A35" s="4" t="s">
        <v>14</v>
      </c>
      <c r="B35" s="116" t="s">
        <v>29</v>
      </c>
      <c r="C35" s="117"/>
      <c r="D35" s="35">
        <f>SUM(D20:D34)</f>
        <v>11.92033093737</v>
      </c>
    </row>
    <row r="36" spans="1:4" ht="15.75">
      <c r="A36" s="13" t="s">
        <v>15</v>
      </c>
      <c r="B36" s="118" t="s">
        <v>65</v>
      </c>
      <c r="C36" s="119"/>
      <c r="D36" s="36">
        <f>D35+D17</f>
        <v>24.602086222370001</v>
      </c>
    </row>
    <row r="37" spans="1:4" ht="15.75">
      <c r="A37" s="13" t="s">
        <v>16</v>
      </c>
      <c r="B37" s="1"/>
      <c r="C37" s="1"/>
      <c r="D37" s="37"/>
    </row>
    <row r="38" spans="1:4" ht="15.75">
      <c r="A38" s="13" t="s">
        <v>17</v>
      </c>
      <c r="B38" s="103" t="s">
        <v>66</v>
      </c>
      <c r="C38" s="104"/>
      <c r="D38" s="38">
        <v>1</v>
      </c>
    </row>
    <row r="39" spans="1:4" ht="15.75">
      <c r="A39" s="13" t="s">
        <v>18</v>
      </c>
      <c r="B39" s="103" t="s">
        <v>67</v>
      </c>
      <c r="C39" s="104"/>
      <c r="D39" s="39">
        <f>ROUND(D36/D38,2)</f>
        <v>24.6</v>
      </c>
    </row>
    <row r="40" spans="1:4">
      <c r="A40" s="13" t="s">
        <v>19</v>
      </c>
    </row>
    <row r="41" spans="1:4">
      <c r="A41" s="13" t="s">
        <v>20</v>
      </c>
    </row>
    <row r="42" spans="1:4">
      <c r="A42" s="13" t="s">
        <v>21</v>
      </c>
    </row>
    <row r="43" spans="1:4">
      <c r="A43" s="13" t="s">
        <v>22</v>
      </c>
    </row>
    <row r="44" spans="1:4">
      <c r="A44" s="13" t="s">
        <v>23</v>
      </c>
    </row>
    <row r="48" spans="1:4">
      <c r="A48" s="3"/>
    </row>
  </sheetData>
  <mergeCells count="14">
    <mergeCell ref="C1:D1"/>
    <mergeCell ref="B3:D3"/>
    <mergeCell ref="B5:D5"/>
    <mergeCell ref="B6:D6"/>
    <mergeCell ref="B7:D7"/>
    <mergeCell ref="B8:C8"/>
    <mergeCell ref="B38:C38"/>
    <mergeCell ref="B39:C39"/>
    <mergeCell ref="B11:D11"/>
    <mergeCell ref="B12:B15"/>
    <mergeCell ref="B17:C17"/>
    <mergeCell ref="B18:D18"/>
    <mergeCell ref="B35:C35"/>
    <mergeCell ref="B36:C36"/>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9A29D-EDE8-4462-B2AE-8F11F8167FAD}">
  <sheetPr>
    <tabColor theme="6" tint="0.79998168889431442"/>
  </sheetPr>
  <dimension ref="A1:F40"/>
  <sheetViews>
    <sheetView zoomScaleNormal="100" workbookViewId="0">
      <selection activeCell="G3" sqref="G3"/>
    </sheetView>
  </sheetViews>
  <sheetFormatPr defaultRowHeight="12.75"/>
  <cols>
    <col min="1" max="1" width="10.7109375" customWidth="1"/>
    <col min="2" max="2" width="98.85546875" customWidth="1"/>
    <col min="3" max="3" width="25.5703125" customWidth="1"/>
  </cols>
  <sheetData>
    <row r="1" spans="1:3" ht="84.75" customHeight="1">
      <c r="B1" s="99" t="s">
        <v>308</v>
      </c>
      <c r="C1" s="99"/>
    </row>
    <row r="3" spans="1:3" ht="15.75">
      <c r="A3" s="100" t="s">
        <v>91</v>
      </c>
      <c r="B3" s="100"/>
      <c r="C3" s="100"/>
    </row>
    <row r="4" spans="1:3" ht="15.75">
      <c r="A4" s="40"/>
      <c r="B4" s="40"/>
      <c r="C4" s="40"/>
    </row>
    <row r="5" spans="1:3" ht="15.75">
      <c r="A5" s="101" t="s">
        <v>122</v>
      </c>
      <c r="B5" s="101"/>
      <c r="C5" s="101"/>
    </row>
    <row r="6" spans="1:3" ht="53.25" customHeight="1">
      <c r="A6" s="102" t="s">
        <v>131</v>
      </c>
      <c r="B6" s="102"/>
      <c r="C6" s="102"/>
    </row>
    <row r="7" spans="1:3" ht="15.75">
      <c r="A7" s="101" t="s">
        <v>124</v>
      </c>
      <c r="B7" s="101"/>
      <c r="C7" s="101"/>
    </row>
    <row r="8" spans="1:3" ht="15.75">
      <c r="A8" s="98" t="s">
        <v>126</v>
      </c>
      <c r="B8" s="98"/>
      <c r="C8" s="40"/>
    </row>
    <row r="10" spans="1:3" ht="63">
      <c r="A10" s="14" t="s">
        <v>24</v>
      </c>
      <c r="B10" s="15" t="s">
        <v>25</v>
      </c>
      <c r="C10" s="16" t="s">
        <v>30</v>
      </c>
    </row>
    <row r="11" spans="1:3" ht="16.5" thickBot="1">
      <c r="A11" s="105" t="s">
        <v>26</v>
      </c>
      <c r="B11" s="106"/>
      <c r="C11" s="107"/>
    </row>
    <row r="12" spans="1:3" ht="15.75">
      <c r="A12" s="108" t="s">
        <v>31</v>
      </c>
      <c r="B12" s="17" t="s">
        <v>79</v>
      </c>
      <c r="C12" s="18">
        <f>9.714*1*30</f>
        <v>291.42</v>
      </c>
    </row>
    <row r="13" spans="1:3" ht="15.75">
      <c r="A13" s="109"/>
      <c r="B13" s="19" t="s">
        <v>76</v>
      </c>
      <c r="C13" s="18">
        <f>11.571*1*30</f>
        <v>347.13</v>
      </c>
    </row>
    <row r="14" spans="1:3" ht="15.75">
      <c r="A14" s="109"/>
      <c r="B14" s="19" t="s">
        <v>69</v>
      </c>
      <c r="C14" s="18">
        <f>9.714*0.1*30</f>
        <v>29.142000000000003</v>
      </c>
    </row>
    <row r="15" spans="1:3" ht="15.75">
      <c r="A15" s="109"/>
      <c r="B15" s="19" t="s">
        <v>159</v>
      </c>
      <c r="C15" s="18">
        <f>15.4*0.1*30</f>
        <v>46.2</v>
      </c>
    </row>
    <row r="16" spans="1:3" ht="16.5" thickBot="1">
      <c r="A16" s="109"/>
      <c r="B16" s="20" t="s">
        <v>71</v>
      </c>
      <c r="C16" s="18">
        <f>18.607*0.1*30</f>
        <v>55.820999999999998</v>
      </c>
    </row>
    <row r="17" spans="1:6" ht="32.25" thickBot="1">
      <c r="A17" s="21" t="s">
        <v>32</v>
      </c>
      <c r="B17" s="22" t="s">
        <v>33</v>
      </c>
      <c r="C17" s="23">
        <f>(C12+C13+C14+C15+C16)*0.2359</f>
        <v>181.57529670000002</v>
      </c>
    </row>
    <row r="18" spans="1:6" ht="15.75">
      <c r="A18" s="111" t="s">
        <v>27</v>
      </c>
      <c r="B18" s="112"/>
      <c r="C18" s="24">
        <f>SUM(C12:C17)</f>
        <v>951.28829670000005</v>
      </c>
      <c r="F18" s="45">
        <f>C18+C21+C22</f>
        <v>1320.2432752174802</v>
      </c>
    </row>
    <row r="19" spans="1:6" ht="16.5" thickBot="1">
      <c r="A19" s="113" t="s">
        <v>28</v>
      </c>
      <c r="B19" s="114"/>
      <c r="C19" s="115"/>
      <c r="F19" s="45">
        <f>C23+C24+C25+C26+C27+C28+C29+C30+C31+C32+C33</f>
        <v>272.2442628</v>
      </c>
    </row>
    <row r="20" spans="1:6" ht="15.75">
      <c r="A20" s="25"/>
      <c r="B20" s="26" t="s">
        <v>34</v>
      </c>
      <c r="C20" s="27">
        <v>9.8600000000000005E-6</v>
      </c>
      <c r="F20" s="45">
        <f>C34+C35</f>
        <v>214.00272180000002</v>
      </c>
    </row>
    <row r="21" spans="1:6" ht="16.5" thickBot="1">
      <c r="A21" s="28" t="s">
        <v>35</v>
      </c>
      <c r="B21" s="29" t="s">
        <v>36</v>
      </c>
      <c r="C21" s="30">
        <f>1009234*$C$20*30</f>
        <v>298.53141720000002</v>
      </c>
    </row>
    <row r="22" spans="1:6" ht="32.25" thickBot="1">
      <c r="A22" s="31" t="s">
        <v>32</v>
      </c>
      <c r="B22" s="32" t="s">
        <v>33</v>
      </c>
      <c r="C22" s="30">
        <f>C21*0.2359</f>
        <v>70.423561317480008</v>
      </c>
    </row>
    <row r="23" spans="1:6" ht="32.25" thickBot="1">
      <c r="A23" s="31" t="s">
        <v>37</v>
      </c>
      <c r="B23" s="32" t="s">
        <v>38</v>
      </c>
      <c r="C23" s="30">
        <f>93709*$C$20*30</f>
        <v>27.719122200000001</v>
      </c>
    </row>
    <row r="24" spans="1:6" ht="18" customHeight="1" thickBot="1">
      <c r="A24" s="31" t="s">
        <v>39</v>
      </c>
      <c r="B24" s="32" t="s">
        <v>40</v>
      </c>
      <c r="C24" s="30">
        <f>76039*$C$20*30</f>
        <v>22.4923362</v>
      </c>
    </row>
    <row r="25" spans="1:6" ht="18.75" customHeight="1" thickBot="1">
      <c r="A25" s="31" t="s">
        <v>41</v>
      </c>
      <c r="B25" s="32" t="s">
        <v>42</v>
      </c>
      <c r="C25" s="30">
        <f>84854*$C$20*30</f>
        <v>25.099813200000003</v>
      </c>
    </row>
    <row r="26" spans="1:6" ht="32.25" thickBot="1">
      <c r="A26" s="31" t="s">
        <v>45</v>
      </c>
      <c r="B26" s="32" t="s">
        <v>46</v>
      </c>
      <c r="C26" s="30">
        <f>170156*$C$20*30</f>
        <v>50.332144800000002</v>
      </c>
    </row>
    <row r="27" spans="1:6" ht="32.25" thickBot="1">
      <c r="A27" s="31" t="s">
        <v>47</v>
      </c>
      <c r="B27" s="32" t="s">
        <v>48</v>
      </c>
      <c r="C27" s="30">
        <f>377637*$C$20*30</f>
        <v>111.70502460000002</v>
      </c>
    </row>
    <row r="28" spans="1:6" ht="20.25" customHeight="1" thickBot="1">
      <c r="A28" s="31" t="s">
        <v>49</v>
      </c>
      <c r="B28" s="32" t="s">
        <v>50</v>
      </c>
      <c r="C28" s="30">
        <f>51508*$C$20*30</f>
        <v>15.236066400000002</v>
      </c>
    </row>
    <row r="29" spans="1:6" ht="17.25" customHeight="1" thickBot="1">
      <c r="A29" s="31" t="s">
        <v>51</v>
      </c>
      <c r="B29" s="32" t="s">
        <v>52</v>
      </c>
      <c r="C29" s="30">
        <f>27437*$C$20*30</f>
        <v>8.1158646000000001</v>
      </c>
    </row>
    <row r="30" spans="1:6" ht="21" customHeight="1" thickBot="1">
      <c r="A30" s="31" t="s">
        <v>53</v>
      </c>
      <c r="B30" s="32" t="s">
        <v>54</v>
      </c>
      <c r="C30" s="30">
        <f>1110*$C$20*30</f>
        <v>0.32833800000000002</v>
      </c>
    </row>
    <row r="31" spans="1:6" ht="32.25" thickBot="1">
      <c r="A31" s="31" t="s">
        <v>55</v>
      </c>
      <c r="B31" s="32" t="s">
        <v>56</v>
      </c>
      <c r="C31" s="30">
        <f>13237*$C$20*30</f>
        <v>3.9155046000000002</v>
      </c>
    </row>
    <row r="32" spans="1:6" ht="32.25" thickBot="1">
      <c r="A32" s="31" t="s">
        <v>57</v>
      </c>
      <c r="B32" s="32" t="s">
        <v>58</v>
      </c>
      <c r="C32" s="30">
        <f>8480*$C$20*30</f>
        <v>2.5083839999999999</v>
      </c>
    </row>
    <row r="33" spans="1:3" ht="32.25" thickBot="1">
      <c r="A33" s="31" t="s">
        <v>59</v>
      </c>
      <c r="B33" s="32" t="s">
        <v>60</v>
      </c>
      <c r="C33" s="30">
        <f>16199*$C$20*30</f>
        <v>4.7916642000000005</v>
      </c>
    </row>
    <row r="34" spans="1:3" ht="18" customHeight="1" thickBot="1">
      <c r="A34" s="31" t="s">
        <v>61</v>
      </c>
      <c r="B34" s="32" t="s">
        <v>62</v>
      </c>
      <c r="C34" s="30">
        <f>106687*$C$20*30</f>
        <v>31.558014600000003</v>
      </c>
    </row>
    <row r="35" spans="1:3" ht="32.25" thickBot="1">
      <c r="A35" s="31" t="s">
        <v>63</v>
      </c>
      <c r="B35" s="34" t="s">
        <v>64</v>
      </c>
      <c r="C35" s="30">
        <f>616784*$C$20*30</f>
        <v>182.44470720000001</v>
      </c>
    </row>
    <row r="36" spans="1:3" ht="15.75">
      <c r="A36" s="116" t="s">
        <v>29</v>
      </c>
      <c r="B36" s="117"/>
      <c r="C36" s="35">
        <f>SUM(C21:C35)</f>
        <v>855.20196311748009</v>
      </c>
    </row>
    <row r="37" spans="1:3" ht="15.75">
      <c r="A37" s="118" t="s">
        <v>65</v>
      </c>
      <c r="B37" s="119"/>
      <c r="C37" s="36">
        <f>C36+C18</f>
        <v>1806.4902598174801</v>
      </c>
    </row>
    <row r="38" spans="1:3" ht="15.75">
      <c r="A38" s="1"/>
      <c r="B38" s="1"/>
      <c r="C38" s="37"/>
    </row>
    <row r="39" spans="1:3" ht="15.75">
      <c r="A39" s="103" t="s">
        <v>66</v>
      </c>
      <c r="B39" s="104"/>
      <c r="C39" s="38">
        <v>30</v>
      </c>
    </row>
    <row r="40" spans="1:3" ht="15.75">
      <c r="A40" s="103" t="s">
        <v>67</v>
      </c>
      <c r="B40" s="104"/>
      <c r="C40" s="39">
        <f>ROUND(C37/C39,2)</f>
        <v>60.22</v>
      </c>
    </row>
  </sheetData>
  <mergeCells count="14">
    <mergeCell ref="B1:C1"/>
    <mergeCell ref="A3:C3"/>
    <mergeCell ref="A5:C5"/>
    <mergeCell ref="A6:C6"/>
    <mergeCell ref="A7:C7"/>
    <mergeCell ref="A8:B8"/>
    <mergeCell ref="A39:B39"/>
    <mergeCell ref="A40:B40"/>
    <mergeCell ref="A11:C11"/>
    <mergeCell ref="A12:A16"/>
    <mergeCell ref="A18:B18"/>
    <mergeCell ref="A19:C19"/>
    <mergeCell ref="A36:B36"/>
    <mergeCell ref="A37:B37"/>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9D337-D519-4C92-ABEA-96D3A11A3FDF}">
  <sheetPr>
    <tabColor theme="6" tint="0.79998168889431442"/>
  </sheetPr>
  <dimension ref="A1:F39"/>
  <sheetViews>
    <sheetView zoomScaleNormal="100" workbookViewId="0">
      <selection activeCell="D9" sqref="D9"/>
    </sheetView>
  </sheetViews>
  <sheetFormatPr defaultRowHeight="12.75"/>
  <cols>
    <col min="1" max="1" width="10.7109375" customWidth="1"/>
    <col min="2" max="2" width="98.85546875" customWidth="1"/>
    <col min="3" max="3" width="25.5703125" customWidth="1"/>
  </cols>
  <sheetData>
    <row r="1" spans="1:3" ht="70.5" customHeight="1">
      <c r="B1" s="99" t="s">
        <v>308</v>
      </c>
      <c r="C1" s="99"/>
    </row>
    <row r="3" spans="1:3" ht="15.75">
      <c r="A3" s="100" t="s">
        <v>91</v>
      </c>
      <c r="B3" s="100"/>
      <c r="C3" s="100"/>
    </row>
    <row r="4" spans="1:3" ht="15.75">
      <c r="A4" s="40"/>
      <c r="B4" s="40"/>
      <c r="C4" s="40"/>
    </row>
    <row r="5" spans="1:3" ht="15.75">
      <c r="A5" s="101" t="s">
        <v>122</v>
      </c>
      <c r="B5" s="101"/>
      <c r="C5" s="101"/>
    </row>
    <row r="6" spans="1:3" ht="51.75" customHeight="1">
      <c r="A6" s="102" t="s">
        <v>132</v>
      </c>
      <c r="B6" s="102"/>
      <c r="C6" s="102"/>
    </row>
    <row r="7" spans="1:3" ht="15.75">
      <c r="A7" s="101" t="s">
        <v>124</v>
      </c>
      <c r="B7" s="101"/>
      <c r="C7" s="101"/>
    </row>
    <row r="8" spans="1:3" ht="15.75">
      <c r="A8" s="98" t="s">
        <v>133</v>
      </c>
      <c r="B8" s="98"/>
      <c r="C8" s="40"/>
    </row>
    <row r="10" spans="1:3" ht="63">
      <c r="A10" s="14" t="s">
        <v>24</v>
      </c>
      <c r="B10" s="15" t="s">
        <v>25</v>
      </c>
      <c r="C10" s="16" t="s">
        <v>30</v>
      </c>
    </row>
    <row r="11" spans="1:3" ht="16.5" thickBot="1">
      <c r="A11" s="105" t="s">
        <v>26</v>
      </c>
      <c r="B11" s="106"/>
      <c r="C11" s="107"/>
    </row>
    <row r="12" spans="1:3" ht="15.75">
      <c r="A12" s="108" t="s">
        <v>31</v>
      </c>
      <c r="B12" s="17" t="s">
        <v>68</v>
      </c>
      <c r="C12" s="18">
        <f>9.714*0.5*4</f>
        <v>19.428000000000001</v>
      </c>
    </row>
    <row r="13" spans="1:3" ht="18" customHeight="1">
      <c r="A13" s="109"/>
      <c r="B13" s="19" t="s">
        <v>89</v>
      </c>
      <c r="C13" s="18">
        <f>11.571*0.25*4</f>
        <v>11.571</v>
      </c>
    </row>
    <row r="14" spans="1:3" ht="15.75">
      <c r="A14" s="109"/>
      <c r="B14" s="19" t="s">
        <v>69</v>
      </c>
      <c r="C14" s="18">
        <f>9.714*0.1*4</f>
        <v>3.8856000000000002</v>
      </c>
    </row>
    <row r="15" spans="1:3" ht="15.75">
      <c r="A15" s="109"/>
      <c r="B15" s="19" t="s">
        <v>159</v>
      </c>
      <c r="C15" s="18">
        <f>15.4*0.1*4</f>
        <v>6.16</v>
      </c>
    </row>
    <row r="16" spans="1:3" ht="32.25" thickBot="1">
      <c r="A16" s="21" t="s">
        <v>32</v>
      </c>
      <c r="B16" s="22" t="s">
        <v>33</v>
      </c>
      <c r="C16" s="18">
        <f>(C12+C13+C14+C15)*0.2359</f>
        <v>9.6824211400000006</v>
      </c>
    </row>
    <row r="17" spans="1:6" ht="15.75">
      <c r="A17" s="111" t="s">
        <v>27</v>
      </c>
      <c r="B17" s="112"/>
      <c r="C17" s="24">
        <f>SUM(C12:C16)</f>
        <v>50.727021140000005</v>
      </c>
      <c r="F17" s="45">
        <f>C17+C20+C21</f>
        <v>70.434555489480005</v>
      </c>
    </row>
    <row r="18" spans="1:6" ht="16.5" thickBot="1">
      <c r="A18" s="113" t="s">
        <v>28</v>
      </c>
      <c r="B18" s="114"/>
      <c r="C18" s="115"/>
      <c r="F18" s="45">
        <f>C22+C23+C24+C25+C27+C26+C28+C29+C30+C31+C32</f>
        <v>16.426501600000002</v>
      </c>
    </row>
    <row r="19" spans="1:6" ht="15.75">
      <c r="A19" s="25"/>
      <c r="B19" s="26" t="s">
        <v>34</v>
      </c>
      <c r="C19" s="27">
        <v>3.9500000000000003E-6</v>
      </c>
      <c r="F19" s="45">
        <f>C33+C34</f>
        <v>11.4308418</v>
      </c>
    </row>
    <row r="20" spans="1:6" ht="16.5" thickBot="1">
      <c r="A20" s="28" t="s">
        <v>35</v>
      </c>
      <c r="B20" s="29" t="s">
        <v>36</v>
      </c>
      <c r="C20" s="30">
        <f>1009234*$C$19*4</f>
        <v>15.945897200000001</v>
      </c>
    </row>
    <row r="21" spans="1:6" ht="32.25" thickBot="1">
      <c r="A21" s="31" t="s">
        <v>32</v>
      </c>
      <c r="B21" s="32" t="s">
        <v>33</v>
      </c>
      <c r="C21" s="30">
        <f>C20*0.2359</f>
        <v>3.7616371494800003</v>
      </c>
    </row>
    <row r="22" spans="1:6" ht="32.25" thickBot="1">
      <c r="A22" s="31" t="s">
        <v>37</v>
      </c>
      <c r="B22" s="32" t="s">
        <v>38</v>
      </c>
      <c r="C22" s="30">
        <f>93709*$C$19*4</f>
        <v>1.4806022000000001</v>
      </c>
    </row>
    <row r="23" spans="1:6" ht="16.5" customHeight="1" thickBot="1">
      <c r="A23" s="31" t="s">
        <v>39</v>
      </c>
      <c r="B23" s="32" t="s">
        <v>40</v>
      </c>
      <c r="C23" s="30">
        <f>76039*$C$19*4</f>
        <v>1.2014162000000002</v>
      </c>
    </row>
    <row r="24" spans="1:6" ht="18.75" customHeight="1" thickBot="1">
      <c r="A24" s="31" t="s">
        <v>41</v>
      </c>
      <c r="B24" s="32" t="s">
        <v>42</v>
      </c>
      <c r="C24" s="30">
        <f>84854*$C$19*4</f>
        <v>1.3406932</v>
      </c>
    </row>
    <row r="25" spans="1:6" ht="16.5" thickBot="1">
      <c r="A25" s="31" t="s">
        <v>43</v>
      </c>
      <c r="B25" s="32" t="s">
        <v>44</v>
      </c>
      <c r="C25" s="30">
        <f>127766*$C$19*4</f>
        <v>2.0187028000000002</v>
      </c>
    </row>
    <row r="26" spans="1:6" ht="32.25" thickBot="1">
      <c r="A26" s="31" t="s">
        <v>45</v>
      </c>
      <c r="B26" s="32" t="s">
        <v>46</v>
      </c>
      <c r="C26" s="30">
        <f>170156*$C$19*4</f>
        <v>2.6884648000000002</v>
      </c>
    </row>
    <row r="27" spans="1:6" ht="32.25" thickBot="1">
      <c r="A27" s="31" t="s">
        <v>47</v>
      </c>
      <c r="B27" s="32" t="s">
        <v>48</v>
      </c>
      <c r="C27" s="30">
        <f>377637*$C$19*4</f>
        <v>5.9666646000000005</v>
      </c>
    </row>
    <row r="28" spans="1:6" ht="18.75" customHeight="1" thickBot="1">
      <c r="A28" s="31" t="s">
        <v>49</v>
      </c>
      <c r="B28" s="32" t="s">
        <v>50</v>
      </c>
      <c r="C28" s="30">
        <f>51508*$C$19*4</f>
        <v>0.81382640000000006</v>
      </c>
    </row>
    <row r="29" spans="1:6" ht="19.5" customHeight="1" thickBot="1">
      <c r="A29" s="31" t="s">
        <v>51</v>
      </c>
      <c r="B29" s="32" t="s">
        <v>52</v>
      </c>
      <c r="C29" s="30">
        <f>27437*$C$19*4</f>
        <v>0.43350460000000002</v>
      </c>
    </row>
    <row r="30" spans="1:6" ht="21" customHeight="1" thickBot="1">
      <c r="A30" s="31" t="s">
        <v>53</v>
      </c>
      <c r="B30" s="32" t="s">
        <v>54</v>
      </c>
      <c r="C30" s="30">
        <f>1110*$C$19*4</f>
        <v>1.7538000000000002E-2</v>
      </c>
    </row>
    <row r="31" spans="1:6" ht="32.25" thickBot="1">
      <c r="A31" s="31" t="s">
        <v>55</v>
      </c>
      <c r="B31" s="32" t="s">
        <v>56</v>
      </c>
      <c r="C31" s="30">
        <f>13237*$C$19*4</f>
        <v>0.20914460000000001</v>
      </c>
    </row>
    <row r="32" spans="1:6" ht="32.25" thickBot="1">
      <c r="A32" s="31" t="s">
        <v>59</v>
      </c>
      <c r="B32" s="32" t="s">
        <v>60</v>
      </c>
      <c r="C32" s="30">
        <f>16199*$C$19*4</f>
        <v>0.25594420000000001</v>
      </c>
    </row>
    <row r="33" spans="1:3" ht="21" customHeight="1" thickBot="1">
      <c r="A33" s="31" t="s">
        <v>61</v>
      </c>
      <c r="B33" s="32" t="s">
        <v>62</v>
      </c>
      <c r="C33" s="30">
        <f>106687*$C$19*4</f>
        <v>1.6856546000000001</v>
      </c>
    </row>
    <row r="34" spans="1:3" ht="32.25" thickBot="1">
      <c r="A34" s="31" t="s">
        <v>63</v>
      </c>
      <c r="B34" s="34" t="s">
        <v>64</v>
      </c>
      <c r="C34" s="30">
        <f>616784*$C$19*4</f>
        <v>9.7451872000000002</v>
      </c>
    </row>
    <row r="35" spans="1:3" ht="15.75">
      <c r="A35" s="116" t="s">
        <v>29</v>
      </c>
      <c r="B35" s="117"/>
      <c r="C35" s="35">
        <f>SUM(C20:C34)</f>
        <v>47.564877749480004</v>
      </c>
    </row>
    <row r="36" spans="1:3" ht="15.75">
      <c r="A36" s="118" t="s">
        <v>65</v>
      </c>
      <c r="B36" s="119"/>
      <c r="C36" s="36">
        <f>C35+C17</f>
        <v>98.291898889480009</v>
      </c>
    </row>
    <row r="37" spans="1:3" ht="15.75">
      <c r="A37" s="1"/>
      <c r="B37" s="1"/>
      <c r="C37" s="37"/>
    </row>
    <row r="38" spans="1:3" ht="15.75">
      <c r="A38" s="103" t="s">
        <v>66</v>
      </c>
      <c r="B38" s="104"/>
      <c r="C38" s="38">
        <v>4</v>
      </c>
    </row>
    <row r="39" spans="1:3" ht="15.75">
      <c r="A39" s="103" t="s">
        <v>67</v>
      </c>
      <c r="B39" s="104"/>
      <c r="C39" s="39">
        <f>ROUND(C36/C38,2)</f>
        <v>24.57</v>
      </c>
    </row>
  </sheetData>
  <mergeCells count="14">
    <mergeCell ref="B1:C1"/>
    <mergeCell ref="A3:C3"/>
    <mergeCell ref="A5:C5"/>
    <mergeCell ref="A6:C6"/>
    <mergeCell ref="A7:C7"/>
    <mergeCell ref="A8:B8"/>
    <mergeCell ref="A38:B38"/>
    <mergeCell ref="A39:B39"/>
    <mergeCell ref="A11:C11"/>
    <mergeCell ref="A12:A15"/>
    <mergeCell ref="A17:B17"/>
    <mergeCell ref="A18:C18"/>
    <mergeCell ref="A35:B35"/>
    <mergeCell ref="A36:B36"/>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EAFA8-8C96-4490-A423-B11A008F284A}">
  <sheetPr>
    <tabColor theme="6" tint="0.79998168889431442"/>
  </sheetPr>
  <dimension ref="A1:F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70.5" customHeight="1">
      <c r="B1" s="99" t="s">
        <v>308</v>
      </c>
      <c r="C1" s="99"/>
    </row>
    <row r="3" spans="1:3" ht="15.75">
      <c r="A3" s="100" t="s">
        <v>91</v>
      </c>
      <c r="B3" s="100"/>
      <c r="C3" s="100"/>
    </row>
    <row r="4" spans="1:3" ht="15.75">
      <c r="A4" s="40"/>
      <c r="B4" s="40"/>
      <c r="C4" s="40"/>
    </row>
    <row r="5" spans="1:3" ht="15.75" customHeight="1">
      <c r="A5" s="101" t="s">
        <v>122</v>
      </c>
      <c r="B5" s="101"/>
      <c r="C5" s="101"/>
    </row>
    <row r="6" spans="1:3" ht="51.75" customHeight="1">
      <c r="A6" s="102" t="s">
        <v>134</v>
      </c>
      <c r="B6" s="102"/>
      <c r="C6" s="102"/>
    </row>
    <row r="7" spans="1:3" ht="15.75" customHeight="1">
      <c r="A7" s="101" t="s">
        <v>124</v>
      </c>
      <c r="B7" s="101"/>
      <c r="C7" s="101"/>
    </row>
    <row r="8" spans="1:3" ht="15.75">
      <c r="A8" s="98" t="s">
        <v>133</v>
      </c>
      <c r="B8" s="98"/>
      <c r="C8" s="40"/>
    </row>
    <row r="10" spans="1:3" ht="63">
      <c r="A10" s="14" t="s">
        <v>24</v>
      </c>
      <c r="B10" s="15" t="s">
        <v>25</v>
      </c>
      <c r="C10" s="16" t="s">
        <v>30</v>
      </c>
    </row>
    <row r="11" spans="1:3" ht="16.5" thickBot="1">
      <c r="A11" s="105" t="s">
        <v>26</v>
      </c>
      <c r="B11" s="106"/>
      <c r="C11" s="107"/>
    </row>
    <row r="12" spans="1:3" ht="15.75">
      <c r="A12" s="108" t="s">
        <v>31</v>
      </c>
      <c r="B12" s="17" t="s">
        <v>68</v>
      </c>
      <c r="C12" s="18">
        <f>9.714*0.5*4</f>
        <v>19.428000000000001</v>
      </c>
    </row>
    <row r="13" spans="1:3" ht="18.75" customHeight="1">
      <c r="A13" s="109"/>
      <c r="B13" s="19" t="s">
        <v>89</v>
      </c>
      <c r="C13" s="18">
        <f>11.571*0.25*4</f>
        <v>11.571</v>
      </c>
    </row>
    <row r="14" spans="1:3" ht="15.75">
      <c r="A14" s="109"/>
      <c r="B14" s="19" t="s">
        <v>69</v>
      </c>
      <c r="C14" s="18">
        <f>9.714*0.1*4</f>
        <v>3.8856000000000002</v>
      </c>
    </row>
    <row r="15" spans="1:3" ht="15.75">
      <c r="A15" s="109"/>
      <c r="B15" s="19" t="s">
        <v>70</v>
      </c>
      <c r="C15" s="18">
        <f>15.4*0.1*4</f>
        <v>6.16</v>
      </c>
    </row>
    <row r="16" spans="1:3" ht="32.25" thickBot="1">
      <c r="A16" s="21" t="s">
        <v>32</v>
      </c>
      <c r="B16" s="22" t="s">
        <v>33</v>
      </c>
      <c r="C16" s="18">
        <f>(C12+C13+C14+C15)*0.2359</f>
        <v>9.6824211400000006</v>
      </c>
    </row>
    <row r="17" spans="1:6" ht="15.75">
      <c r="A17" s="111" t="s">
        <v>27</v>
      </c>
      <c r="B17" s="112"/>
      <c r="C17" s="24">
        <f>SUM(C12:C16)</f>
        <v>50.727021140000005</v>
      </c>
      <c r="F17" s="45">
        <f>C17+C20+C21</f>
        <v>70.434555489480005</v>
      </c>
    </row>
    <row r="18" spans="1:6" ht="16.5" thickBot="1">
      <c r="A18" s="113" t="s">
        <v>28</v>
      </c>
      <c r="B18" s="114"/>
      <c r="C18" s="115"/>
      <c r="F18" s="45">
        <f>C22+C23+C24+C25+C26+C27+C28+C29+C30+C31+C32</f>
        <v>16.426501599999998</v>
      </c>
    </row>
    <row r="19" spans="1:6" ht="15.75">
      <c r="A19" s="25"/>
      <c r="B19" s="26" t="s">
        <v>34</v>
      </c>
      <c r="C19" s="27">
        <v>3.9500000000000003E-6</v>
      </c>
      <c r="F19" s="45">
        <f>C33+C34</f>
        <v>11.4308418</v>
      </c>
    </row>
    <row r="20" spans="1:6" ht="16.5" thickBot="1">
      <c r="A20" s="28" t="s">
        <v>35</v>
      </c>
      <c r="B20" s="29" t="s">
        <v>36</v>
      </c>
      <c r="C20" s="30">
        <f>1009234*$C$19*4</f>
        <v>15.945897200000001</v>
      </c>
    </row>
    <row r="21" spans="1:6" ht="32.25" thickBot="1">
      <c r="A21" s="31" t="s">
        <v>32</v>
      </c>
      <c r="B21" s="32" t="s">
        <v>33</v>
      </c>
      <c r="C21" s="30">
        <f>C20*0.2359</f>
        <v>3.7616371494800003</v>
      </c>
    </row>
    <row r="22" spans="1:6" ht="32.25" thickBot="1">
      <c r="A22" s="31" t="s">
        <v>37</v>
      </c>
      <c r="B22" s="32" t="s">
        <v>38</v>
      </c>
      <c r="C22" s="30">
        <f>93709*$C$19*4</f>
        <v>1.4806022000000001</v>
      </c>
    </row>
    <row r="23" spans="1:6" ht="18" customHeight="1" thickBot="1">
      <c r="A23" s="31" t="s">
        <v>39</v>
      </c>
      <c r="B23" s="32" t="s">
        <v>40</v>
      </c>
      <c r="C23" s="30">
        <f>76039*$C$19*4</f>
        <v>1.2014162000000002</v>
      </c>
    </row>
    <row r="24" spans="1:6" ht="21" customHeight="1" thickBot="1">
      <c r="A24" s="31" t="s">
        <v>41</v>
      </c>
      <c r="B24" s="32" t="s">
        <v>42</v>
      </c>
      <c r="C24" s="30">
        <f>84854*$C$19*4</f>
        <v>1.3406932</v>
      </c>
    </row>
    <row r="25" spans="1:6" ht="16.5" thickBot="1">
      <c r="A25" s="31" t="s">
        <v>43</v>
      </c>
      <c r="B25" s="32" t="s">
        <v>44</v>
      </c>
      <c r="C25" s="30">
        <f>127766*$C$19*4</f>
        <v>2.0187028000000002</v>
      </c>
    </row>
    <row r="26" spans="1:6" ht="32.25" thickBot="1">
      <c r="A26" s="31" t="s">
        <v>45</v>
      </c>
      <c r="B26" s="32" t="s">
        <v>46</v>
      </c>
      <c r="C26" s="30">
        <f>170156*$C$19*4</f>
        <v>2.6884648000000002</v>
      </c>
    </row>
    <row r="27" spans="1:6" ht="32.25" thickBot="1">
      <c r="A27" s="31" t="s">
        <v>47</v>
      </c>
      <c r="B27" s="32" t="s">
        <v>48</v>
      </c>
      <c r="C27" s="30">
        <f>377637*$C$19*4</f>
        <v>5.9666646000000005</v>
      </c>
    </row>
    <row r="28" spans="1:6" ht="18" customHeight="1" thickBot="1">
      <c r="A28" s="31" t="s">
        <v>49</v>
      </c>
      <c r="B28" s="32" t="s">
        <v>50</v>
      </c>
      <c r="C28" s="30">
        <f>51508*$C$19*4</f>
        <v>0.81382640000000006</v>
      </c>
    </row>
    <row r="29" spans="1:6" ht="20.25" customHeight="1" thickBot="1">
      <c r="A29" s="31" t="s">
        <v>51</v>
      </c>
      <c r="B29" s="32" t="s">
        <v>52</v>
      </c>
      <c r="C29" s="30">
        <f>27437*$C$19*4</f>
        <v>0.43350460000000002</v>
      </c>
    </row>
    <row r="30" spans="1:6" ht="18" customHeight="1" thickBot="1">
      <c r="A30" s="31" t="s">
        <v>53</v>
      </c>
      <c r="B30" s="32" t="s">
        <v>54</v>
      </c>
      <c r="C30" s="30">
        <f>1110*$C$19*4</f>
        <v>1.7538000000000002E-2</v>
      </c>
    </row>
    <row r="31" spans="1:6" ht="32.25" thickBot="1">
      <c r="A31" s="31" t="s">
        <v>55</v>
      </c>
      <c r="B31" s="32" t="s">
        <v>56</v>
      </c>
      <c r="C31" s="30">
        <f>13237*$C$19*4</f>
        <v>0.20914460000000001</v>
      </c>
    </row>
    <row r="32" spans="1:6" ht="32.25" thickBot="1">
      <c r="A32" s="31" t="s">
        <v>59</v>
      </c>
      <c r="B32" s="32" t="s">
        <v>60</v>
      </c>
      <c r="C32" s="30">
        <f>16199*$C$19*4</f>
        <v>0.25594420000000001</v>
      </c>
    </row>
    <row r="33" spans="1:3" ht="17.25" customHeight="1" thickBot="1">
      <c r="A33" s="31" t="s">
        <v>61</v>
      </c>
      <c r="B33" s="32" t="s">
        <v>62</v>
      </c>
      <c r="C33" s="30">
        <f>106687*$C$19*4</f>
        <v>1.6856546000000001</v>
      </c>
    </row>
    <row r="34" spans="1:3" ht="32.25" thickBot="1">
      <c r="A34" s="31" t="s">
        <v>63</v>
      </c>
      <c r="B34" s="34" t="s">
        <v>64</v>
      </c>
      <c r="C34" s="30">
        <f>616784*$C$19*4</f>
        <v>9.7451872000000002</v>
      </c>
    </row>
    <row r="35" spans="1:3" ht="15.75">
      <c r="A35" s="116" t="s">
        <v>29</v>
      </c>
      <c r="B35" s="117"/>
      <c r="C35" s="35">
        <f>SUM(C20:C34)</f>
        <v>47.564877749480004</v>
      </c>
    </row>
    <row r="36" spans="1:3" ht="15.75">
      <c r="A36" s="118" t="s">
        <v>65</v>
      </c>
      <c r="B36" s="119"/>
      <c r="C36" s="36">
        <f>C35+C17</f>
        <v>98.291898889480009</v>
      </c>
    </row>
    <row r="37" spans="1:3" ht="15.75">
      <c r="A37" s="1"/>
      <c r="B37" s="1"/>
      <c r="C37" s="37"/>
    </row>
    <row r="38" spans="1:3" ht="15.75">
      <c r="A38" s="103" t="s">
        <v>66</v>
      </c>
      <c r="B38" s="104"/>
      <c r="C38" s="38">
        <v>4</v>
      </c>
    </row>
    <row r="39" spans="1:3" ht="15.75">
      <c r="A39" s="103" t="s">
        <v>67</v>
      </c>
      <c r="B39" s="104"/>
      <c r="C39" s="39">
        <f>ROUND(C36/C38,2)</f>
        <v>24.57</v>
      </c>
    </row>
  </sheetData>
  <mergeCells count="14">
    <mergeCell ref="A38:B38"/>
    <mergeCell ref="A39:B39"/>
    <mergeCell ref="A11:C11"/>
    <mergeCell ref="A12:A15"/>
    <mergeCell ref="A17:B17"/>
    <mergeCell ref="A18:C18"/>
    <mergeCell ref="A35:B35"/>
    <mergeCell ref="A36:B36"/>
    <mergeCell ref="A8:B8"/>
    <mergeCell ref="B1:C1"/>
    <mergeCell ref="A3:C3"/>
    <mergeCell ref="A5:C5"/>
    <mergeCell ref="A6:C6"/>
    <mergeCell ref="A7:C7"/>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76999-9FCC-49D1-A8EB-A97595F02AA3}">
  <sheetPr>
    <tabColor theme="6" tint="0.79998168889431442"/>
  </sheetPr>
  <dimension ref="A1:F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67.5" customHeight="1">
      <c r="B1" s="99" t="s">
        <v>308</v>
      </c>
      <c r="C1" s="99"/>
    </row>
    <row r="3" spans="1:3" ht="15.75">
      <c r="A3" s="100" t="s">
        <v>91</v>
      </c>
      <c r="B3" s="100"/>
      <c r="C3" s="100"/>
    </row>
    <row r="4" spans="1:3" ht="15.75">
      <c r="A4" s="40"/>
      <c r="B4" s="40"/>
      <c r="C4" s="40"/>
    </row>
    <row r="5" spans="1:3" ht="15.75">
      <c r="A5" s="101" t="s">
        <v>122</v>
      </c>
      <c r="B5" s="101"/>
      <c r="C5" s="101"/>
    </row>
    <row r="6" spans="1:3" ht="50.25" customHeight="1">
      <c r="A6" s="102" t="s">
        <v>135</v>
      </c>
      <c r="B6" s="102"/>
      <c r="C6" s="102"/>
    </row>
    <row r="7" spans="1:3" ht="15.75">
      <c r="A7" s="101" t="s">
        <v>124</v>
      </c>
      <c r="B7" s="101"/>
      <c r="C7" s="101"/>
    </row>
    <row r="8" spans="1:3" ht="15.75">
      <c r="A8" s="98" t="s">
        <v>128</v>
      </c>
      <c r="B8" s="98"/>
      <c r="C8" s="40"/>
    </row>
    <row r="10" spans="1:3" ht="63">
      <c r="A10" s="14" t="s">
        <v>24</v>
      </c>
      <c r="B10" s="15" t="s">
        <v>25</v>
      </c>
      <c r="C10" s="16" t="s">
        <v>30</v>
      </c>
    </row>
    <row r="11" spans="1:3" ht="16.5" thickBot="1">
      <c r="A11" s="105" t="s">
        <v>26</v>
      </c>
      <c r="B11" s="106"/>
      <c r="C11" s="107"/>
    </row>
    <row r="12" spans="1:3" ht="15.75">
      <c r="A12" s="108" t="s">
        <v>31</v>
      </c>
      <c r="B12" s="17" t="s">
        <v>79</v>
      </c>
      <c r="C12" s="18">
        <f>9.714*1*2</f>
        <v>19.428000000000001</v>
      </c>
    </row>
    <row r="13" spans="1:3" ht="15.75">
      <c r="A13" s="109"/>
      <c r="B13" s="19" t="s">
        <v>73</v>
      </c>
      <c r="C13" s="18">
        <f>11.571*0.5*2</f>
        <v>11.571</v>
      </c>
    </row>
    <row r="14" spans="1:3" ht="15.75">
      <c r="A14" s="109"/>
      <c r="B14" s="19" t="s">
        <v>69</v>
      </c>
      <c r="C14" s="18">
        <f>9.714*0.1*2</f>
        <v>1.9428000000000001</v>
      </c>
    </row>
    <row r="15" spans="1:3" ht="15.75">
      <c r="A15" s="109"/>
      <c r="B15" s="19" t="s">
        <v>159</v>
      </c>
      <c r="C15" s="18">
        <f>15.4*0.1*2</f>
        <v>3.08</v>
      </c>
    </row>
    <row r="16" spans="1:3" ht="16.5" thickBot="1">
      <c r="A16" s="109"/>
      <c r="B16" s="20" t="s">
        <v>71</v>
      </c>
      <c r="C16" s="18">
        <f>18.607*0.1*2</f>
        <v>3.7214</v>
      </c>
    </row>
    <row r="17" spans="1:6" ht="32.25" thickBot="1">
      <c r="A17" s="21" t="s">
        <v>32</v>
      </c>
      <c r="B17" s="22" t="s">
        <v>33</v>
      </c>
      <c r="C17" s="23">
        <f>(C12+C13+C14+C15+C16)*0.2359</f>
        <v>9.3754208800000001</v>
      </c>
    </row>
    <row r="18" spans="1:6" ht="15.75">
      <c r="A18" s="111" t="s">
        <v>27</v>
      </c>
      <c r="B18" s="112"/>
      <c r="C18" s="24">
        <f>SUM(C12:C17)</f>
        <v>49.118620880000002</v>
      </c>
      <c r="F18" s="45">
        <f>C18+C21+C22</f>
        <v>68.177552833168008</v>
      </c>
    </row>
    <row r="19" spans="1:6" ht="16.5" thickBot="1">
      <c r="A19" s="113" t="s">
        <v>28</v>
      </c>
      <c r="B19" s="114"/>
      <c r="C19" s="115"/>
      <c r="F19" s="45">
        <f>C23+C24+C25+C26+C27+C28+C29+C30+C31+C32</f>
        <v>11.4632088</v>
      </c>
    </row>
    <row r="20" spans="1:6" ht="15.75">
      <c r="A20" s="25"/>
      <c r="B20" s="26" t="s">
        <v>34</v>
      </c>
      <c r="C20" s="27">
        <v>7.6399999999999997E-6</v>
      </c>
      <c r="F20" s="45">
        <f>C33+C34</f>
        <v>11.054636879999999</v>
      </c>
    </row>
    <row r="21" spans="1:6" ht="16.5" thickBot="1">
      <c r="A21" s="28" t="s">
        <v>35</v>
      </c>
      <c r="B21" s="29" t="s">
        <v>36</v>
      </c>
      <c r="C21" s="30">
        <f>1009234*$C$20*2</f>
        <v>15.42109552</v>
      </c>
    </row>
    <row r="22" spans="1:6" ht="32.25" thickBot="1">
      <c r="A22" s="31" t="s">
        <v>32</v>
      </c>
      <c r="B22" s="32" t="s">
        <v>33</v>
      </c>
      <c r="C22" s="30">
        <f>C21*0.2359</f>
        <v>3.6378364331679998</v>
      </c>
    </row>
    <row r="23" spans="1:6" ht="32.25" thickBot="1">
      <c r="A23" s="31" t="s">
        <v>37</v>
      </c>
      <c r="B23" s="32" t="s">
        <v>38</v>
      </c>
      <c r="C23" s="30">
        <f>93709*$C$20*2</f>
        <v>1.4318735199999999</v>
      </c>
    </row>
    <row r="24" spans="1:6" ht="19.5" customHeight="1" thickBot="1">
      <c r="A24" s="31" t="s">
        <v>39</v>
      </c>
      <c r="B24" s="32" t="s">
        <v>40</v>
      </c>
      <c r="C24" s="30">
        <f>76039*$C$20*2</f>
        <v>1.16187592</v>
      </c>
    </row>
    <row r="25" spans="1:6" ht="21" customHeight="1" thickBot="1">
      <c r="A25" s="31" t="s">
        <v>41</v>
      </c>
      <c r="B25" s="32" t="s">
        <v>42</v>
      </c>
      <c r="C25" s="30">
        <f>84854*$C$20*2</f>
        <v>1.29656912</v>
      </c>
    </row>
    <row r="26" spans="1:6" ht="32.25" thickBot="1">
      <c r="A26" s="31" t="s">
        <v>47</v>
      </c>
      <c r="B26" s="32" t="s">
        <v>48</v>
      </c>
      <c r="C26" s="30">
        <f>377637*$C$20*2</f>
        <v>5.7702933600000001</v>
      </c>
    </row>
    <row r="27" spans="1:6" ht="18.75" customHeight="1" thickBot="1">
      <c r="A27" s="31" t="s">
        <v>49</v>
      </c>
      <c r="B27" s="32" t="s">
        <v>50</v>
      </c>
      <c r="C27" s="30">
        <f>51508*$C$20*2</f>
        <v>0.78704224</v>
      </c>
    </row>
    <row r="28" spans="1:6" ht="21" customHeight="1" thickBot="1">
      <c r="A28" s="31" t="s">
        <v>51</v>
      </c>
      <c r="B28" s="32" t="s">
        <v>52</v>
      </c>
      <c r="C28" s="30">
        <f>27437*$C$20*2</f>
        <v>0.41923736</v>
      </c>
    </row>
    <row r="29" spans="1:6" ht="20.25" customHeight="1" thickBot="1">
      <c r="A29" s="31" t="s">
        <v>53</v>
      </c>
      <c r="B29" s="32" t="s">
        <v>54</v>
      </c>
      <c r="C29" s="30">
        <f>1110*$C$20*2</f>
        <v>1.6960799999999998E-2</v>
      </c>
    </row>
    <row r="30" spans="1:6" ht="32.25" thickBot="1">
      <c r="A30" s="31" t="s">
        <v>55</v>
      </c>
      <c r="B30" s="32" t="s">
        <v>56</v>
      </c>
      <c r="C30" s="30">
        <f>13237*$C$20*2</f>
        <v>0.20226136</v>
      </c>
    </row>
    <row r="31" spans="1:6" ht="32.25" thickBot="1">
      <c r="A31" s="31" t="s">
        <v>57</v>
      </c>
      <c r="B31" s="32" t="s">
        <v>58</v>
      </c>
      <c r="C31" s="30">
        <f>8480*$C$20*2</f>
        <v>0.12957440000000001</v>
      </c>
    </row>
    <row r="32" spans="1:6" ht="32.25" thickBot="1">
      <c r="A32" s="31" t="s">
        <v>59</v>
      </c>
      <c r="B32" s="32" t="s">
        <v>60</v>
      </c>
      <c r="C32" s="30">
        <f>16199*$C$20*2</f>
        <v>0.24752072</v>
      </c>
    </row>
    <row r="33" spans="1:3" ht="18" customHeight="1" thickBot="1">
      <c r="A33" s="31" t="s">
        <v>61</v>
      </c>
      <c r="B33" s="32" t="s">
        <v>62</v>
      </c>
      <c r="C33" s="30">
        <f>106687*$C$20*2</f>
        <v>1.63017736</v>
      </c>
    </row>
    <row r="34" spans="1:3" ht="32.25" thickBot="1">
      <c r="A34" s="31" t="s">
        <v>63</v>
      </c>
      <c r="B34" s="34" t="s">
        <v>64</v>
      </c>
      <c r="C34" s="30">
        <f>616784*$C$20*2</f>
        <v>9.4244595199999992</v>
      </c>
    </row>
    <row r="35" spans="1:3" ht="15.75">
      <c r="A35" s="116" t="s">
        <v>29</v>
      </c>
      <c r="B35" s="117"/>
      <c r="C35" s="35">
        <f>SUM(C21:C34)</f>
        <v>41.576777633168</v>
      </c>
    </row>
    <row r="36" spans="1:3" ht="15.75">
      <c r="A36" s="118" t="s">
        <v>65</v>
      </c>
      <c r="B36" s="119"/>
      <c r="C36" s="36">
        <f>C35+C18</f>
        <v>90.695398513168001</v>
      </c>
    </row>
    <row r="37" spans="1:3" ht="15.75">
      <c r="A37" s="1"/>
      <c r="B37" s="1"/>
      <c r="C37" s="37"/>
    </row>
    <row r="38" spans="1:3" ht="15.75">
      <c r="A38" s="103" t="s">
        <v>66</v>
      </c>
      <c r="B38" s="104"/>
      <c r="C38" s="38">
        <v>2</v>
      </c>
    </row>
    <row r="39" spans="1:3" ht="15.75">
      <c r="A39" s="103" t="s">
        <v>67</v>
      </c>
      <c r="B39" s="104"/>
      <c r="C39" s="39">
        <f>ROUND(C36/C38,2)</f>
        <v>45.35</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0477F-D1C1-4688-AE14-BE8F09CC464F}">
  <sheetPr>
    <tabColor theme="6" tint="0.79998168889431442"/>
  </sheetPr>
  <dimension ref="A1:F40"/>
  <sheetViews>
    <sheetView zoomScaleNormal="100" workbookViewId="0">
      <selection activeCell="F6" sqref="F6"/>
    </sheetView>
  </sheetViews>
  <sheetFormatPr defaultRowHeight="12.75"/>
  <cols>
    <col min="1" max="1" width="10.7109375" customWidth="1"/>
    <col min="2" max="2" width="98.85546875" customWidth="1"/>
    <col min="3" max="3" width="25.5703125" customWidth="1"/>
  </cols>
  <sheetData>
    <row r="1" spans="1:3" ht="71.25" customHeight="1">
      <c r="B1" s="99" t="s">
        <v>308</v>
      </c>
      <c r="C1" s="99"/>
    </row>
    <row r="3" spans="1:3" ht="15.75">
      <c r="A3" s="100" t="s">
        <v>91</v>
      </c>
      <c r="B3" s="100"/>
      <c r="C3" s="100"/>
    </row>
    <row r="4" spans="1:3" ht="15.75">
      <c r="A4" s="40"/>
      <c r="B4" s="40"/>
      <c r="C4" s="40"/>
    </row>
    <row r="5" spans="1:3" ht="15.75">
      <c r="A5" s="101" t="s">
        <v>122</v>
      </c>
      <c r="B5" s="101"/>
      <c r="C5" s="101"/>
    </row>
    <row r="6" spans="1:3" ht="51.75" customHeight="1">
      <c r="A6" s="102" t="s">
        <v>136</v>
      </c>
      <c r="B6" s="102"/>
      <c r="C6" s="102"/>
    </row>
    <row r="7" spans="1:3" ht="15.75">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79</v>
      </c>
      <c r="C12" s="18">
        <f>9.714*1*1</f>
        <v>9.7140000000000004</v>
      </c>
    </row>
    <row r="13" spans="1:3" ht="15.75">
      <c r="A13" s="109"/>
      <c r="B13" s="19" t="s">
        <v>76</v>
      </c>
      <c r="C13" s="18">
        <f>11.571*1*1</f>
        <v>11.571</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6" ht="32.25" thickBot="1">
      <c r="A17" s="21" t="s">
        <v>32</v>
      </c>
      <c r="B17" s="22" t="s">
        <v>33</v>
      </c>
      <c r="C17" s="23">
        <f>(C12+C13+C14+C15+C16)*0.2359</f>
        <v>6.0525098899999996</v>
      </c>
    </row>
    <row r="18" spans="1:6" ht="15.75">
      <c r="A18" s="111" t="s">
        <v>27</v>
      </c>
      <c r="B18" s="112"/>
      <c r="C18" s="24">
        <f>SUM(C12:C17)</f>
        <v>31.709609889999999</v>
      </c>
      <c r="F18" s="45">
        <f>C18+C21+C22</f>
        <v>44.008109173916004</v>
      </c>
    </row>
    <row r="19" spans="1:6" ht="16.5" thickBot="1">
      <c r="A19" s="113" t="s">
        <v>28</v>
      </c>
      <c r="B19" s="114"/>
      <c r="C19" s="115"/>
      <c r="F19" s="45">
        <f>C23+C24+C25+C26+C27+C28+C29+C30+C31+C32+C33</f>
        <v>9.0748087599999998</v>
      </c>
    </row>
    <row r="20" spans="1:6" ht="15.75">
      <c r="A20" s="25"/>
      <c r="B20" s="26" t="s">
        <v>34</v>
      </c>
      <c r="C20" s="27">
        <v>9.8600000000000005E-6</v>
      </c>
      <c r="F20" s="45">
        <f>C34+C35</f>
        <v>7.1334240600000003</v>
      </c>
    </row>
    <row r="21" spans="1:6" ht="16.5" thickBot="1">
      <c r="A21" s="28" t="s">
        <v>35</v>
      </c>
      <c r="B21" s="29" t="s">
        <v>36</v>
      </c>
      <c r="C21" s="30">
        <f>1009234*$C$20*1</f>
        <v>9.9510472400000012</v>
      </c>
    </row>
    <row r="22" spans="1:6" ht="32.25" thickBot="1">
      <c r="A22" s="31" t="s">
        <v>32</v>
      </c>
      <c r="B22" s="32" t="s">
        <v>33</v>
      </c>
      <c r="C22" s="30">
        <f>C21*0.2359</f>
        <v>2.3474520439160003</v>
      </c>
    </row>
    <row r="23" spans="1:6" ht="32.25" thickBot="1">
      <c r="A23" s="31" t="s">
        <v>37</v>
      </c>
      <c r="B23" s="32" t="s">
        <v>38</v>
      </c>
      <c r="C23" s="30">
        <f>93709*$C$20*1</f>
        <v>0.92397074000000001</v>
      </c>
    </row>
    <row r="24" spans="1:6" ht="17.25" customHeight="1" thickBot="1">
      <c r="A24" s="31" t="s">
        <v>39</v>
      </c>
      <c r="B24" s="32" t="s">
        <v>40</v>
      </c>
      <c r="C24" s="30">
        <f>76039*$C$20*1</f>
        <v>0.74974454000000001</v>
      </c>
    </row>
    <row r="25" spans="1:6" ht="20.25" customHeight="1" thickBot="1">
      <c r="A25" s="31" t="s">
        <v>41</v>
      </c>
      <c r="B25" s="32" t="s">
        <v>42</v>
      </c>
      <c r="C25" s="30">
        <f>84854*$C$20*1</f>
        <v>0.83666044000000006</v>
      </c>
    </row>
    <row r="26" spans="1:6" ht="32.25" thickBot="1">
      <c r="A26" s="31" t="s">
        <v>45</v>
      </c>
      <c r="B26" s="32" t="s">
        <v>46</v>
      </c>
      <c r="C26" s="30">
        <f>170156*$C$20*1</f>
        <v>1.6777381600000001</v>
      </c>
    </row>
    <row r="27" spans="1:6" ht="32.25" thickBot="1">
      <c r="A27" s="31" t="s">
        <v>47</v>
      </c>
      <c r="B27" s="32" t="s">
        <v>48</v>
      </c>
      <c r="C27" s="30">
        <f>377637*$C$20*1</f>
        <v>3.7235008200000004</v>
      </c>
    </row>
    <row r="28" spans="1:6" ht="18" customHeight="1" thickBot="1">
      <c r="A28" s="31" t="s">
        <v>49</v>
      </c>
      <c r="B28" s="32" t="s">
        <v>50</v>
      </c>
      <c r="C28" s="30">
        <f>51508*$C$20*1</f>
        <v>0.50786888000000008</v>
      </c>
    </row>
    <row r="29" spans="1:6" ht="19.5" customHeight="1" thickBot="1">
      <c r="A29" s="31" t="s">
        <v>51</v>
      </c>
      <c r="B29" s="32" t="s">
        <v>52</v>
      </c>
      <c r="C29" s="30">
        <f>27437*$C$20*1</f>
        <v>0.27052882</v>
      </c>
    </row>
    <row r="30" spans="1:6" ht="19.5" customHeight="1" thickBot="1">
      <c r="A30" s="31" t="s">
        <v>53</v>
      </c>
      <c r="B30" s="32" t="s">
        <v>54</v>
      </c>
      <c r="C30" s="30">
        <f>1110*$C$20*1</f>
        <v>1.0944600000000001E-2</v>
      </c>
    </row>
    <row r="31" spans="1:6" ht="32.25" thickBot="1">
      <c r="A31" s="31" t="s">
        <v>55</v>
      </c>
      <c r="B31" s="32" t="s">
        <v>56</v>
      </c>
      <c r="C31" s="30">
        <f>13237*$C$20*1</f>
        <v>0.13051682000000001</v>
      </c>
    </row>
    <row r="32" spans="1:6" ht="32.25" thickBot="1">
      <c r="A32" s="31" t="s">
        <v>57</v>
      </c>
      <c r="B32" s="32" t="s">
        <v>58</v>
      </c>
      <c r="C32" s="30">
        <f>8480*$C$20*1</f>
        <v>8.3612800000000001E-2</v>
      </c>
    </row>
    <row r="33" spans="1:3" ht="32.25" thickBot="1">
      <c r="A33" s="31" t="s">
        <v>59</v>
      </c>
      <c r="B33" s="32" t="s">
        <v>60</v>
      </c>
      <c r="C33" s="30">
        <f>16199*$C$20*1</f>
        <v>0.15972214000000001</v>
      </c>
    </row>
    <row r="34" spans="1:3" ht="20.25" customHeight="1" thickBot="1">
      <c r="A34" s="31" t="s">
        <v>61</v>
      </c>
      <c r="B34" s="32" t="s">
        <v>62</v>
      </c>
      <c r="C34" s="30">
        <f>106687*$C$20*1</f>
        <v>1.0519338200000001</v>
      </c>
    </row>
    <row r="35" spans="1:3" ht="32.25" thickBot="1">
      <c r="A35" s="31" t="s">
        <v>63</v>
      </c>
      <c r="B35" s="34" t="s">
        <v>64</v>
      </c>
      <c r="C35" s="30">
        <f>616784*$C$20*1</f>
        <v>6.0814902399999999</v>
      </c>
    </row>
    <row r="36" spans="1:3" ht="15.75">
      <c r="A36" s="116" t="s">
        <v>29</v>
      </c>
      <c r="B36" s="117"/>
      <c r="C36" s="35">
        <f>SUM(C21:C35)</f>
        <v>28.506732103916001</v>
      </c>
    </row>
    <row r="37" spans="1:3" ht="15.75">
      <c r="A37" s="118" t="s">
        <v>65</v>
      </c>
      <c r="B37" s="119"/>
      <c r="C37" s="36">
        <f>C36+C18</f>
        <v>60.216341993916004</v>
      </c>
    </row>
    <row r="38" spans="1:3" ht="15.75">
      <c r="A38" s="1"/>
      <c r="B38" s="1"/>
      <c r="C38" s="37"/>
    </row>
    <row r="39" spans="1:3" ht="15.75">
      <c r="A39" s="103" t="s">
        <v>66</v>
      </c>
      <c r="B39" s="104"/>
      <c r="C39" s="38">
        <v>1</v>
      </c>
    </row>
    <row r="40" spans="1:3" ht="15.75">
      <c r="A40" s="103" t="s">
        <v>67</v>
      </c>
      <c r="B40" s="104"/>
      <c r="C40" s="39">
        <f>ROUND(C37/C39,2)</f>
        <v>60.22</v>
      </c>
    </row>
  </sheetData>
  <mergeCells count="14">
    <mergeCell ref="B1:C1"/>
    <mergeCell ref="A3:C3"/>
    <mergeCell ref="A5:C5"/>
    <mergeCell ref="A6:C6"/>
    <mergeCell ref="A7:C7"/>
    <mergeCell ref="A8:B8"/>
    <mergeCell ref="A39:B39"/>
    <mergeCell ref="A40:B40"/>
    <mergeCell ref="A11:C11"/>
    <mergeCell ref="A12:A16"/>
    <mergeCell ref="A18:B18"/>
    <mergeCell ref="A19:C19"/>
    <mergeCell ref="A36:B36"/>
    <mergeCell ref="A37:B37"/>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09E47-29B0-44DA-B623-326E3BDACB83}">
  <sheetPr>
    <tabColor theme="6" tint="0.79998168889431442"/>
  </sheetPr>
  <dimension ref="A1:E41"/>
  <sheetViews>
    <sheetView zoomScaleNormal="100" workbookViewId="0">
      <selection activeCell="G2" sqref="G2"/>
    </sheetView>
  </sheetViews>
  <sheetFormatPr defaultRowHeight="12.75"/>
  <cols>
    <col min="1" max="1" width="10.7109375" customWidth="1"/>
    <col min="2" max="2" width="98.85546875" customWidth="1"/>
    <col min="3" max="3" width="25.5703125" customWidth="1"/>
  </cols>
  <sheetData>
    <row r="1" spans="1:5" ht="76.5" customHeight="1">
      <c r="B1" s="99" t="s">
        <v>308</v>
      </c>
      <c r="C1" s="99"/>
    </row>
    <row r="3" spans="1:5" ht="15.75">
      <c r="A3" s="100" t="s">
        <v>91</v>
      </c>
      <c r="B3" s="100"/>
      <c r="C3" s="100"/>
    </row>
    <row r="4" spans="1:5" ht="15.75">
      <c r="A4" s="40"/>
      <c r="B4" s="40"/>
      <c r="C4" s="40"/>
    </row>
    <row r="5" spans="1:5" ht="15.75">
      <c r="A5" s="101" t="s">
        <v>122</v>
      </c>
      <c r="B5" s="101"/>
      <c r="C5" s="101"/>
    </row>
    <row r="6" spans="1:5" ht="70.5" customHeight="1">
      <c r="A6" s="102" t="s">
        <v>137</v>
      </c>
      <c r="B6" s="102"/>
      <c r="C6" s="102"/>
    </row>
    <row r="7" spans="1:5" ht="15.75">
      <c r="A7" s="101" t="s">
        <v>124</v>
      </c>
      <c r="B7" s="101"/>
      <c r="C7" s="101"/>
    </row>
    <row r="8" spans="1:5" ht="15.75">
      <c r="A8" s="98" t="s">
        <v>102</v>
      </c>
      <c r="B8" s="98"/>
      <c r="C8" s="40"/>
    </row>
    <row r="10" spans="1:5" ht="63">
      <c r="A10" s="14" t="s">
        <v>24</v>
      </c>
      <c r="B10" s="15" t="s">
        <v>25</v>
      </c>
      <c r="C10" s="16" t="s">
        <v>30</v>
      </c>
    </row>
    <row r="11" spans="1:5" ht="16.5" thickBot="1">
      <c r="A11" s="105" t="s">
        <v>26</v>
      </c>
      <c r="B11" s="106"/>
      <c r="C11" s="107"/>
    </row>
    <row r="12" spans="1:5" ht="15.75">
      <c r="A12" s="108" t="s">
        <v>31</v>
      </c>
      <c r="B12" s="17" t="s">
        <v>80</v>
      </c>
      <c r="C12" s="18">
        <f>9.714*3*1</f>
        <v>29.142000000000003</v>
      </c>
    </row>
    <row r="13" spans="1:5" ht="17.25" customHeight="1">
      <c r="A13" s="109"/>
      <c r="B13" s="19" t="s">
        <v>81</v>
      </c>
      <c r="C13" s="18">
        <f>11.571*2.5*1</f>
        <v>28.927499999999998</v>
      </c>
    </row>
    <row r="14" spans="1:5" ht="15.75">
      <c r="A14" s="109"/>
      <c r="B14" s="19" t="s">
        <v>69</v>
      </c>
      <c r="C14" s="18">
        <f>9.714*0.1*1</f>
        <v>0.97140000000000004</v>
      </c>
    </row>
    <row r="15" spans="1:5" ht="15.75">
      <c r="A15" s="109"/>
      <c r="B15" s="19" t="s">
        <v>159</v>
      </c>
      <c r="C15" s="18">
        <f>15.4*0.1*1</f>
        <v>1.54</v>
      </c>
    </row>
    <row r="16" spans="1:5" ht="16.5" thickBot="1">
      <c r="A16" s="109"/>
      <c r="B16" s="20" t="s">
        <v>71</v>
      </c>
      <c r="C16" s="18">
        <f>18.607*0.1*1</f>
        <v>1.8607</v>
      </c>
      <c r="E16" s="45">
        <f>C18+C21+C22</f>
        <v>107.119541777406</v>
      </c>
    </row>
    <row r="17" spans="1:5" ht="32.25" thickBot="1">
      <c r="A17" s="21" t="s">
        <v>32</v>
      </c>
      <c r="B17" s="22" t="s">
        <v>33</v>
      </c>
      <c r="C17" s="23">
        <f>(C12+C13+C14+C15+C16)*0.2359</f>
        <v>14.729973440000002</v>
      </c>
      <c r="E17" s="45">
        <f>C23+C24+C25+C26+C27+C28+C29+C30+C31+C32+C33+C34</f>
        <v>25.16564932</v>
      </c>
    </row>
    <row r="18" spans="1:5" ht="15.75">
      <c r="A18" s="111" t="s">
        <v>27</v>
      </c>
      <c r="B18" s="112"/>
      <c r="C18" s="24">
        <f>SUM(C12:C17)</f>
        <v>77.171573440000003</v>
      </c>
      <c r="E18" s="45">
        <f>C35+C36</f>
        <v>17.370538709999998</v>
      </c>
    </row>
    <row r="19" spans="1:5" ht="16.5" thickBot="1">
      <c r="A19" s="113" t="s">
        <v>28</v>
      </c>
      <c r="B19" s="114"/>
      <c r="C19" s="115"/>
    </row>
    <row r="20" spans="1:5" ht="15.75">
      <c r="A20" s="25"/>
      <c r="B20" s="26" t="s">
        <v>34</v>
      </c>
      <c r="C20" s="27">
        <v>2.4009999999999999E-5</v>
      </c>
    </row>
    <row r="21" spans="1:5" ht="16.5" thickBot="1">
      <c r="A21" s="28" t="s">
        <v>35</v>
      </c>
      <c r="B21" s="29" t="s">
        <v>36</v>
      </c>
      <c r="C21" s="30">
        <f>1009234*$C$20*1</f>
        <v>24.231708339999997</v>
      </c>
    </row>
    <row r="22" spans="1:5" ht="32.25" thickBot="1">
      <c r="A22" s="31" t="s">
        <v>32</v>
      </c>
      <c r="B22" s="32" t="s">
        <v>33</v>
      </c>
      <c r="C22" s="30">
        <f>C21*0.2359</f>
        <v>5.7162599974059995</v>
      </c>
    </row>
    <row r="23" spans="1:5" ht="32.25" thickBot="1">
      <c r="A23" s="31" t="s">
        <v>37</v>
      </c>
      <c r="B23" s="32" t="s">
        <v>38</v>
      </c>
      <c r="C23" s="30">
        <f>93709*$C$20*1</f>
        <v>2.24995309</v>
      </c>
    </row>
    <row r="24" spans="1:5" ht="18" customHeight="1" thickBot="1">
      <c r="A24" s="31" t="s">
        <v>39</v>
      </c>
      <c r="B24" s="32" t="s">
        <v>40</v>
      </c>
      <c r="C24" s="30">
        <f>76039*$C$20*1</f>
        <v>1.8256963899999998</v>
      </c>
    </row>
    <row r="25" spans="1:5" ht="20.25" customHeight="1" thickBot="1">
      <c r="A25" s="31" t="s">
        <v>41</v>
      </c>
      <c r="B25" s="32" t="s">
        <v>42</v>
      </c>
      <c r="C25" s="30">
        <f>84854*$C$20*1</f>
        <v>2.0373445399999999</v>
      </c>
    </row>
    <row r="26" spans="1:5" ht="16.5" thickBot="1">
      <c r="A26" s="31" t="s">
        <v>43</v>
      </c>
      <c r="B26" s="32" t="s">
        <v>44</v>
      </c>
      <c r="C26" s="30">
        <f>127766*$C$20*1</f>
        <v>3.0676616599999997</v>
      </c>
    </row>
    <row r="27" spans="1:5" ht="32.25" thickBot="1">
      <c r="A27" s="31" t="s">
        <v>45</v>
      </c>
      <c r="B27" s="32" t="s">
        <v>46</v>
      </c>
      <c r="C27" s="30">
        <f>170156*$C$20*1</f>
        <v>4.0854455600000001</v>
      </c>
    </row>
    <row r="28" spans="1:5" ht="32.25" thickBot="1">
      <c r="A28" s="31" t="s">
        <v>47</v>
      </c>
      <c r="B28" s="32" t="s">
        <v>48</v>
      </c>
      <c r="C28" s="30">
        <f>377637*$C$20*1</f>
        <v>9.0670643699999989</v>
      </c>
    </row>
    <row r="29" spans="1:5" ht="18.75" customHeight="1" thickBot="1">
      <c r="A29" s="31" t="s">
        <v>49</v>
      </c>
      <c r="B29" s="32" t="s">
        <v>50</v>
      </c>
      <c r="C29" s="30">
        <f>51508*$C$20*1</f>
        <v>1.23670708</v>
      </c>
    </row>
    <row r="30" spans="1:5" ht="19.5" customHeight="1" thickBot="1">
      <c r="A30" s="31" t="s">
        <v>51</v>
      </c>
      <c r="B30" s="32" t="s">
        <v>52</v>
      </c>
      <c r="C30" s="30">
        <f>27437*$C$20*1</f>
        <v>0.65876236999999993</v>
      </c>
    </row>
    <row r="31" spans="1:5" ht="20.25" customHeight="1" thickBot="1">
      <c r="A31" s="31" t="s">
        <v>53</v>
      </c>
      <c r="B31" s="32" t="s">
        <v>54</v>
      </c>
      <c r="C31" s="30">
        <f>1110*$C$20*1</f>
        <v>2.6651099999999997E-2</v>
      </c>
    </row>
    <row r="32" spans="1:5" ht="32.25" thickBot="1">
      <c r="A32" s="31" t="s">
        <v>55</v>
      </c>
      <c r="B32" s="32" t="s">
        <v>56</v>
      </c>
      <c r="C32" s="30">
        <f>13237*$C$20*1</f>
        <v>0.31782036999999996</v>
      </c>
    </row>
    <row r="33" spans="1:3" ht="32.25" thickBot="1">
      <c r="A33" s="31" t="s">
        <v>57</v>
      </c>
      <c r="B33" s="32" t="s">
        <v>58</v>
      </c>
      <c r="C33" s="30">
        <f>8480*$C$20*1</f>
        <v>0.2036048</v>
      </c>
    </row>
    <row r="34" spans="1:3" ht="32.25" thickBot="1">
      <c r="A34" s="31" t="s">
        <v>59</v>
      </c>
      <c r="B34" s="32" t="s">
        <v>60</v>
      </c>
      <c r="C34" s="30">
        <f>16199*$C$20*1</f>
        <v>0.38893798999999996</v>
      </c>
    </row>
    <row r="35" spans="1:3" ht="18.75" customHeight="1" thickBot="1">
      <c r="A35" s="31" t="s">
        <v>61</v>
      </c>
      <c r="B35" s="32" t="s">
        <v>62</v>
      </c>
      <c r="C35" s="30">
        <f>106687*$C$20*1</f>
        <v>2.5615548699999997</v>
      </c>
    </row>
    <row r="36" spans="1:3" ht="32.25" thickBot="1">
      <c r="A36" s="31" t="s">
        <v>63</v>
      </c>
      <c r="B36" s="34" t="s">
        <v>64</v>
      </c>
      <c r="C36" s="30">
        <f>616784*$C$20*1</f>
        <v>14.80898384</v>
      </c>
    </row>
    <row r="37" spans="1:3" ht="15.75">
      <c r="A37" s="116" t="s">
        <v>29</v>
      </c>
      <c r="B37" s="117"/>
      <c r="C37" s="35">
        <f>SUM(C21:C36)</f>
        <v>72.484156367406001</v>
      </c>
    </row>
    <row r="38" spans="1:3" ht="15.75">
      <c r="A38" s="118" t="s">
        <v>65</v>
      </c>
      <c r="B38" s="119"/>
      <c r="C38" s="36">
        <f>C37+C18</f>
        <v>149.655729807406</v>
      </c>
    </row>
    <row r="39" spans="1:3" ht="15.75">
      <c r="A39" s="1"/>
      <c r="B39" s="1"/>
      <c r="C39" s="37"/>
    </row>
    <row r="40" spans="1:3" ht="15.75">
      <c r="A40" s="103" t="s">
        <v>66</v>
      </c>
      <c r="B40" s="104"/>
      <c r="C40" s="38">
        <v>1</v>
      </c>
    </row>
    <row r="41" spans="1:3" ht="15.75">
      <c r="A41" s="103" t="s">
        <v>67</v>
      </c>
      <c r="B41" s="104"/>
      <c r="C41" s="39">
        <f>ROUND(C38/C40,2)</f>
        <v>149.66</v>
      </c>
    </row>
  </sheetData>
  <mergeCells count="14">
    <mergeCell ref="B1:C1"/>
    <mergeCell ref="A3:C3"/>
    <mergeCell ref="A5:C5"/>
    <mergeCell ref="A6:C6"/>
    <mergeCell ref="A7:C7"/>
    <mergeCell ref="A8:B8"/>
    <mergeCell ref="A40:B40"/>
    <mergeCell ref="A41:B41"/>
    <mergeCell ref="A11:C11"/>
    <mergeCell ref="A12:A16"/>
    <mergeCell ref="A18:B18"/>
    <mergeCell ref="A19:C19"/>
    <mergeCell ref="A37:B37"/>
    <mergeCell ref="A38:B38"/>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9E236-25AF-4E17-8E81-0D78917B3331}">
  <sheetPr>
    <tabColor theme="6" tint="0.79998168889431442"/>
  </sheetPr>
  <dimension ref="A1:F41"/>
  <sheetViews>
    <sheetView zoomScaleNormal="100" workbookViewId="0">
      <selection activeCell="G6" sqref="G6"/>
    </sheetView>
  </sheetViews>
  <sheetFormatPr defaultRowHeight="12.75"/>
  <cols>
    <col min="1" max="1" width="10.7109375" customWidth="1"/>
    <col min="2" max="2" width="98.85546875" customWidth="1"/>
    <col min="3" max="3" width="25.5703125" customWidth="1"/>
  </cols>
  <sheetData>
    <row r="1" spans="1:3" ht="76.5" customHeight="1">
      <c r="B1" s="99" t="s">
        <v>308</v>
      </c>
      <c r="C1" s="99"/>
    </row>
    <row r="3" spans="1:3" ht="15.75">
      <c r="A3" s="100" t="s">
        <v>91</v>
      </c>
      <c r="B3" s="100"/>
      <c r="C3" s="100"/>
    </row>
    <row r="4" spans="1:3" ht="15.75">
      <c r="A4" s="40"/>
      <c r="B4" s="40"/>
      <c r="C4" s="40"/>
    </row>
    <row r="5" spans="1:3" ht="15.75" customHeight="1">
      <c r="A5" s="101" t="s">
        <v>122</v>
      </c>
      <c r="B5" s="101"/>
      <c r="C5" s="101"/>
    </row>
    <row r="6" spans="1:3" ht="70.5" customHeight="1">
      <c r="A6" s="102" t="s">
        <v>138</v>
      </c>
      <c r="B6" s="102"/>
      <c r="C6" s="102"/>
    </row>
    <row r="7" spans="1:3" ht="15.75" customHeight="1">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80</v>
      </c>
      <c r="C12" s="18">
        <f>9.714*3*1</f>
        <v>29.142000000000003</v>
      </c>
    </row>
    <row r="13" spans="1:3" ht="15.75" customHeight="1">
      <c r="A13" s="109"/>
      <c r="B13" s="19" t="s">
        <v>81</v>
      </c>
      <c r="C13" s="18">
        <f>11.571*2.5*1</f>
        <v>28.927499999999998</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6" ht="32.25" thickBot="1">
      <c r="A17" s="21" t="s">
        <v>32</v>
      </c>
      <c r="B17" s="22" t="s">
        <v>33</v>
      </c>
      <c r="C17" s="23">
        <f>(C12+C13+C14+C15+C16)*0.2359</f>
        <v>14.729973440000002</v>
      </c>
    </row>
    <row r="18" spans="1:6" ht="15.75">
      <c r="A18" s="111" t="s">
        <v>27</v>
      </c>
      <c r="B18" s="112"/>
      <c r="C18" s="24">
        <f>SUM(C12:C17)</f>
        <v>77.171573440000003</v>
      </c>
      <c r="F18" s="45">
        <f>C18+C21+C22</f>
        <v>107.119541777406</v>
      </c>
    </row>
    <row r="19" spans="1:6" ht="16.5" thickBot="1">
      <c r="A19" s="113" t="s">
        <v>28</v>
      </c>
      <c r="B19" s="114"/>
      <c r="C19" s="115"/>
      <c r="F19" s="45">
        <f>C23+C24+C26+C25+C27+C28+C29+C30+C31+C32+C33+C34</f>
        <v>25.165649319999996</v>
      </c>
    </row>
    <row r="20" spans="1:6" ht="15.75">
      <c r="A20" s="25"/>
      <c r="B20" s="26" t="s">
        <v>34</v>
      </c>
      <c r="C20" s="27">
        <v>2.4009999999999999E-5</v>
      </c>
      <c r="F20" s="45">
        <f>C35+C36</f>
        <v>17.370538709999998</v>
      </c>
    </row>
    <row r="21" spans="1:6" ht="16.5" thickBot="1">
      <c r="A21" s="28" t="s">
        <v>35</v>
      </c>
      <c r="B21" s="29" t="s">
        <v>36</v>
      </c>
      <c r="C21" s="30">
        <f>1009234*$C$20*1</f>
        <v>24.231708339999997</v>
      </c>
    </row>
    <row r="22" spans="1:6" ht="32.25" thickBot="1">
      <c r="A22" s="31" t="s">
        <v>32</v>
      </c>
      <c r="B22" s="32" t="s">
        <v>33</v>
      </c>
      <c r="C22" s="30">
        <f>C21*0.2359</f>
        <v>5.7162599974059995</v>
      </c>
    </row>
    <row r="23" spans="1:6" ht="32.25" thickBot="1">
      <c r="A23" s="31" t="s">
        <v>37</v>
      </c>
      <c r="B23" s="32" t="s">
        <v>38</v>
      </c>
      <c r="C23" s="30">
        <f>93709*$C$20*1</f>
        <v>2.24995309</v>
      </c>
    </row>
    <row r="24" spans="1:6" ht="21.75" customHeight="1" thickBot="1">
      <c r="A24" s="31" t="s">
        <v>39</v>
      </c>
      <c r="B24" s="32" t="s">
        <v>40</v>
      </c>
      <c r="C24" s="30">
        <f>76039*$C$20*1</f>
        <v>1.8256963899999998</v>
      </c>
    </row>
    <row r="25" spans="1:6" ht="16.5" customHeight="1" thickBot="1">
      <c r="A25" s="31" t="s">
        <v>41</v>
      </c>
      <c r="B25" s="32" t="s">
        <v>42</v>
      </c>
      <c r="C25" s="30">
        <f>84854*$C$20*1</f>
        <v>2.0373445399999999</v>
      </c>
    </row>
    <row r="26" spans="1:6" ht="16.5" thickBot="1">
      <c r="A26" s="31" t="s">
        <v>43</v>
      </c>
      <c r="B26" s="32" t="s">
        <v>44</v>
      </c>
      <c r="C26" s="30">
        <f>127766*$C$20*1</f>
        <v>3.0676616599999997</v>
      </c>
    </row>
    <row r="27" spans="1:6" ht="32.25" thickBot="1">
      <c r="A27" s="31" t="s">
        <v>45</v>
      </c>
      <c r="B27" s="32" t="s">
        <v>46</v>
      </c>
      <c r="C27" s="30">
        <f>170156*$C$20*1</f>
        <v>4.0854455600000001</v>
      </c>
    </row>
    <row r="28" spans="1:6" ht="32.25" thickBot="1">
      <c r="A28" s="31" t="s">
        <v>47</v>
      </c>
      <c r="B28" s="32" t="s">
        <v>48</v>
      </c>
      <c r="C28" s="30">
        <f>377637*$C$20*1</f>
        <v>9.0670643699999989</v>
      </c>
    </row>
    <row r="29" spans="1:6" ht="20.25" customHeight="1" thickBot="1">
      <c r="A29" s="31" t="s">
        <v>49</v>
      </c>
      <c r="B29" s="32" t="s">
        <v>50</v>
      </c>
      <c r="C29" s="30">
        <f>51508*$C$20*1</f>
        <v>1.23670708</v>
      </c>
    </row>
    <row r="30" spans="1:6" ht="18.75" customHeight="1" thickBot="1">
      <c r="A30" s="31" t="s">
        <v>51</v>
      </c>
      <c r="B30" s="32" t="s">
        <v>52</v>
      </c>
      <c r="C30" s="30">
        <f>27437*$C$20*1</f>
        <v>0.65876236999999993</v>
      </c>
    </row>
    <row r="31" spans="1:6" ht="18" customHeight="1" thickBot="1">
      <c r="A31" s="31" t="s">
        <v>53</v>
      </c>
      <c r="B31" s="32" t="s">
        <v>54</v>
      </c>
      <c r="C31" s="30">
        <f>1110*$C$20*1</f>
        <v>2.6651099999999997E-2</v>
      </c>
    </row>
    <row r="32" spans="1:6" ht="32.25" thickBot="1">
      <c r="A32" s="31" t="s">
        <v>55</v>
      </c>
      <c r="B32" s="32" t="s">
        <v>56</v>
      </c>
      <c r="C32" s="30">
        <f>13237*$C$20*1</f>
        <v>0.31782036999999996</v>
      </c>
    </row>
    <row r="33" spans="1:3" ht="32.25" thickBot="1">
      <c r="A33" s="31" t="s">
        <v>57</v>
      </c>
      <c r="B33" s="32" t="s">
        <v>58</v>
      </c>
      <c r="C33" s="30">
        <f>8480*$C$20*1</f>
        <v>0.2036048</v>
      </c>
    </row>
    <row r="34" spans="1:3" ht="32.25" thickBot="1">
      <c r="A34" s="31" t="s">
        <v>59</v>
      </c>
      <c r="B34" s="32" t="s">
        <v>60</v>
      </c>
      <c r="C34" s="30">
        <f>16199*$C$20*1</f>
        <v>0.38893798999999996</v>
      </c>
    </row>
    <row r="35" spans="1:3" ht="21" customHeight="1" thickBot="1">
      <c r="A35" s="31" t="s">
        <v>61</v>
      </c>
      <c r="B35" s="32" t="s">
        <v>62</v>
      </c>
      <c r="C35" s="30">
        <f>106687*$C$20*1</f>
        <v>2.5615548699999997</v>
      </c>
    </row>
    <row r="36" spans="1:3" ht="32.25" thickBot="1">
      <c r="A36" s="31" t="s">
        <v>63</v>
      </c>
      <c r="B36" s="34" t="s">
        <v>64</v>
      </c>
      <c r="C36" s="30">
        <f>616784*$C$20*1</f>
        <v>14.80898384</v>
      </c>
    </row>
    <row r="37" spans="1:3" ht="15.75">
      <c r="A37" s="116" t="s">
        <v>29</v>
      </c>
      <c r="B37" s="117"/>
      <c r="C37" s="35">
        <f>SUM(C21:C36)</f>
        <v>72.484156367406001</v>
      </c>
    </row>
    <row r="38" spans="1:3" ht="15.75">
      <c r="A38" s="118" t="s">
        <v>65</v>
      </c>
      <c r="B38" s="119"/>
      <c r="C38" s="36">
        <f>C37+C18</f>
        <v>149.655729807406</v>
      </c>
    </row>
    <row r="39" spans="1:3" ht="15.75">
      <c r="A39" s="1"/>
      <c r="B39" s="1"/>
      <c r="C39" s="37"/>
    </row>
    <row r="40" spans="1:3" ht="15.75">
      <c r="A40" s="103" t="s">
        <v>66</v>
      </c>
      <c r="B40" s="104"/>
      <c r="C40" s="38">
        <v>1</v>
      </c>
    </row>
    <row r="41" spans="1:3" ht="15.75">
      <c r="A41" s="103" t="s">
        <v>67</v>
      </c>
      <c r="B41" s="104"/>
      <c r="C41" s="39">
        <f>ROUND(C38/C40,2)</f>
        <v>149.66</v>
      </c>
    </row>
  </sheetData>
  <mergeCells count="14">
    <mergeCell ref="A40:B40"/>
    <mergeCell ref="A41:B41"/>
    <mergeCell ref="A11:C11"/>
    <mergeCell ref="A12:A16"/>
    <mergeCell ref="A18:B18"/>
    <mergeCell ref="A19:C19"/>
    <mergeCell ref="A37:B37"/>
    <mergeCell ref="A38:B38"/>
    <mergeCell ref="A8:B8"/>
    <mergeCell ref="B1:C1"/>
    <mergeCell ref="A3:C3"/>
    <mergeCell ref="A5:C5"/>
    <mergeCell ref="A6:C6"/>
    <mergeCell ref="A7:C7"/>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6875E-4CD0-496F-846C-D3CA41DD15C8}">
  <sheetPr>
    <tabColor theme="6" tint="0.79998168889431442"/>
  </sheetPr>
  <dimension ref="A1:F40"/>
  <sheetViews>
    <sheetView zoomScaleNormal="100" workbookViewId="0">
      <selection activeCell="F6" sqref="F6"/>
    </sheetView>
  </sheetViews>
  <sheetFormatPr defaultRowHeight="12.75"/>
  <cols>
    <col min="1" max="1" width="10.7109375" customWidth="1"/>
    <col min="2" max="2" width="98.85546875" customWidth="1"/>
    <col min="3" max="3" width="25.5703125" customWidth="1"/>
  </cols>
  <sheetData>
    <row r="1" spans="1:3" ht="69.75" customHeight="1">
      <c r="B1" s="99" t="s">
        <v>308</v>
      </c>
      <c r="C1" s="99"/>
    </row>
    <row r="3" spans="1:3" ht="15.75">
      <c r="A3" s="100" t="s">
        <v>91</v>
      </c>
      <c r="B3" s="100"/>
      <c r="C3" s="100"/>
    </row>
    <row r="4" spans="1:3" ht="15.75">
      <c r="A4" s="40"/>
      <c r="B4" s="40"/>
      <c r="C4" s="40"/>
    </row>
    <row r="5" spans="1:3" ht="15.75">
      <c r="A5" s="101" t="s">
        <v>122</v>
      </c>
      <c r="B5" s="101"/>
      <c r="C5" s="101"/>
    </row>
    <row r="6" spans="1:3" ht="71.25" customHeight="1">
      <c r="A6" s="102" t="s">
        <v>139</v>
      </c>
      <c r="B6" s="102"/>
      <c r="C6" s="102"/>
    </row>
    <row r="7" spans="1:3" ht="15.75">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74</v>
      </c>
      <c r="C12" s="18">
        <f>9.714*1.5*1</f>
        <v>14.571000000000002</v>
      </c>
    </row>
    <row r="13" spans="1:3" ht="15.75">
      <c r="A13" s="109"/>
      <c r="B13" s="19" t="s">
        <v>77</v>
      </c>
      <c r="C13" s="18">
        <f>11.571*2*1</f>
        <v>23.141999999999999</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6" ht="32.25" thickBot="1">
      <c r="A17" s="21" t="s">
        <v>32</v>
      </c>
      <c r="B17" s="22" t="s">
        <v>33</v>
      </c>
      <c r="C17" s="23">
        <f>(C12+C13+C14+C15+C16)*0.2359</f>
        <v>9.9278750900000006</v>
      </c>
    </row>
    <row r="18" spans="1:6" ht="15.75">
      <c r="A18" s="111" t="s">
        <v>27</v>
      </c>
      <c r="B18" s="112"/>
      <c r="C18" s="24">
        <f>SUM(C12:C17)</f>
        <v>52.012975090000005</v>
      </c>
      <c r="F18" s="45">
        <f>C18+C21+C22</f>
        <v>72.194488113708019</v>
      </c>
    </row>
    <row r="19" spans="1:6" ht="16.5" thickBot="1">
      <c r="A19" s="113" t="s">
        <v>28</v>
      </c>
      <c r="B19" s="114"/>
      <c r="C19" s="115"/>
      <c r="F19" s="45">
        <f>C23+C24+C25+C26+C27+C29+C28+C30+C31+C32+C33</f>
        <v>16.125376320000001</v>
      </c>
    </row>
    <row r="20" spans="1:6" ht="15.75">
      <c r="A20" s="25"/>
      <c r="B20" s="26" t="s">
        <v>34</v>
      </c>
      <c r="C20" s="27">
        <v>1.6180000000000001E-5</v>
      </c>
      <c r="F20" s="45">
        <f>C34+C35</f>
        <v>11.70576078</v>
      </c>
    </row>
    <row r="21" spans="1:6" ht="16.5" thickBot="1">
      <c r="A21" s="28" t="s">
        <v>35</v>
      </c>
      <c r="B21" s="29" t="s">
        <v>36</v>
      </c>
      <c r="C21" s="30">
        <f>1009234*$C$20*1</f>
        <v>16.329406120000002</v>
      </c>
    </row>
    <row r="22" spans="1:6" ht="32.25" thickBot="1">
      <c r="A22" s="31" t="s">
        <v>32</v>
      </c>
      <c r="B22" s="32" t="s">
        <v>33</v>
      </c>
      <c r="C22" s="30">
        <f>C21*0.2359</f>
        <v>3.8521069037080005</v>
      </c>
    </row>
    <row r="23" spans="1:6" ht="32.25" thickBot="1">
      <c r="A23" s="31" t="s">
        <v>37</v>
      </c>
      <c r="B23" s="32" t="s">
        <v>38</v>
      </c>
      <c r="C23" s="30">
        <f>93709*$C$20*1</f>
        <v>1.51621162</v>
      </c>
    </row>
    <row r="24" spans="1:6" ht="18" customHeight="1" thickBot="1">
      <c r="A24" s="31" t="s">
        <v>39</v>
      </c>
      <c r="B24" s="32" t="s">
        <v>40</v>
      </c>
      <c r="C24" s="30">
        <f>76039*$C$20*1</f>
        <v>1.23031102</v>
      </c>
    </row>
    <row r="25" spans="1:6" ht="19.5" customHeight="1" thickBot="1">
      <c r="A25" s="31" t="s">
        <v>41</v>
      </c>
      <c r="B25" s="32" t="s">
        <v>42</v>
      </c>
      <c r="C25" s="30">
        <f>84854*$C$20*1</f>
        <v>1.3729377200000001</v>
      </c>
    </row>
    <row r="26" spans="1:6" ht="16.5" thickBot="1">
      <c r="A26" s="31" t="s">
        <v>43</v>
      </c>
      <c r="B26" s="32" t="s">
        <v>44</v>
      </c>
      <c r="C26" s="30">
        <f>127766*$C$20*1</f>
        <v>2.06725388</v>
      </c>
    </row>
    <row r="27" spans="1:6" ht="32.25" thickBot="1">
      <c r="A27" s="31" t="s">
        <v>45</v>
      </c>
      <c r="B27" s="32" t="s">
        <v>46</v>
      </c>
      <c r="C27" s="30">
        <f>170156*$C$20*1</f>
        <v>2.7531240800000001</v>
      </c>
    </row>
    <row r="28" spans="1:6" ht="18" customHeight="1" thickBot="1">
      <c r="A28" s="31" t="s">
        <v>47</v>
      </c>
      <c r="B28" s="32" t="s">
        <v>48</v>
      </c>
      <c r="C28" s="30">
        <f>377637*$C$20*1</f>
        <v>6.11016666</v>
      </c>
    </row>
    <row r="29" spans="1:6" ht="18.75" customHeight="1" thickBot="1">
      <c r="A29" s="31" t="s">
        <v>51</v>
      </c>
      <c r="B29" s="32" t="s">
        <v>52</v>
      </c>
      <c r="C29" s="30">
        <f>27437*$C$20*1</f>
        <v>0.44393066000000003</v>
      </c>
    </row>
    <row r="30" spans="1:6" ht="17.25" customHeight="1" thickBot="1">
      <c r="A30" s="31" t="s">
        <v>53</v>
      </c>
      <c r="B30" s="32" t="s">
        <v>54</v>
      </c>
      <c r="C30" s="30">
        <f>1110*$C$20*1</f>
        <v>1.7959800000000001E-2</v>
      </c>
    </row>
    <row r="31" spans="1:6" ht="32.25" thickBot="1">
      <c r="A31" s="31" t="s">
        <v>55</v>
      </c>
      <c r="B31" s="32" t="s">
        <v>56</v>
      </c>
      <c r="C31" s="30">
        <f>13237*$C$20*1</f>
        <v>0.21417466000000002</v>
      </c>
    </row>
    <row r="32" spans="1:6" ht="32.25" thickBot="1">
      <c r="A32" s="31" t="s">
        <v>57</v>
      </c>
      <c r="B32" s="32" t="s">
        <v>58</v>
      </c>
      <c r="C32" s="30">
        <f>8480*$C$20*1</f>
        <v>0.13720640000000001</v>
      </c>
    </row>
    <row r="33" spans="1:3" ht="32.25" thickBot="1">
      <c r="A33" s="31" t="s">
        <v>59</v>
      </c>
      <c r="B33" s="32" t="s">
        <v>60</v>
      </c>
      <c r="C33" s="30">
        <f>16199*$C$20*1</f>
        <v>0.26209982000000004</v>
      </c>
    </row>
    <row r="34" spans="1:3" ht="18" customHeight="1" thickBot="1">
      <c r="A34" s="31" t="s">
        <v>61</v>
      </c>
      <c r="B34" s="32" t="s">
        <v>62</v>
      </c>
      <c r="C34" s="30">
        <f>106687*$C$20*1</f>
        <v>1.7261956600000001</v>
      </c>
    </row>
    <row r="35" spans="1:3" ht="32.25" thickBot="1">
      <c r="A35" s="31" t="s">
        <v>63</v>
      </c>
      <c r="B35" s="34" t="s">
        <v>64</v>
      </c>
      <c r="C35" s="30">
        <f>616784*$C$20*1</f>
        <v>9.9795651200000002</v>
      </c>
    </row>
    <row r="36" spans="1:3" ht="15.75">
      <c r="A36" s="116" t="s">
        <v>29</v>
      </c>
      <c r="B36" s="117"/>
      <c r="C36" s="35">
        <f>SUM(C21:C35)</f>
        <v>48.012650123707999</v>
      </c>
    </row>
    <row r="37" spans="1:3" ht="15.75">
      <c r="A37" s="118" t="s">
        <v>65</v>
      </c>
      <c r="B37" s="119"/>
      <c r="C37" s="36">
        <f>C36+C18</f>
        <v>100.025625213708</v>
      </c>
    </row>
    <row r="38" spans="1:3" ht="15.75">
      <c r="A38" s="1"/>
      <c r="B38" s="1"/>
      <c r="C38" s="37"/>
    </row>
    <row r="39" spans="1:3" ht="15.75">
      <c r="A39" s="103" t="s">
        <v>66</v>
      </c>
      <c r="B39" s="104"/>
      <c r="C39" s="38">
        <v>1</v>
      </c>
    </row>
    <row r="40" spans="1:3" ht="15.75">
      <c r="A40" s="103" t="s">
        <v>67</v>
      </c>
      <c r="B40" s="104"/>
      <c r="C40" s="39">
        <f>ROUND(C37/C39,2)</f>
        <v>100.03</v>
      </c>
    </row>
  </sheetData>
  <mergeCells count="14">
    <mergeCell ref="B1:C1"/>
    <mergeCell ref="A3:C3"/>
    <mergeCell ref="A5:C5"/>
    <mergeCell ref="A6:C6"/>
    <mergeCell ref="A7:C7"/>
    <mergeCell ref="A8:B8"/>
    <mergeCell ref="A39:B39"/>
    <mergeCell ref="A40:B40"/>
    <mergeCell ref="A11:C11"/>
    <mergeCell ref="A12:A16"/>
    <mergeCell ref="A18:B18"/>
    <mergeCell ref="A19:C19"/>
    <mergeCell ref="A36:B36"/>
    <mergeCell ref="A37:B37"/>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CD681-A1FE-4DA9-B834-5FA7D03B0BAC}">
  <sheetPr>
    <tabColor theme="6" tint="0.79998168889431442"/>
  </sheetPr>
  <dimension ref="A1:F39"/>
  <sheetViews>
    <sheetView zoomScaleNormal="100" workbookViewId="0">
      <selection activeCell="F5" sqref="F5"/>
    </sheetView>
  </sheetViews>
  <sheetFormatPr defaultRowHeight="12.75"/>
  <cols>
    <col min="1" max="1" width="10.7109375" customWidth="1"/>
    <col min="2" max="2" width="98.85546875" customWidth="1"/>
    <col min="3" max="3" width="25.5703125" customWidth="1"/>
  </cols>
  <sheetData>
    <row r="1" spans="1:3" ht="71.25" customHeight="1">
      <c r="B1" s="99" t="s">
        <v>308</v>
      </c>
      <c r="C1" s="99"/>
    </row>
    <row r="3" spans="1:3" ht="15.75">
      <c r="A3" s="100" t="s">
        <v>91</v>
      </c>
      <c r="B3" s="100"/>
      <c r="C3" s="100"/>
    </row>
    <row r="4" spans="1:3" ht="15.75">
      <c r="A4" s="40"/>
      <c r="B4" s="40"/>
      <c r="C4" s="40"/>
    </row>
    <row r="5" spans="1:3" ht="15.75">
      <c r="A5" s="101" t="s">
        <v>122</v>
      </c>
      <c r="B5" s="101"/>
      <c r="C5" s="101"/>
    </row>
    <row r="6" spans="1:3" ht="75.75" customHeight="1">
      <c r="A6" s="102" t="s">
        <v>140</v>
      </c>
      <c r="B6" s="102"/>
      <c r="C6" s="102"/>
    </row>
    <row r="7" spans="1:3" ht="15.75">
      <c r="A7" s="101" t="s">
        <v>124</v>
      </c>
      <c r="B7" s="101"/>
      <c r="C7" s="101"/>
    </row>
    <row r="8" spans="1:3" ht="15.75">
      <c r="A8" s="98" t="s">
        <v>133</v>
      </c>
      <c r="B8" s="98"/>
      <c r="C8" s="40"/>
    </row>
    <row r="10" spans="1:3" ht="63">
      <c r="A10" s="14" t="s">
        <v>24</v>
      </c>
      <c r="B10" s="15" t="s">
        <v>25</v>
      </c>
      <c r="C10" s="16" t="s">
        <v>30</v>
      </c>
    </row>
    <row r="11" spans="1:3" ht="16.5" thickBot="1">
      <c r="A11" s="105" t="s">
        <v>26</v>
      </c>
      <c r="B11" s="106"/>
      <c r="C11" s="107"/>
    </row>
    <row r="12" spans="1:3" ht="15.75">
      <c r="A12" s="108" t="s">
        <v>31</v>
      </c>
      <c r="B12" s="17" t="s">
        <v>82</v>
      </c>
      <c r="C12" s="18">
        <f>9.714*8*4</f>
        <v>310.84800000000001</v>
      </c>
    </row>
    <row r="13" spans="1:3" ht="15.75">
      <c r="A13" s="109"/>
      <c r="B13" s="19" t="s">
        <v>83</v>
      </c>
      <c r="C13" s="18">
        <f>11.571*8*4</f>
        <v>370.27199999999999</v>
      </c>
    </row>
    <row r="14" spans="1:3" ht="15.75">
      <c r="A14" s="109"/>
      <c r="B14" s="19" t="s">
        <v>84</v>
      </c>
      <c r="C14" s="18">
        <f>9.714*1*4</f>
        <v>38.856000000000002</v>
      </c>
    </row>
    <row r="15" spans="1:3" ht="15.75">
      <c r="A15" s="109"/>
      <c r="B15" s="19" t="s">
        <v>160</v>
      </c>
      <c r="C15" s="18">
        <f>15.4*1*4</f>
        <v>61.6</v>
      </c>
    </row>
    <row r="16" spans="1:3" ht="16.5" thickBot="1">
      <c r="A16" s="109"/>
      <c r="B16" s="20" t="s">
        <v>85</v>
      </c>
      <c r="C16" s="18">
        <f>18.607*1*4</f>
        <v>74.427999999999997</v>
      </c>
    </row>
    <row r="17" spans="1:6" ht="32.25" thickBot="1">
      <c r="A17" s="21" t="s">
        <v>32</v>
      </c>
      <c r="B17" s="22" t="s">
        <v>33</v>
      </c>
      <c r="C17" s="23">
        <f>(C12+C13+C14+C15+C16)*0.2359</f>
        <v>201.93134359999999</v>
      </c>
    </row>
    <row r="18" spans="1:6" ht="15.75">
      <c r="A18" s="111" t="s">
        <v>27</v>
      </c>
      <c r="B18" s="112"/>
      <c r="C18" s="24">
        <f>SUM(C12:C17)</f>
        <v>1057.9353436000001</v>
      </c>
      <c r="F18" s="45">
        <f>C18+C21+C22</f>
        <v>1468.4507679734722</v>
      </c>
    </row>
    <row r="19" spans="1:6" ht="16.5" thickBot="1">
      <c r="A19" s="113" t="s">
        <v>28</v>
      </c>
      <c r="B19" s="114"/>
      <c r="C19" s="115"/>
      <c r="F19" s="45">
        <f>C23+C24+C25+C26+C27+C28+C29+C30+C31+C32</f>
        <v>293.88079247999997</v>
      </c>
    </row>
    <row r="20" spans="1:6" ht="15.75">
      <c r="A20" s="25"/>
      <c r="B20" s="26" t="s">
        <v>34</v>
      </c>
      <c r="C20" s="27">
        <v>8.2280000000000005E-5</v>
      </c>
      <c r="F20" s="45">
        <f>C33+C34</f>
        <v>238.10877551999999</v>
      </c>
    </row>
    <row r="21" spans="1:6" ht="16.5" thickBot="1">
      <c r="A21" s="28" t="s">
        <v>35</v>
      </c>
      <c r="B21" s="29" t="s">
        <v>36</v>
      </c>
      <c r="C21" s="30">
        <f>1009234*$C$20*4</f>
        <v>332.15909408000005</v>
      </c>
    </row>
    <row r="22" spans="1:6" ht="32.25" thickBot="1">
      <c r="A22" s="31" t="s">
        <v>32</v>
      </c>
      <c r="B22" s="32" t="s">
        <v>33</v>
      </c>
      <c r="C22" s="30">
        <f>C21*0.2359</f>
        <v>78.356330293472013</v>
      </c>
    </row>
    <row r="23" spans="1:6" ht="32.25" thickBot="1">
      <c r="A23" s="31" t="s">
        <v>37</v>
      </c>
      <c r="B23" s="32" t="s">
        <v>38</v>
      </c>
      <c r="C23" s="30">
        <f>93709*$C$20*4</f>
        <v>30.841506080000002</v>
      </c>
    </row>
    <row r="24" spans="1:6" ht="21" customHeight="1" thickBot="1">
      <c r="A24" s="31" t="s">
        <v>39</v>
      </c>
      <c r="B24" s="32" t="s">
        <v>40</v>
      </c>
      <c r="C24" s="30">
        <f>76039*$C$20*4</f>
        <v>25.025955680000003</v>
      </c>
    </row>
    <row r="25" spans="1:6" ht="20.25" customHeight="1" thickBot="1">
      <c r="A25" s="31" t="s">
        <v>41</v>
      </c>
      <c r="B25" s="32" t="s">
        <v>42</v>
      </c>
      <c r="C25" s="30">
        <f>84854*$C$20*4</f>
        <v>27.927148480000003</v>
      </c>
    </row>
    <row r="26" spans="1:6" ht="32.25" thickBot="1">
      <c r="A26" s="31" t="s">
        <v>45</v>
      </c>
      <c r="B26" s="32" t="s">
        <v>46</v>
      </c>
      <c r="C26" s="30">
        <f>170156*$C$20*4</f>
        <v>56.001742720000003</v>
      </c>
    </row>
    <row r="27" spans="1:6" ht="32.25" thickBot="1">
      <c r="A27" s="31" t="s">
        <v>47</v>
      </c>
      <c r="B27" s="32" t="s">
        <v>48</v>
      </c>
      <c r="C27" s="30">
        <f>377637*$C$20*4</f>
        <v>124.28788944</v>
      </c>
    </row>
    <row r="28" spans="1:6" ht="18.75" customHeight="1" thickBot="1">
      <c r="A28" s="31" t="s">
        <v>49</v>
      </c>
      <c r="B28" s="32" t="s">
        <v>50</v>
      </c>
      <c r="C28" s="30">
        <f>51508*$C$20*4</f>
        <v>16.95231296</v>
      </c>
    </row>
    <row r="29" spans="1:6" ht="15.75" customHeight="1" thickBot="1">
      <c r="A29" s="31" t="s">
        <v>53</v>
      </c>
      <c r="B29" s="32" t="s">
        <v>54</v>
      </c>
      <c r="C29" s="30">
        <f>1110*$C$20*4</f>
        <v>0.36532320000000001</v>
      </c>
    </row>
    <row r="30" spans="1:6" ht="32.25" thickBot="1">
      <c r="A30" s="31" t="s">
        <v>55</v>
      </c>
      <c r="B30" s="32" t="s">
        <v>56</v>
      </c>
      <c r="C30" s="30">
        <f>13237*$C$20*4</f>
        <v>4.3565614400000001</v>
      </c>
    </row>
    <row r="31" spans="1:6" ht="32.25" thickBot="1">
      <c r="A31" s="31" t="s">
        <v>57</v>
      </c>
      <c r="B31" s="32" t="s">
        <v>58</v>
      </c>
      <c r="C31" s="30">
        <f>8480*$C$20*4</f>
        <v>2.7909376000000004</v>
      </c>
    </row>
    <row r="32" spans="1:6" ht="32.25" thickBot="1">
      <c r="A32" s="31" t="s">
        <v>59</v>
      </c>
      <c r="B32" s="32" t="s">
        <v>60</v>
      </c>
      <c r="C32" s="30">
        <f>16199*$C$20*4</f>
        <v>5.3314148800000005</v>
      </c>
    </row>
    <row r="33" spans="1:3" ht="20.25" customHeight="1" thickBot="1">
      <c r="A33" s="31" t="s">
        <v>61</v>
      </c>
      <c r="B33" s="32" t="s">
        <v>62</v>
      </c>
      <c r="C33" s="30">
        <f>106687*$C$20*4</f>
        <v>35.112825440000002</v>
      </c>
    </row>
    <row r="34" spans="1:3" ht="32.25" thickBot="1">
      <c r="A34" s="31" t="s">
        <v>63</v>
      </c>
      <c r="B34" s="34" t="s">
        <v>64</v>
      </c>
      <c r="C34" s="30">
        <f>616784*$C$20*4</f>
        <v>202.99595008</v>
      </c>
    </row>
    <row r="35" spans="1:3" ht="15.75">
      <c r="A35" s="116" t="s">
        <v>29</v>
      </c>
      <c r="B35" s="117"/>
      <c r="C35" s="35">
        <f>SUM(C21:C34)</f>
        <v>942.50499237347208</v>
      </c>
    </row>
    <row r="36" spans="1:3" ht="15.75">
      <c r="A36" s="118" t="s">
        <v>65</v>
      </c>
      <c r="B36" s="119"/>
      <c r="C36" s="36">
        <f>C35+C18</f>
        <v>2000.4403359734722</v>
      </c>
    </row>
    <row r="37" spans="1:3" ht="15.75">
      <c r="A37" s="1"/>
      <c r="B37" s="1"/>
      <c r="C37" s="37"/>
    </row>
    <row r="38" spans="1:3" ht="15.75">
      <c r="A38" s="103" t="s">
        <v>66</v>
      </c>
      <c r="B38" s="104"/>
      <c r="C38" s="38">
        <v>4</v>
      </c>
    </row>
    <row r="39" spans="1:3" ht="15.75">
      <c r="A39" s="103" t="s">
        <v>67</v>
      </c>
      <c r="B39" s="104"/>
      <c r="C39" s="39">
        <f>ROUND(C36/C38,2)</f>
        <v>500.11</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3CE0C2-D60A-4C81-B306-B06E299B29F8}">
  <sheetPr>
    <tabColor theme="6" tint="0.79998168889431442"/>
  </sheetPr>
  <dimension ref="A1:F40"/>
  <sheetViews>
    <sheetView zoomScaleNormal="100" workbookViewId="0">
      <selection activeCell="J8" sqref="J8"/>
    </sheetView>
  </sheetViews>
  <sheetFormatPr defaultRowHeight="12.75"/>
  <cols>
    <col min="1" max="1" width="10.7109375" customWidth="1"/>
    <col min="2" max="2" width="98.85546875" customWidth="1"/>
    <col min="3" max="3" width="25.5703125" customWidth="1"/>
  </cols>
  <sheetData>
    <row r="1" spans="1:3" ht="75" customHeight="1">
      <c r="B1" s="99" t="s">
        <v>308</v>
      </c>
      <c r="C1" s="99"/>
    </row>
    <row r="3" spans="1:3" ht="15.75">
      <c r="A3" s="100" t="s">
        <v>91</v>
      </c>
      <c r="B3" s="100"/>
      <c r="C3" s="100"/>
    </row>
    <row r="4" spans="1:3" ht="15.75">
      <c r="A4" s="40"/>
      <c r="B4" s="40"/>
      <c r="C4" s="40"/>
    </row>
    <row r="5" spans="1:3" ht="15.75">
      <c r="A5" s="101" t="s">
        <v>122</v>
      </c>
      <c r="B5" s="101"/>
      <c r="C5" s="101"/>
    </row>
    <row r="6" spans="1:3" ht="74.25" customHeight="1">
      <c r="A6" s="102" t="s">
        <v>323</v>
      </c>
      <c r="B6" s="102"/>
      <c r="C6" s="102"/>
    </row>
    <row r="7" spans="1:3" ht="15.75">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82</v>
      </c>
      <c r="C12" s="18">
        <f>9.714*8*1</f>
        <v>77.712000000000003</v>
      </c>
    </row>
    <row r="13" spans="1:3" ht="15.75">
      <c r="A13" s="109"/>
      <c r="B13" s="19" t="s">
        <v>83</v>
      </c>
      <c r="C13" s="18">
        <f>11.571*8*1</f>
        <v>92.567999999999998</v>
      </c>
    </row>
    <row r="14" spans="1:3" ht="15.75">
      <c r="A14" s="109"/>
      <c r="B14" s="19" t="s">
        <v>84</v>
      </c>
      <c r="C14" s="18">
        <f>9.714*1*1</f>
        <v>9.7140000000000004</v>
      </c>
    </row>
    <row r="15" spans="1:3" ht="15.75">
      <c r="A15" s="109"/>
      <c r="B15" s="19" t="s">
        <v>160</v>
      </c>
      <c r="C15" s="18">
        <f>15.4*1*1</f>
        <v>15.4</v>
      </c>
    </row>
    <row r="16" spans="1:3" ht="16.5" thickBot="1">
      <c r="A16" s="109"/>
      <c r="B16" s="20" t="s">
        <v>85</v>
      </c>
      <c r="C16" s="18">
        <f>18.607*1*1</f>
        <v>18.606999999999999</v>
      </c>
    </row>
    <row r="17" spans="1:6" ht="32.25" thickBot="1">
      <c r="A17" s="21" t="s">
        <v>32</v>
      </c>
      <c r="B17" s="22" t="s">
        <v>33</v>
      </c>
      <c r="C17" s="23">
        <f>(C12+C13+C14+C15+C16)*0.2359</f>
        <v>50.482835899999998</v>
      </c>
    </row>
    <row r="18" spans="1:6" ht="15.75">
      <c r="A18" s="111" t="s">
        <v>27</v>
      </c>
      <c r="B18" s="112"/>
      <c r="C18" s="24">
        <f>SUM(C12:C17)</f>
        <v>264.48383590000003</v>
      </c>
      <c r="F18" s="45">
        <f>C18+C21+C22</f>
        <v>367.11269199336806</v>
      </c>
    </row>
    <row r="19" spans="1:6" ht="16.5" thickBot="1">
      <c r="A19" s="113" t="s">
        <v>28</v>
      </c>
      <c r="B19" s="114"/>
      <c r="C19" s="115"/>
      <c r="F19" s="45">
        <f>C23+C24+C25+C26+C27+C28+C29+C30+C31+C32</f>
        <v>73.470198119999992</v>
      </c>
    </row>
    <row r="20" spans="1:6" ht="15.75">
      <c r="A20" s="25"/>
      <c r="B20" s="26" t="s">
        <v>34</v>
      </c>
      <c r="C20" s="27">
        <v>8.2280000000000005E-5</v>
      </c>
      <c r="F20" s="45">
        <f>C33+C34</f>
        <v>59.527193879999999</v>
      </c>
    </row>
    <row r="21" spans="1:6" ht="16.5" thickBot="1">
      <c r="A21" s="28" t="s">
        <v>35</v>
      </c>
      <c r="B21" s="29" t="s">
        <v>36</v>
      </c>
      <c r="C21" s="30">
        <f>1009234*$C$20*1</f>
        <v>83.039773520000011</v>
      </c>
    </row>
    <row r="22" spans="1:6" ht="32.25" thickBot="1">
      <c r="A22" s="31" t="s">
        <v>32</v>
      </c>
      <c r="B22" s="32" t="s">
        <v>33</v>
      </c>
      <c r="C22" s="30">
        <f>C21*0.2359</f>
        <v>19.589082573368003</v>
      </c>
    </row>
    <row r="23" spans="1:6" ht="32.25" thickBot="1">
      <c r="A23" s="31" t="s">
        <v>37</v>
      </c>
      <c r="B23" s="32" t="s">
        <v>38</v>
      </c>
      <c r="C23" s="30">
        <f>93709*$C$20*1</f>
        <v>7.7103765200000005</v>
      </c>
    </row>
    <row r="24" spans="1:6" ht="21" customHeight="1" thickBot="1">
      <c r="A24" s="31" t="s">
        <v>39</v>
      </c>
      <c r="B24" s="32" t="s">
        <v>40</v>
      </c>
      <c r="C24" s="30">
        <f>76039*$C$20*1</f>
        <v>6.2564889200000007</v>
      </c>
    </row>
    <row r="25" spans="1:6" ht="18.75" customHeight="1" thickBot="1">
      <c r="A25" s="31" t="s">
        <v>41</v>
      </c>
      <c r="B25" s="32" t="s">
        <v>42</v>
      </c>
      <c r="C25" s="30">
        <f>84854*$C$20*1</f>
        <v>6.9817871200000008</v>
      </c>
    </row>
    <row r="26" spans="1:6" ht="32.25" thickBot="1">
      <c r="A26" s="31" t="s">
        <v>45</v>
      </c>
      <c r="B26" s="32" t="s">
        <v>46</v>
      </c>
      <c r="C26" s="30">
        <f>170156*$C$20*1</f>
        <v>14.000435680000001</v>
      </c>
    </row>
    <row r="27" spans="1:6" ht="32.25" thickBot="1">
      <c r="A27" s="31" t="s">
        <v>47</v>
      </c>
      <c r="B27" s="32" t="s">
        <v>48</v>
      </c>
      <c r="C27" s="30">
        <f>377637*$C$20*1</f>
        <v>31.07197236</v>
      </c>
    </row>
    <row r="28" spans="1:6" ht="18.75" customHeight="1" thickBot="1">
      <c r="A28" s="31" t="s">
        <v>49</v>
      </c>
      <c r="B28" s="32" t="s">
        <v>50</v>
      </c>
      <c r="C28" s="30">
        <f>51508*$C$20*1</f>
        <v>4.2380782400000001</v>
      </c>
    </row>
    <row r="29" spans="1:6" ht="18.75" customHeight="1" thickBot="1">
      <c r="A29" s="31" t="s">
        <v>53</v>
      </c>
      <c r="B29" s="32" t="s">
        <v>54</v>
      </c>
      <c r="C29" s="30">
        <f>1110*$C$20*1</f>
        <v>9.1330800000000004E-2</v>
      </c>
    </row>
    <row r="30" spans="1:6" ht="32.25" thickBot="1">
      <c r="A30" s="31" t="s">
        <v>55</v>
      </c>
      <c r="B30" s="32" t="s">
        <v>56</v>
      </c>
      <c r="C30" s="30">
        <f>13237*$C$20*1</f>
        <v>1.08914036</v>
      </c>
    </row>
    <row r="31" spans="1:6" ht="32.25" thickBot="1">
      <c r="A31" s="31" t="s">
        <v>57</v>
      </c>
      <c r="B31" s="32" t="s">
        <v>58</v>
      </c>
      <c r="C31" s="30">
        <f>8480*$C$20*1</f>
        <v>0.69773440000000009</v>
      </c>
    </row>
    <row r="32" spans="1:6" ht="32.25" thickBot="1">
      <c r="A32" s="31" t="s">
        <v>59</v>
      </c>
      <c r="B32" s="32" t="s">
        <v>60</v>
      </c>
      <c r="C32" s="30">
        <f>16199*$C$20*1</f>
        <v>1.3328537200000001</v>
      </c>
    </row>
    <row r="33" spans="1:3" ht="22.5" customHeight="1" thickBot="1">
      <c r="A33" s="31" t="s">
        <v>61</v>
      </c>
      <c r="B33" s="32" t="s">
        <v>62</v>
      </c>
      <c r="C33" s="30">
        <f>106687*$C$20*1</f>
        <v>8.7782063600000004</v>
      </c>
    </row>
    <row r="34" spans="1:3" ht="32.25" thickBot="1">
      <c r="A34" s="31" t="s">
        <v>63</v>
      </c>
      <c r="B34" s="34" t="s">
        <v>64</v>
      </c>
      <c r="C34" s="30">
        <f>616784*$C$20*1</f>
        <v>50.74898752</v>
      </c>
    </row>
    <row r="35" spans="1:3" ht="15.75">
      <c r="A35" s="116" t="s">
        <v>29</v>
      </c>
      <c r="B35" s="117"/>
      <c r="C35" s="35">
        <f>SUM(C21:C34)</f>
        <v>235.62624809336802</v>
      </c>
    </row>
    <row r="36" spans="1:3" ht="15.75">
      <c r="A36" s="118" t="s">
        <v>65</v>
      </c>
      <c r="B36" s="119"/>
      <c r="C36" s="36">
        <f>C35+C18</f>
        <v>500.11008399336805</v>
      </c>
    </row>
    <row r="37" spans="1:3" ht="15.75">
      <c r="A37" s="1"/>
      <c r="B37" s="1"/>
      <c r="C37" s="37"/>
    </row>
    <row r="38" spans="1:3" ht="15.75">
      <c r="A38" s="103" t="s">
        <v>66</v>
      </c>
      <c r="B38" s="104"/>
      <c r="C38" s="38">
        <v>1</v>
      </c>
    </row>
    <row r="39" spans="1:3" ht="15.75">
      <c r="A39" s="103" t="s">
        <v>67</v>
      </c>
      <c r="B39" s="104"/>
      <c r="C39" s="39">
        <f>ROUND(C36/C38,2)</f>
        <v>500.11</v>
      </c>
    </row>
    <row r="40" spans="1:3">
      <c r="B40" s="44"/>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3086B-A8E0-4E31-88B4-B47F741B67C3}">
  <sheetPr>
    <tabColor theme="6" tint="0.79998168889431442"/>
  </sheetPr>
  <dimension ref="A1:F40"/>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70.5" customHeight="1">
      <c r="B1" s="99" t="s">
        <v>308</v>
      </c>
      <c r="C1" s="99"/>
    </row>
    <row r="3" spans="1:3" ht="15.75">
      <c r="A3" s="100" t="s">
        <v>91</v>
      </c>
      <c r="B3" s="100"/>
      <c r="C3" s="100"/>
    </row>
    <row r="4" spans="1:3" ht="15.75">
      <c r="A4" s="40"/>
      <c r="B4" s="40"/>
      <c r="C4" s="40"/>
    </row>
    <row r="5" spans="1:3" ht="15.75">
      <c r="A5" s="101" t="s">
        <v>122</v>
      </c>
      <c r="B5" s="101"/>
      <c r="C5" s="101"/>
    </row>
    <row r="6" spans="1:3" ht="63.75" customHeight="1">
      <c r="A6" s="102" t="s">
        <v>142</v>
      </c>
      <c r="B6" s="102"/>
      <c r="C6" s="102"/>
    </row>
    <row r="7" spans="1:3" ht="15.75">
      <c r="A7" s="101" t="s">
        <v>124</v>
      </c>
      <c r="B7" s="101"/>
      <c r="C7" s="101"/>
    </row>
    <row r="8" spans="1:3" ht="15.75">
      <c r="A8" s="98" t="s">
        <v>141</v>
      </c>
      <c r="B8" s="98"/>
      <c r="C8" s="40"/>
    </row>
    <row r="9" spans="1:3" ht="15.75" customHeight="1">
      <c r="A9" s="43"/>
      <c r="B9" s="43"/>
      <c r="C9" s="40"/>
    </row>
    <row r="10" spans="1:3" ht="63">
      <c r="A10" s="14" t="s">
        <v>24</v>
      </c>
      <c r="B10" s="15" t="s">
        <v>25</v>
      </c>
      <c r="C10" s="16" t="s">
        <v>30</v>
      </c>
    </row>
    <row r="11" spans="1:3" ht="16.5" thickBot="1">
      <c r="A11" s="105" t="s">
        <v>26</v>
      </c>
      <c r="B11" s="106"/>
      <c r="C11" s="107"/>
    </row>
    <row r="12" spans="1:3" ht="15.75">
      <c r="A12" s="108" t="s">
        <v>31</v>
      </c>
      <c r="B12" s="17" t="s">
        <v>86</v>
      </c>
      <c r="C12" s="18">
        <f>9.714*1.5*5</f>
        <v>72.855000000000004</v>
      </c>
    </row>
    <row r="13" spans="1:3" ht="15.75">
      <c r="A13" s="109"/>
      <c r="B13" s="19" t="s">
        <v>77</v>
      </c>
      <c r="C13" s="18">
        <f>11.571*2*5</f>
        <v>115.71</v>
      </c>
    </row>
    <row r="14" spans="1:3" ht="15.75">
      <c r="A14" s="109"/>
      <c r="B14" s="19" t="s">
        <v>69</v>
      </c>
      <c r="C14" s="18">
        <f>9.714*0.1*5</f>
        <v>4.8570000000000002</v>
      </c>
    </row>
    <row r="15" spans="1:3" ht="15.75">
      <c r="A15" s="109"/>
      <c r="B15" s="19" t="s">
        <v>159</v>
      </c>
      <c r="C15" s="18">
        <f>15.4*0.1*5</f>
        <v>7.7</v>
      </c>
    </row>
    <row r="16" spans="1:3" ht="16.5" thickBot="1">
      <c r="A16" s="109"/>
      <c r="B16" s="20" t="s">
        <v>71</v>
      </c>
      <c r="C16" s="18">
        <f>18.607*0.1*5</f>
        <v>9.3034999999999997</v>
      </c>
    </row>
    <row r="17" spans="1:6" ht="32.25" thickBot="1">
      <c r="A17" s="21" t="s">
        <v>32</v>
      </c>
      <c r="B17" s="22" t="s">
        <v>33</v>
      </c>
      <c r="C17" s="23">
        <f>(C12+C13+C14+C15+C16)*0.2359</f>
        <v>49.639375450000003</v>
      </c>
    </row>
    <row r="18" spans="1:6" ht="15.75">
      <c r="A18" s="111" t="s">
        <v>27</v>
      </c>
      <c r="B18" s="112"/>
      <c r="C18" s="24">
        <f>SUM(C12:C17)</f>
        <v>260.06487544999999</v>
      </c>
      <c r="F18" s="45">
        <f>C18+C21+C22</f>
        <v>360.97244056853998</v>
      </c>
    </row>
    <row r="19" spans="1:6" ht="16.5" thickBot="1">
      <c r="A19" s="113" t="s">
        <v>28</v>
      </c>
      <c r="B19" s="114"/>
      <c r="C19" s="115"/>
      <c r="F19" s="45">
        <f>C23+C24+C25+C26+C27+C28+C29+C30+C31+C32+C33</f>
        <v>80.626881600000004</v>
      </c>
    </row>
    <row r="20" spans="1:6" ht="15.75">
      <c r="A20" s="25"/>
      <c r="B20" s="26" t="s">
        <v>34</v>
      </c>
      <c r="C20" s="27">
        <v>1.6180000000000001E-5</v>
      </c>
      <c r="F20" s="45">
        <f>C34+C35</f>
        <v>58.528803900000007</v>
      </c>
    </row>
    <row r="21" spans="1:6" ht="16.5" thickBot="1">
      <c r="A21" s="28" t="s">
        <v>35</v>
      </c>
      <c r="B21" s="29" t="s">
        <v>36</v>
      </c>
      <c r="C21" s="30">
        <f>1009234*$C$20*5</f>
        <v>81.647030600000008</v>
      </c>
    </row>
    <row r="22" spans="1:6" ht="32.25" thickBot="1">
      <c r="A22" s="31" t="s">
        <v>32</v>
      </c>
      <c r="B22" s="32" t="s">
        <v>33</v>
      </c>
      <c r="C22" s="30">
        <f>C21*0.2359</f>
        <v>19.260534518540002</v>
      </c>
    </row>
    <row r="23" spans="1:6" ht="32.25" thickBot="1">
      <c r="A23" s="31" t="s">
        <v>37</v>
      </c>
      <c r="B23" s="32" t="s">
        <v>38</v>
      </c>
      <c r="C23" s="30">
        <f>93709*$C$20*5</f>
        <v>7.5810580999999999</v>
      </c>
    </row>
    <row r="24" spans="1:6" ht="19.5" customHeight="1" thickBot="1">
      <c r="A24" s="31" t="s">
        <v>39</v>
      </c>
      <c r="B24" s="32" t="s">
        <v>40</v>
      </c>
      <c r="C24" s="30">
        <f>76039*$C$20*5</f>
        <v>6.1515551000000004</v>
      </c>
    </row>
    <row r="25" spans="1:6" ht="20.25" customHeight="1" thickBot="1">
      <c r="A25" s="31" t="s">
        <v>41</v>
      </c>
      <c r="B25" s="32" t="s">
        <v>42</v>
      </c>
      <c r="C25" s="30">
        <f>84854*$C$20*5</f>
        <v>6.8646886000000009</v>
      </c>
    </row>
    <row r="26" spans="1:6" ht="16.5" thickBot="1">
      <c r="A26" s="31" t="s">
        <v>43</v>
      </c>
      <c r="B26" s="32" t="s">
        <v>44</v>
      </c>
      <c r="C26" s="30">
        <f>127766*$C$20*5</f>
        <v>10.336269399999999</v>
      </c>
    </row>
    <row r="27" spans="1:6" ht="32.25" thickBot="1">
      <c r="A27" s="31" t="s">
        <v>45</v>
      </c>
      <c r="B27" s="32" t="s">
        <v>46</v>
      </c>
      <c r="C27" s="30">
        <f>170156*$C$20*5</f>
        <v>13.7656204</v>
      </c>
    </row>
    <row r="28" spans="1:6" ht="32.25" thickBot="1">
      <c r="A28" s="31" t="s">
        <v>47</v>
      </c>
      <c r="B28" s="32" t="s">
        <v>48</v>
      </c>
      <c r="C28" s="30">
        <f>377637*$C$20*5</f>
        <v>30.550833300000001</v>
      </c>
    </row>
    <row r="29" spans="1:6" ht="18" customHeight="1" thickBot="1">
      <c r="A29" s="31" t="s">
        <v>51</v>
      </c>
      <c r="B29" s="32" t="s">
        <v>52</v>
      </c>
      <c r="C29" s="30">
        <f>27437*$C$20*5</f>
        <v>2.2196533000000001</v>
      </c>
    </row>
    <row r="30" spans="1:6" ht="17.25" customHeight="1" thickBot="1">
      <c r="A30" s="31" t="s">
        <v>53</v>
      </c>
      <c r="B30" s="32" t="s">
        <v>54</v>
      </c>
      <c r="C30" s="30">
        <f>1110*$C$20*5</f>
        <v>8.9799000000000004E-2</v>
      </c>
    </row>
    <row r="31" spans="1:6" ht="32.25" thickBot="1">
      <c r="A31" s="31" t="s">
        <v>55</v>
      </c>
      <c r="B31" s="32" t="s">
        <v>56</v>
      </c>
      <c r="C31" s="30">
        <f>13237*$C$20*5</f>
        <v>1.0708733000000001</v>
      </c>
    </row>
    <row r="32" spans="1:6" ht="32.25" thickBot="1">
      <c r="A32" s="31" t="s">
        <v>57</v>
      </c>
      <c r="B32" s="32" t="s">
        <v>58</v>
      </c>
      <c r="C32" s="30">
        <f>8480*$C$20*5</f>
        <v>0.68603199999999998</v>
      </c>
    </row>
    <row r="33" spans="1:3" ht="32.25" thickBot="1">
      <c r="A33" s="31" t="s">
        <v>59</v>
      </c>
      <c r="B33" s="32" t="s">
        <v>60</v>
      </c>
      <c r="C33" s="30">
        <f>16199*$C$20*5</f>
        <v>1.3104991000000001</v>
      </c>
    </row>
    <row r="34" spans="1:3" ht="16.5" customHeight="1" thickBot="1">
      <c r="A34" s="31" t="s">
        <v>61</v>
      </c>
      <c r="B34" s="32" t="s">
        <v>62</v>
      </c>
      <c r="C34" s="30">
        <f>106687*$C$20*5</f>
        <v>8.6309783000000007</v>
      </c>
    </row>
    <row r="35" spans="1:3" ht="32.25" thickBot="1">
      <c r="A35" s="31" t="s">
        <v>63</v>
      </c>
      <c r="B35" s="34" t="s">
        <v>64</v>
      </c>
      <c r="C35" s="30">
        <f>616784*$C$20*5</f>
        <v>49.897825600000004</v>
      </c>
    </row>
    <row r="36" spans="1:3" ht="15.75">
      <c r="A36" s="116" t="s">
        <v>29</v>
      </c>
      <c r="B36" s="117"/>
      <c r="C36" s="35">
        <f>SUM(C21:C35)</f>
        <v>240.06325061853997</v>
      </c>
    </row>
    <row r="37" spans="1:3" ht="15.75">
      <c r="A37" s="118" t="s">
        <v>65</v>
      </c>
      <c r="B37" s="119"/>
      <c r="C37" s="36">
        <f>C36+C18</f>
        <v>500.12812606853993</v>
      </c>
    </row>
    <row r="38" spans="1:3" ht="15.75">
      <c r="A38" s="1"/>
      <c r="B38" s="1"/>
      <c r="C38" s="37"/>
    </row>
    <row r="39" spans="1:3" ht="15.75">
      <c r="A39" s="103" t="s">
        <v>66</v>
      </c>
      <c r="B39" s="104"/>
      <c r="C39" s="38">
        <v>5</v>
      </c>
    </row>
    <row r="40" spans="1:3" ht="15.75">
      <c r="A40" s="103" t="s">
        <v>67</v>
      </c>
      <c r="B40" s="104"/>
      <c r="C40" s="39">
        <f>ROUND(C37/C39,2)</f>
        <v>100.03</v>
      </c>
    </row>
  </sheetData>
  <mergeCells count="14">
    <mergeCell ref="B1:C1"/>
    <mergeCell ref="A3:C3"/>
    <mergeCell ref="A5:C5"/>
    <mergeCell ref="A6:C6"/>
    <mergeCell ref="A7:C7"/>
    <mergeCell ref="A8:B8"/>
    <mergeCell ref="A39:B39"/>
    <mergeCell ref="A40:B40"/>
    <mergeCell ref="A11:C11"/>
    <mergeCell ref="A12:A16"/>
    <mergeCell ref="A18:B18"/>
    <mergeCell ref="A19:C19"/>
    <mergeCell ref="A36:B36"/>
    <mergeCell ref="A37:B37"/>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92F6C-6EDB-4E1E-8C12-080261911B18}">
  <sheetPr>
    <tabColor theme="6" tint="0.79998168889431442"/>
  </sheetPr>
  <dimension ref="A1:F40"/>
  <sheetViews>
    <sheetView zoomScaleNormal="100" workbookViewId="0">
      <selection activeCell="H10" sqref="H10"/>
    </sheetView>
  </sheetViews>
  <sheetFormatPr defaultRowHeight="12.75"/>
  <cols>
    <col min="1" max="1" width="10.7109375" customWidth="1"/>
    <col min="2" max="2" width="98.85546875" customWidth="1"/>
    <col min="3" max="3" width="25.5703125" customWidth="1"/>
  </cols>
  <sheetData>
    <row r="1" spans="1:3" ht="72" customHeight="1">
      <c r="B1" s="99" t="s">
        <v>308</v>
      </c>
      <c r="C1" s="99"/>
    </row>
    <row r="3" spans="1:3" ht="15.75">
      <c r="A3" s="100" t="s">
        <v>91</v>
      </c>
      <c r="B3" s="100"/>
      <c r="C3" s="100"/>
    </row>
    <row r="4" spans="1:3" ht="15.75">
      <c r="A4" s="40"/>
      <c r="B4" s="40"/>
      <c r="C4" s="40"/>
    </row>
    <row r="5" spans="1:3" ht="15.75">
      <c r="A5" s="101" t="s">
        <v>122</v>
      </c>
      <c r="B5" s="101"/>
      <c r="C5" s="101"/>
    </row>
    <row r="6" spans="1:3" ht="73.5" customHeight="1">
      <c r="A6" s="102" t="s">
        <v>144</v>
      </c>
      <c r="B6" s="102"/>
      <c r="C6" s="102"/>
    </row>
    <row r="7" spans="1:3" ht="15.75">
      <c r="A7" s="101" t="s">
        <v>124</v>
      </c>
      <c r="B7" s="101"/>
      <c r="C7" s="101"/>
    </row>
    <row r="8" spans="1:3" ht="15.75">
      <c r="A8" s="98" t="s">
        <v>143</v>
      </c>
      <c r="B8" s="98"/>
      <c r="C8" s="40"/>
    </row>
    <row r="10" spans="1:3" ht="63">
      <c r="A10" s="14" t="s">
        <v>24</v>
      </c>
      <c r="B10" s="15" t="s">
        <v>25</v>
      </c>
      <c r="C10" s="16" t="s">
        <v>30</v>
      </c>
    </row>
    <row r="11" spans="1:3" ht="16.5" thickBot="1">
      <c r="A11" s="105" t="s">
        <v>26</v>
      </c>
      <c r="B11" s="106"/>
      <c r="C11" s="107"/>
    </row>
    <row r="12" spans="1:3" ht="15.75">
      <c r="A12" s="108" t="s">
        <v>31</v>
      </c>
      <c r="B12" s="17" t="s">
        <v>86</v>
      </c>
      <c r="C12" s="18">
        <f>9.714*1.5*21</f>
        <v>305.99100000000004</v>
      </c>
    </row>
    <row r="13" spans="1:3" ht="15.75">
      <c r="A13" s="109"/>
      <c r="B13" s="19" t="s">
        <v>77</v>
      </c>
      <c r="C13" s="18">
        <f>11.571*2*21</f>
        <v>485.98199999999997</v>
      </c>
    </row>
    <row r="14" spans="1:3" ht="15.75">
      <c r="A14" s="109"/>
      <c r="B14" s="19" t="s">
        <v>69</v>
      </c>
      <c r="C14" s="18">
        <f>9.714*0.1*21</f>
        <v>20.3994</v>
      </c>
    </row>
    <row r="15" spans="1:3" ht="15.75">
      <c r="A15" s="109"/>
      <c r="B15" s="19" t="s">
        <v>159</v>
      </c>
      <c r="C15" s="18">
        <f>15.4*0.1*21</f>
        <v>32.340000000000003</v>
      </c>
    </row>
    <row r="16" spans="1:3" ht="16.5" thickBot="1">
      <c r="A16" s="109"/>
      <c r="B16" s="20" t="s">
        <v>71</v>
      </c>
      <c r="C16" s="18">
        <f>18.607*0.1*21</f>
        <v>39.0747</v>
      </c>
    </row>
    <row r="17" spans="1:6" ht="32.25" thickBot="1">
      <c r="A17" s="21" t="s">
        <v>32</v>
      </c>
      <c r="B17" s="22" t="s">
        <v>33</v>
      </c>
      <c r="C17" s="23">
        <f>(C12+C13+C14+C15+C16)*0.2359</f>
        <v>208.48537689</v>
      </c>
    </row>
    <row r="18" spans="1:6" ht="15.75">
      <c r="A18" s="111" t="s">
        <v>27</v>
      </c>
      <c r="B18" s="112"/>
      <c r="C18" s="24">
        <f>SUM(C12:C17)</f>
        <v>1092.27247689</v>
      </c>
      <c r="F18" s="45">
        <f>C18+C21+C22</f>
        <v>1516.0842503878682</v>
      </c>
    </row>
    <row r="19" spans="1:6" ht="16.5" thickBot="1">
      <c r="A19" s="113" t="s">
        <v>28</v>
      </c>
      <c r="B19" s="114"/>
      <c r="C19" s="115"/>
      <c r="F19" s="45">
        <f>C23+C24+C25+C26+C27+C28+C29+C30+C31+C32+C33</f>
        <v>338.63290272000006</v>
      </c>
    </row>
    <row r="20" spans="1:6" ht="15.75">
      <c r="A20" s="25"/>
      <c r="B20" s="26" t="s">
        <v>34</v>
      </c>
      <c r="C20" s="27">
        <v>1.6180000000000001E-5</v>
      </c>
      <c r="F20" s="45">
        <f>C34+C35</f>
        <v>245.82097638000002</v>
      </c>
    </row>
    <row r="21" spans="1:6" ht="16.5" thickBot="1">
      <c r="A21" s="28" t="s">
        <v>35</v>
      </c>
      <c r="B21" s="29" t="s">
        <v>36</v>
      </c>
      <c r="C21" s="30">
        <f>1009234*$C$20*21</f>
        <v>342.91752852000002</v>
      </c>
    </row>
    <row r="22" spans="1:6" ht="32.25" thickBot="1">
      <c r="A22" s="31" t="s">
        <v>32</v>
      </c>
      <c r="B22" s="32" t="s">
        <v>33</v>
      </c>
      <c r="C22" s="30">
        <f>C21*0.2359</f>
        <v>80.894244977867999</v>
      </c>
      <c r="D22" s="45"/>
    </row>
    <row r="23" spans="1:6" ht="32.25" thickBot="1">
      <c r="A23" s="31" t="s">
        <v>37</v>
      </c>
      <c r="B23" s="32" t="s">
        <v>38</v>
      </c>
      <c r="C23" s="30">
        <f>93709*$C$20*21</f>
        <v>31.84044402</v>
      </c>
    </row>
    <row r="24" spans="1:6" ht="17.25" customHeight="1" thickBot="1">
      <c r="A24" s="31" t="s">
        <v>39</v>
      </c>
      <c r="B24" s="32" t="s">
        <v>40</v>
      </c>
      <c r="C24" s="30">
        <f>76039*$C$20*21</f>
        <v>25.83653142</v>
      </c>
    </row>
    <row r="25" spans="1:6" ht="21" customHeight="1" thickBot="1">
      <c r="A25" s="31" t="s">
        <v>41</v>
      </c>
      <c r="B25" s="32" t="s">
        <v>42</v>
      </c>
      <c r="C25" s="30">
        <f>84854*$C$20*21</f>
        <v>28.831692120000003</v>
      </c>
    </row>
    <row r="26" spans="1:6" ht="16.5" thickBot="1">
      <c r="A26" s="31" t="s">
        <v>43</v>
      </c>
      <c r="B26" s="32" t="s">
        <v>44</v>
      </c>
      <c r="C26" s="30">
        <f>127766*$C$20*21</f>
        <v>43.412331479999999</v>
      </c>
    </row>
    <row r="27" spans="1:6" ht="32.25" thickBot="1">
      <c r="A27" s="31" t="s">
        <v>45</v>
      </c>
      <c r="B27" s="32" t="s">
        <v>46</v>
      </c>
      <c r="C27" s="30">
        <f>170156*$C$20*21</f>
        <v>57.815605680000004</v>
      </c>
    </row>
    <row r="28" spans="1:6" ht="32.25" thickBot="1">
      <c r="A28" s="31" t="s">
        <v>47</v>
      </c>
      <c r="B28" s="32" t="s">
        <v>48</v>
      </c>
      <c r="C28" s="30">
        <f>377637*$C$20*21</f>
        <v>128.31349986000001</v>
      </c>
    </row>
    <row r="29" spans="1:6" ht="20.25" customHeight="1" thickBot="1">
      <c r="A29" s="31" t="s">
        <v>51</v>
      </c>
      <c r="B29" s="32" t="s">
        <v>52</v>
      </c>
      <c r="C29" s="30">
        <f>27437*$C$20*21</f>
        <v>9.3225438600000015</v>
      </c>
    </row>
    <row r="30" spans="1:6" ht="17.25" customHeight="1" thickBot="1">
      <c r="A30" s="31" t="s">
        <v>53</v>
      </c>
      <c r="B30" s="32" t="s">
        <v>54</v>
      </c>
      <c r="C30" s="30">
        <f>1110*$C$20*21</f>
        <v>0.37715580000000004</v>
      </c>
    </row>
    <row r="31" spans="1:6" ht="32.25" thickBot="1">
      <c r="A31" s="31" t="s">
        <v>55</v>
      </c>
      <c r="B31" s="32" t="s">
        <v>56</v>
      </c>
      <c r="C31" s="30">
        <f>13237*$C$20*21</f>
        <v>4.49766786</v>
      </c>
    </row>
    <row r="32" spans="1:6" ht="32.25" thickBot="1">
      <c r="A32" s="31" t="s">
        <v>57</v>
      </c>
      <c r="B32" s="32" t="s">
        <v>58</v>
      </c>
      <c r="C32" s="30">
        <f>8480*$C$20*21</f>
        <v>2.8813344000000001</v>
      </c>
    </row>
    <row r="33" spans="1:3" ht="32.25" thickBot="1">
      <c r="A33" s="31" t="s">
        <v>59</v>
      </c>
      <c r="B33" s="32" t="s">
        <v>60</v>
      </c>
      <c r="C33" s="30">
        <f>16199*$C$20*21</f>
        <v>5.504096220000001</v>
      </c>
    </row>
    <row r="34" spans="1:3" ht="19.5" customHeight="1" thickBot="1">
      <c r="A34" s="31" t="s">
        <v>61</v>
      </c>
      <c r="B34" s="32" t="s">
        <v>62</v>
      </c>
      <c r="C34" s="30">
        <f>106687*$C$20*21</f>
        <v>36.250108860000005</v>
      </c>
    </row>
    <row r="35" spans="1:3" ht="32.25" thickBot="1">
      <c r="A35" s="31" t="s">
        <v>63</v>
      </c>
      <c r="B35" s="34" t="s">
        <v>64</v>
      </c>
      <c r="C35" s="30">
        <f>616784*$C$20*21</f>
        <v>209.57086752000001</v>
      </c>
    </row>
    <row r="36" spans="1:3" ht="15.75">
      <c r="A36" s="116" t="s">
        <v>29</v>
      </c>
      <c r="B36" s="117"/>
      <c r="C36" s="35">
        <f>SUM(C21:C35)</f>
        <v>1008.2656525978678</v>
      </c>
    </row>
    <row r="37" spans="1:3" ht="15.75">
      <c r="A37" s="118" t="s">
        <v>65</v>
      </c>
      <c r="B37" s="119"/>
      <c r="C37" s="36">
        <f>C36+C18</f>
        <v>2100.538129487868</v>
      </c>
    </row>
    <row r="38" spans="1:3" ht="15.75">
      <c r="A38" s="1"/>
      <c r="B38" s="1"/>
      <c r="C38" s="37"/>
    </row>
    <row r="39" spans="1:3" ht="15.75">
      <c r="A39" s="103" t="s">
        <v>66</v>
      </c>
      <c r="B39" s="104"/>
      <c r="C39" s="38">
        <v>21</v>
      </c>
    </row>
    <row r="40" spans="1:3" ht="15.75">
      <c r="A40" s="103" t="s">
        <v>67</v>
      </c>
      <c r="B40" s="104"/>
      <c r="C40" s="39">
        <f>ROUND(C37/C39,2)</f>
        <v>100.03</v>
      </c>
    </row>
  </sheetData>
  <mergeCells count="14">
    <mergeCell ref="B1:C1"/>
    <mergeCell ref="A3:C3"/>
    <mergeCell ref="A5:C5"/>
    <mergeCell ref="A6:C6"/>
    <mergeCell ref="A7:C7"/>
    <mergeCell ref="A8:B8"/>
    <mergeCell ref="A39:B39"/>
    <mergeCell ref="A40:B40"/>
    <mergeCell ref="A11:C11"/>
    <mergeCell ref="A12:A16"/>
    <mergeCell ref="A18:B18"/>
    <mergeCell ref="A19:C19"/>
    <mergeCell ref="A36:B36"/>
    <mergeCell ref="A37:B37"/>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4B197-227D-4744-A2CF-8D88E0C417EC}">
  <sheetPr>
    <tabColor theme="6" tint="0.79998168889431442"/>
  </sheetPr>
  <dimension ref="A1:F40"/>
  <sheetViews>
    <sheetView zoomScaleNormal="100" workbookViewId="0">
      <selection activeCell="B1" sqref="B1:C1"/>
    </sheetView>
  </sheetViews>
  <sheetFormatPr defaultRowHeight="12.75"/>
  <cols>
    <col min="1" max="1" width="10.7109375" customWidth="1"/>
    <col min="2" max="2" width="98.85546875" customWidth="1"/>
    <col min="3" max="3" width="25.5703125" customWidth="1"/>
  </cols>
  <sheetData>
    <row r="1" spans="1:3" ht="74.25" customHeight="1">
      <c r="B1" s="99" t="s">
        <v>308</v>
      </c>
      <c r="C1" s="99"/>
    </row>
    <row r="3" spans="1:3" ht="15.75">
      <c r="A3" s="100" t="s">
        <v>91</v>
      </c>
      <c r="B3" s="100"/>
      <c r="C3" s="100"/>
    </row>
    <row r="4" spans="1:3" ht="15.75">
      <c r="A4" s="40"/>
      <c r="B4" s="40"/>
      <c r="C4" s="40"/>
    </row>
    <row r="5" spans="1:3" ht="15.75">
      <c r="A5" s="101" t="s">
        <v>122</v>
      </c>
      <c r="B5" s="101"/>
      <c r="C5" s="101"/>
    </row>
    <row r="6" spans="1:3" ht="63" customHeight="1">
      <c r="A6" s="102" t="s">
        <v>145</v>
      </c>
      <c r="B6" s="102"/>
      <c r="C6" s="102"/>
    </row>
    <row r="7" spans="1:3" ht="15.75">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86</v>
      </c>
      <c r="C12" s="18">
        <f>9.714*1.5*1</f>
        <v>14.571000000000002</v>
      </c>
    </row>
    <row r="13" spans="1:3" ht="15.75">
      <c r="A13" s="109"/>
      <c r="B13" s="19" t="s">
        <v>77</v>
      </c>
      <c r="C13" s="18">
        <f>11.571*2*1</f>
        <v>23.141999999999999</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6" ht="32.25" thickBot="1">
      <c r="A17" s="21" t="s">
        <v>32</v>
      </c>
      <c r="B17" s="22" t="s">
        <v>33</v>
      </c>
      <c r="C17" s="23">
        <f>(C12+C13+C14+C15+C16)*0.2359</f>
        <v>9.9278750900000006</v>
      </c>
    </row>
    <row r="18" spans="1:6" ht="15.75">
      <c r="A18" s="111" t="s">
        <v>27</v>
      </c>
      <c r="B18" s="112"/>
      <c r="C18" s="24">
        <f>SUM(C12:C17)</f>
        <v>52.012975090000005</v>
      </c>
      <c r="F18" s="45">
        <f>C18+C21+C22</f>
        <v>72.194488113708019</v>
      </c>
    </row>
    <row r="19" spans="1:6" ht="16.5" thickBot="1">
      <c r="A19" s="113" t="s">
        <v>28</v>
      </c>
      <c r="B19" s="114"/>
      <c r="C19" s="115"/>
      <c r="F19" s="45">
        <f>C23+C24+C25+C26+C27+C28+C29+C30+C31+C32+C33</f>
        <v>16.125376320000001</v>
      </c>
    </row>
    <row r="20" spans="1:6" ht="15.75">
      <c r="A20" s="25"/>
      <c r="B20" s="26" t="s">
        <v>34</v>
      </c>
      <c r="C20" s="27">
        <v>1.6180000000000001E-5</v>
      </c>
      <c r="F20" s="45">
        <f>C34+C35</f>
        <v>11.70576078</v>
      </c>
    </row>
    <row r="21" spans="1:6" ht="16.5" thickBot="1">
      <c r="A21" s="28" t="s">
        <v>35</v>
      </c>
      <c r="B21" s="29" t="s">
        <v>36</v>
      </c>
      <c r="C21" s="30">
        <f>1009234*$C$20*1</f>
        <v>16.329406120000002</v>
      </c>
    </row>
    <row r="22" spans="1:6" ht="32.25" thickBot="1">
      <c r="A22" s="31" t="s">
        <v>32</v>
      </c>
      <c r="B22" s="32" t="s">
        <v>33</v>
      </c>
      <c r="C22" s="30">
        <f>C21*0.2359</f>
        <v>3.8521069037080005</v>
      </c>
    </row>
    <row r="23" spans="1:6" ht="32.25" thickBot="1">
      <c r="A23" s="31" t="s">
        <v>37</v>
      </c>
      <c r="B23" s="32" t="s">
        <v>38</v>
      </c>
      <c r="C23" s="30">
        <f>93709*$C$20*1</f>
        <v>1.51621162</v>
      </c>
    </row>
    <row r="24" spans="1:6" ht="16.5" customHeight="1" thickBot="1">
      <c r="A24" s="31" t="s">
        <v>39</v>
      </c>
      <c r="B24" s="32" t="s">
        <v>40</v>
      </c>
      <c r="C24" s="30">
        <f>76039*$C$20*1</f>
        <v>1.23031102</v>
      </c>
    </row>
    <row r="25" spans="1:6" ht="21" customHeight="1" thickBot="1">
      <c r="A25" s="31" t="s">
        <v>41</v>
      </c>
      <c r="B25" s="32" t="s">
        <v>42</v>
      </c>
      <c r="C25" s="30">
        <f>84854*$C$20*1</f>
        <v>1.3729377200000001</v>
      </c>
    </row>
    <row r="26" spans="1:6" ht="16.5" thickBot="1">
      <c r="A26" s="31" t="s">
        <v>43</v>
      </c>
      <c r="B26" s="32" t="s">
        <v>44</v>
      </c>
      <c r="C26" s="30">
        <f>127766*$C$20*1</f>
        <v>2.06725388</v>
      </c>
    </row>
    <row r="27" spans="1:6" ht="32.25" thickBot="1">
      <c r="A27" s="31" t="s">
        <v>45</v>
      </c>
      <c r="B27" s="32" t="s">
        <v>46</v>
      </c>
      <c r="C27" s="30">
        <f>170156*$C$20*1</f>
        <v>2.7531240800000001</v>
      </c>
    </row>
    <row r="28" spans="1:6" ht="32.25" thickBot="1">
      <c r="A28" s="31" t="s">
        <v>47</v>
      </c>
      <c r="B28" s="32" t="s">
        <v>48</v>
      </c>
      <c r="C28" s="30">
        <f>377637*$C$20*1</f>
        <v>6.11016666</v>
      </c>
    </row>
    <row r="29" spans="1:6" ht="18" customHeight="1" thickBot="1">
      <c r="A29" s="31" t="s">
        <v>51</v>
      </c>
      <c r="B29" s="32" t="s">
        <v>52</v>
      </c>
      <c r="C29" s="30">
        <f>27437*$C$20*1</f>
        <v>0.44393066000000003</v>
      </c>
    </row>
    <row r="30" spans="1:6" ht="17.25" customHeight="1" thickBot="1">
      <c r="A30" s="31" t="s">
        <v>53</v>
      </c>
      <c r="B30" s="32" t="s">
        <v>54</v>
      </c>
      <c r="C30" s="30">
        <f>1110*$C$20*1</f>
        <v>1.7959800000000001E-2</v>
      </c>
    </row>
    <row r="31" spans="1:6" ht="32.25" thickBot="1">
      <c r="A31" s="31" t="s">
        <v>55</v>
      </c>
      <c r="B31" s="32" t="s">
        <v>56</v>
      </c>
      <c r="C31" s="30">
        <f>13237*$C$20*1</f>
        <v>0.21417466000000002</v>
      </c>
    </row>
    <row r="32" spans="1:6" ht="32.25" thickBot="1">
      <c r="A32" s="31" t="s">
        <v>57</v>
      </c>
      <c r="B32" s="32" t="s">
        <v>58</v>
      </c>
      <c r="C32" s="30">
        <f>8480*$C$20*1</f>
        <v>0.13720640000000001</v>
      </c>
    </row>
    <row r="33" spans="1:3" ht="32.25" thickBot="1">
      <c r="A33" s="31" t="s">
        <v>59</v>
      </c>
      <c r="B33" s="32" t="s">
        <v>60</v>
      </c>
      <c r="C33" s="30">
        <f>16199*$C$20*1</f>
        <v>0.26209982000000004</v>
      </c>
    </row>
    <row r="34" spans="1:3" ht="18.75" customHeight="1" thickBot="1">
      <c r="A34" s="31" t="s">
        <v>61</v>
      </c>
      <c r="B34" s="32" t="s">
        <v>62</v>
      </c>
      <c r="C34" s="30">
        <f>106687*$C$20*1</f>
        <v>1.7261956600000001</v>
      </c>
    </row>
    <row r="35" spans="1:3" ht="32.25" thickBot="1">
      <c r="A35" s="31" t="s">
        <v>63</v>
      </c>
      <c r="B35" s="34" t="s">
        <v>64</v>
      </c>
      <c r="C35" s="30">
        <f>616784*$C$20*1</f>
        <v>9.9795651200000002</v>
      </c>
    </row>
    <row r="36" spans="1:3" ht="15.75">
      <c r="A36" s="116" t="s">
        <v>29</v>
      </c>
      <c r="B36" s="117"/>
      <c r="C36" s="35">
        <f>SUM(C21:C35)</f>
        <v>48.012650123707999</v>
      </c>
    </row>
    <row r="37" spans="1:3" ht="15.75">
      <c r="A37" s="118" t="s">
        <v>65</v>
      </c>
      <c r="B37" s="119"/>
      <c r="C37" s="36">
        <f>C36+C18</f>
        <v>100.025625213708</v>
      </c>
    </row>
    <row r="38" spans="1:3" ht="15.75">
      <c r="A38" s="1"/>
      <c r="B38" s="1"/>
      <c r="C38" s="37"/>
    </row>
    <row r="39" spans="1:3" ht="15.75">
      <c r="A39" s="103" t="s">
        <v>66</v>
      </c>
      <c r="B39" s="104"/>
      <c r="C39" s="38">
        <v>1</v>
      </c>
    </row>
    <row r="40" spans="1:3" ht="15.75">
      <c r="A40" s="103" t="s">
        <v>67</v>
      </c>
      <c r="B40" s="104"/>
      <c r="C40" s="39">
        <f>ROUND(C37/C39,2)</f>
        <v>100.03</v>
      </c>
    </row>
  </sheetData>
  <mergeCells count="14">
    <mergeCell ref="B1:C1"/>
    <mergeCell ref="A3:C3"/>
    <mergeCell ref="A5:C5"/>
    <mergeCell ref="A6:C6"/>
    <mergeCell ref="A7:C7"/>
    <mergeCell ref="A8:B8"/>
    <mergeCell ref="A39:B39"/>
    <mergeCell ref="A40:B40"/>
    <mergeCell ref="A11:C11"/>
    <mergeCell ref="A12:A16"/>
    <mergeCell ref="A18:B18"/>
    <mergeCell ref="A19:C19"/>
    <mergeCell ref="A36:B36"/>
    <mergeCell ref="A37:B37"/>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8D68D-DA6E-4F18-A95B-57E533A75296}">
  <sheetPr>
    <tabColor theme="6" tint="0.79998168889431442"/>
  </sheetPr>
  <dimension ref="A1:F39"/>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71.25" customHeight="1">
      <c r="B1" s="99" t="s">
        <v>308</v>
      </c>
      <c r="C1" s="99"/>
    </row>
    <row r="3" spans="1:3" ht="15.75">
      <c r="A3" s="100" t="s">
        <v>91</v>
      </c>
      <c r="B3" s="100"/>
      <c r="C3" s="100"/>
    </row>
    <row r="4" spans="1:3" ht="15.75">
      <c r="A4" s="40"/>
      <c r="B4" s="40"/>
      <c r="C4" s="40"/>
    </row>
    <row r="5" spans="1:3" ht="15.75">
      <c r="A5" s="101" t="s">
        <v>122</v>
      </c>
      <c r="B5" s="101"/>
      <c r="C5" s="101"/>
    </row>
    <row r="6" spans="1:3" ht="63.75" customHeight="1">
      <c r="A6" s="102" t="s">
        <v>147</v>
      </c>
      <c r="B6" s="102"/>
      <c r="C6" s="102"/>
    </row>
    <row r="7" spans="1:3" ht="15.75">
      <c r="A7" s="101" t="s">
        <v>124</v>
      </c>
      <c r="B7" s="101"/>
      <c r="C7" s="101"/>
    </row>
    <row r="8" spans="1:3" ht="15.75">
      <c r="A8" s="98" t="s">
        <v>146</v>
      </c>
      <c r="B8" s="98"/>
      <c r="C8" s="40"/>
    </row>
    <row r="10" spans="1:3" ht="63">
      <c r="A10" s="14" t="s">
        <v>24</v>
      </c>
      <c r="B10" s="15" t="s">
        <v>25</v>
      </c>
      <c r="C10" s="16" t="s">
        <v>30</v>
      </c>
    </row>
    <row r="11" spans="1:3" ht="16.5" thickBot="1">
      <c r="A11" s="105" t="s">
        <v>26</v>
      </c>
      <c r="B11" s="106"/>
      <c r="C11" s="107"/>
    </row>
    <row r="12" spans="1:3" ht="15.75">
      <c r="A12" s="108" t="s">
        <v>31</v>
      </c>
      <c r="B12" s="17" t="s">
        <v>82</v>
      </c>
      <c r="C12" s="18">
        <f>9.714*8*66</f>
        <v>5128.9920000000002</v>
      </c>
    </row>
    <row r="13" spans="1:3" ht="15.75">
      <c r="A13" s="109"/>
      <c r="B13" s="19" t="s">
        <v>83</v>
      </c>
      <c r="C13" s="18">
        <f>11.571*8*66</f>
        <v>6109.4880000000003</v>
      </c>
    </row>
    <row r="14" spans="1:3" ht="15.75">
      <c r="A14" s="109"/>
      <c r="B14" s="19" t="s">
        <v>84</v>
      </c>
      <c r="C14" s="18">
        <f>9.714*1*66</f>
        <v>641.12400000000002</v>
      </c>
    </row>
    <row r="15" spans="1:3" ht="15.75">
      <c r="A15" s="109"/>
      <c r="B15" s="19" t="s">
        <v>160</v>
      </c>
      <c r="C15" s="18">
        <f>15.4*1*66</f>
        <v>1016.4</v>
      </c>
    </row>
    <row r="16" spans="1:3" ht="16.5" thickBot="1">
      <c r="A16" s="109"/>
      <c r="B16" s="20" t="s">
        <v>85</v>
      </c>
      <c r="C16" s="18">
        <f>18.607*1*66</f>
        <v>1228.0619999999999</v>
      </c>
    </row>
    <row r="17" spans="1:6" ht="32.25" thickBot="1">
      <c r="A17" s="21" t="s">
        <v>32</v>
      </c>
      <c r="B17" s="22" t="s">
        <v>33</v>
      </c>
      <c r="C17" s="23">
        <f>(C12+C13+C14+C15+C16)*0.2359</f>
        <v>3331.8671693999995</v>
      </c>
    </row>
    <row r="18" spans="1:6" ht="15.75">
      <c r="A18" s="111" t="s">
        <v>27</v>
      </c>
      <c r="B18" s="112"/>
      <c r="C18" s="24">
        <f>SUM(C12:C17)</f>
        <v>17455.933169399999</v>
      </c>
      <c r="F18" s="45">
        <f>C18+C21+C22</f>
        <v>24229.437671562286</v>
      </c>
    </row>
    <row r="19" spans="1:6" ht="16.5" thickBot="1">
      <c r="A19" s="113" t="s">
        <v>28</v>
      </c>
      <c r="B19" s="114"/>
      <c r="C19" s="115"/>
      <c r="F19" s="45">
        <f>C23+C24+C25+C26+C27+C28+C29+C30+C31+C32</f>
        <v>4849.0330759200006</v>
      </c>
    </row>
    <row r="20" spans="1:6" ht="15.75">
      <c r="A20" s="25"/>
      <c r="B20" s="26" t="s">
        <v>34</v>
      </c>
      <c r="C20" s="27">
        <v>8.2280000000000005E-5</v>
      </c>
      <c r="F20" s="45">
        <f>C33+C34</f>
        <v>3928.7947960799997</v>
      </c>
    </row>
    <row r="21" spans="1:6" ht="16.5" thickBot="1">
      <c r="A21" s="28" t="s">
        <v>35</v>
      </c>
      <c r="B21" s="29" t="s">
        <v>36</v>
      </c>
      <c r="C21" s="30">
        <f>1009234*$C$20*66</f>
        <v>5480.6250523200006</v>
      </c>
    </row>
    <row r="22" spans="1:6" ht="32.25" thickBot="1">
      <c r="A22" s="31" t="s">
        <v>32</v>
      </c>
      <c r="B22" s="32" t="s">
        <v>33</v>
      </c>
      <c r="C22" s="30">
        <f>C21*0.2359</f>
        <v>1292.8794498422881</v>
      </c>
    </row>
    <row r="23" spans="1:6" ht="32.25" thickBot="1">
      <c r="A23" s="31" t="s">
        <v>37</v>
      </c>
      <c r="B23" s="32" t="s">
        <v>38</v>
      </c>
      <c r="C23" s="30">
        <f>93709*$C$20*66</f>
        <v>508.88485032000006</v>
      </c>
    </row>
    <row r="24" spans="1:6" ht="17.25" customHeight="1" thickBot="1">
      <c r="A24" s="31" t="s">
        <v>39</v>
      </c>
      <c r="B24" s="32" t="s">
        <v>40</v>
      </c>
      <c r="C24" s="30">
        <f>76039*$C$20*66</f>
        <v>412.92826872000006</v>
      </c>
    </row>
    <row r="25" spans="1:6" ht="20.25" customHeight="1" thickBot="1">
      <c r="A25" s="31" t="s">
        <v>41</v>
      </c>
      <c r="B25" s="32" t="s">
        <v>42</v>
      </c>
      <c r="C25" s="30">
        <f>84854*$C$20*66</f>
        <v>460.79794992000006</v>
      </c>
    </row>
    <row r="26" spans="1:6" ht="32.25" thickBot="1">
      <c r="A26" s="31" t="s">
        <v>45</v>
      </c>
      <c r="B26" s="32" t="s">
        <v>46</v>
      </c>
      <c r="C26" s="30">
        <f>170156*$C$20*66</f>
        <v>924.02875488000006</v>
      </c>
    </row>
    <row r="27" spans="1:6" ht="32.25" thickBot="1">
      <c r="A27" s="31" t="s">
        <v>47</v>
      </c>
      <c r="B27" s="32" t="s">
        <v>48</v>
      </c>
      <c r="C27" s="30">
        <f>377637*$C$20*66</f>
        <v>2050.7501757599998</v>
      </c>
    </row>
    <row r="28" spans="1:6" ht="19.5" customHeight="1" thickBot="1">
      <c r="A28" s="31" t="s">
        <v>49</v>
      </c>
      <c r="B28" s="32" t="s">
        <v>50</v>
      </c>
      <c r="C28" s="30">
        <f>51508*$C$20*66</f>
        <v>279.71316383999999</v>
      </c>
    </row>
    <row r="29" spans="1:6" ht="19.5" customHeight="1" thickBot="1">
      <c r="A29" s="31" t="s">
        <v>53</v>
      </c>
      <c r="B29" s="32" t="s">
        <v>54</v>
      </c>
      <c r="C29" s="30">
        <f>1110*$C$20*66</f>
        <v>6.0278328000000005</v>
      </c>
    </row>
    <row r="30" spans="1:6" ht="32.25" thickBot="1">
      <c r="A30" s="31" t="s">
        <v>55</v>
      </c>
      <c r="B30" s="32" t="s">
        <v>56</v>
      </c>
      <c r="C30" s="30">
        <f>13237*$C$20*66</f>
        <v>71.883263760000006</v>
      </c>
    </row>
    <row r="31" spans="1:6" ht="32.25" thickBot="1">
      <c r="A31" s="31" t="s">
        <v>57</v>
      </c>
      <c r="B31" s="32" t="s">
        <v>58</v>
      </c>
      <c r="C31" s="30">
        <f>8480*$C$20*66</f>
        <v>46.050470400000009</v>
      </c>
    </row>
    <row r="32" spans="1:6" ht="32.25" thickBot="1">
      <c r="A32" s="31" t="s">
        <v>59</v>
      </c>
      <c r="B32" s="32" t="s">
        <v>60</v>
      </c>
      <c r="C32" s="30">
        <f>16199*$C$20*66</f>
        <v>87.968345520000014</v>
      </c>
    </row>
    <row r="33" spans="1:3" ht="21" customHeight="1" thickBot="1">
      <c r="A33" s="31" t="s">
        <v>61</v>
      </c>
      <c r="B33" s="32" t="s">
        <v>62</v>
      </c>
      <c r="C33" s="30">
        <f>106687*$C$20*66</f>
        <v>579.36161976000005</v>
      </c>
    </row>
    <row r="34" spans="1:3" ht="32.25" thickBot="1">
      <c r="A34" s="31" t="s">
        <v>63</v>
      </c>
      <c r="B34" s="34" t="s">
        <v>64</v>
      </c>
      <c r="C34" s="30">
        <f>616784*$C$20*66</f>
        <v>3349.4331763199998</v>
      </c>
    </row>
    <row r="35" spans="1:3" ht="15.75">
      <c r="A35" s="116" t="s">
        <v>29</v>
      </c>
      <c r="B35" s="117"/>
      <c r="C35" s="35">
        <f>SUM(C21:C34)</f>
        <v>15551.332374162288</v>
      </c>
    </row>
    <row r="36" spans="1:3" ht="15.75">
      <c r="A36" s="118" t="s">
        <v>65</v>
      </c>
      <c r="B36" s="119"/>
      <c r="C36" s="36">
        <f>C35+C18</f>
        <v>33007.265543562287</v>
      </c>
    </row>
    <row r="37" spans="1:3" ht="15.75">
      <c r="A37" s="1"/>
      <c r="B37" s="1"/>
      <c r="C37" s="37"/>
    </row>
    <row r="38" spans="1:3" ht="15.75">
      <c r="A38" s="103" t="s">
        <v>66</v>
      </c>
      <c r="B38" s="104"/>
      <c r="C38" s="38">
        <v>66</v>
      </c>
    </row>
    <row r="39" spans="1:3" ht="15.75">
      <c r="A39" s="103" t="s">
        <v>67</v>
      </c>
      <c r="B39" s="104"/>
      <c r="C39" s="39">
        <f>ROUND(C36/C38,2)</f>
        <v>500.11</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7A7C9-F166-450B-87E7-A68C50F8566D}">
  <sheetPr>
    <tabColor theme="6" tint="0.79998168889431442"/>
  </sheetPr>
  <dimension ref="A1:F39"/>
  <sheetViews>
    <sheetView zoomScaleNormal="100" workbookViewId="0">
      <selection activeCell="F6" sqref="F6"/>
    </sheetView>
  </sheetViews>
  <sheetFormatPr defaultRowHeight="12.75"/>
  <cols>
    <col min="1" max="1" width="10.7109375" customWidth="1"/>
    <col min="2" max="2" width="98.85546875" customWidth="1"/>
    <col min="3" max="3" width="25.5703125" customWidth="1"/>
  </cols>
  <sheetData>
    <row r="1" spans="1:3" ht="69" customHeight="1">
      <c r="B1" s="99" t="s">
        <v>308</v>
      </c>
      <c r="C1" s="99"/>
    </row>
    <row r="3" spans="1:3" ht="15.75">
      <c r="A3" s="100" t="s">
        <v>91</v>
      </c>
      <c r="B3" s="100"/>
      <c r="C3" s="100"/>
    </row>
    <row r="4" spans="1:3" ht="15.75">
      <c r="A4" s="40"/>
      <c r="B4" s="40"/>
      <c r="C4" s="40"/>
    </row>
    <row r="5" spans="1:3" ht="15.75">
      <c r="A5" s="101" t="s">
        <v>122</v>
      </c>
      <c r="B5" s="101"/>
      <c r="C5" s="101"/>
    </row>
    <row r="6" spans="1:3" ht="66" customHeight="1">
      <c r="A6" s="102" t="s">
        <v>148</v>
      </c>
      <c r="B6" s="102"/>
      <c r="C6" s="102"/>
    </row>
    <row r="7" spans="1:3" ht="15.75">
      <c r="A7" s="101" t="s">
        <v>124</v>
      </c>
      <c r="B7" s="101"/>
      <c r="C7" s="101"/>
    </row>
    <row r="8" spans="1:3" ht="15.75">
      <c r="A8" s="98" t="s">
        <v>97</v>
      </c>
      <c r="B8" s="98"/>
      <c r="C8" s="40"/>
    </row>
    <row r="10" spans="1:3" ht="63">
      <c r="A10" s="14" t="s">
        <v>24</v>
      </c>
      <c r="B10" s="15" t="s">
        <v>25</v>
      </c>
      <c r="C10" s="16" t="s">
        <v>30</v>
      </c>
    </row>
    <row r="11" spans="1:3" ht="16.5" thickBot="1">
      <c r="A11" s="105" t="s">
        <v>26</v>
      </c>
      <c r="B11" s="106"/>
      <c r="C11" s="107"/>
    </row>
    <row r="12" spans="1:3" ht="15.75">
      <c r="A12" s="108" t="s">
        <v>31</v>
      </c>
      <c r="B12" s="17" t="s">
        <v>82</v>
      </c>
      <c r="C12" s="18">
        <f>9.714*8*3</f>
        <v>233.13600000000002</v>
      </c>
    </row>
    <row r="13" spans="1:3" ht="15.75">
      <c r="A13" s="109"/>
      <c r="B13" s="19" t="s">
        <v>83</v>
      </c>
      <c r="C13" s="18">
        <f>11.571*8*3</f>
        <v>277.70400000000001</v>
      </c>
    </row>
    <row r="14" spans="1:3" ht="15.75">
      <c r="A14" s="109"/>
      <c r="B14" s="19" t="s">
        <v>84</v>
      </c>
      <c r="C14" s="18">
        <f>9.714*1*3</f>
        <v>29.142000000000003</v>
      </c>
    </row>
    <row r="15" spans="1:3" ht="15.75">
      <c r="A15" s="109"/>
      <c r="B15" s="19" t="s">
        <v>160</v>
      </c>
      <c r="C15" s="18">
        <f>15.4*1*3</f>
        <v>46.2</v>
      </c>
    </row>
    <row r="16" spans="1:3" ht="16.5" thickBot="1">
      <c r="A16" s="109"/>
      <c r="B16" s="20" t="s">
        <v>85</v>
      </c>
      <c r="C16" s="18">
        <f>18.607*1*3</f>
        <v>55.820999999999998</v>
      </c>
    </row>
    <row r="17" spans="1:6" ht="32.25" thickBot="1">
      <c r="A17" s="21" t="s">
        <v>32</v>
      </c>
      <c r="B17" s="22" t="s">
        <v>33</v>
      </c>
      <c r="C17" s="23">
        <f>(C12+C13+C14+C15+C16)*0.2359</f>
        <v>151.44850770000005</v>
      </c>
    </row>
    <row r="18" spans="1:6" ht="15.75">
      <c r="A18" s="111" t="s">
        <v>27</v>
      </c>
      <c r="B18" s="112"/>
      <c r="C18" s="24">
        <f>SUM(C12:C17)</f>
        <v>793.45150770000021</v>
      </c>
      <c r="F18" s="45">
        <f>C18+C21+C22</f>
        <v>1101.3380759801043</v>
      </c>
    </row>
    <row r="19" spans="1:6" ht="16.5" thickBot="1">
      <c r="A19" s="113" t="s">
        <v>28</v>
      </c>
      <c r="B19" s="114"/>
      <c r="C19" s="115"/>
      <c r="F19" s="45">
        <f>C23+C24+C25+C26+C27+C28+C29+C30+C31+C32</f>
        <v>220.41059436</v>
      </c>
    </row>
    <row r="20" spans="1:6" ht="15.75">
      <c r="A20" s="25"/>
      <c r="B20" s="26" t="s">
        <v>34</v>
      </c>
      <c r="C20" s="27">
        <v>8.2280000000000005E-5</v>
      </c>
      <c r="F20" s="45">
        <f>C33+C34</f>
        <v>178.58158164</v>
      </c>
    </row>
    <row r="21" spans="1:6" ht="16.5" thickBot="1">
      <c r="A21" s="28" t="s">
        <v>35</v>
      </c>
      <c r="B21" s="29" t="s">
        <v>36</v>
      </c>
      <c r="C21" s="30">
        <f>1009234*$C$20*3</f>
        <v>249.11932056000003</v>
      </c>
    </row>
    <row r="22" spans="1:6" ht="32.25" thickBot="1">
      <c r="A22" s="31" t="s">
        <v>32</v>
      </c>
      <c r="B22" s="32" t="s">
        <v>33</v>
      </c>
      <c r="C22" s="30">
        <f>C21*0.2359</f>
        <v>58.76724772010401</v>
      </c>
    </row>
    <row r="23" spans="1:6" ht="32.25" thickBot="1">
      <c r="A23" s="31" t="s">
        <v>37</v>
      </c>
      <c r="B23" s="32" t="s">
        <v>38</v>
      </c>
      <c r="C23" s="30">
        <f>93709*$C$20*3</f>
        <v>23.131129560000002</v>
      </c>
    </row>
    <row r="24" spans="1:6" ht="18.75" customHeight="1" thickBot="1">
      <c r="A24" s="31" t="s">
        <v>39</v>
      </c>
      <c r="B24" s="32" t="s">
        <v>40</v>
      </c>
      <c r="C24" s="30">
        <f>76039*$C$20*3</f>
        <v>18.76946676</v>
      </c>
    </row>
    <row r="25" spans="1:6" ht="17.25" customHeight="1" thickBot="1">
      <c r="A25" s="31" t="s">
        <v>41</v>
      </c>
      <c r="B25" s="32" t="s">
        <v>42</v>
      </c>
      <c r="C25" s="30">
        <f>84854*$C$20*3</f>
        <v>20.945361360000003</v>
      </c>
    </row>
    <row r="26" spans="1:6" ht="32.25" thickBot="1">
      <c r="A26" s="31" t="s">
        <v>45</v>
      </c>
      <c r="B26" s="32" t="s">
        <v>46</v>
      </c>
      <c r="C26" s="30">
        <f>170156*$C$20*3</f>
        <v>42.00130704</v>
      </c>
    </row>
    <row r="27" spans="1:6" ht="32.25" thickBot="1">
      <c r="A27" s="31" t="s">
        <v>47</v>
      </c>
      <c r="B27" s="32" t="s">
        <v>48</v>
      </c>
      <c r="C27" s="30">
        <f>377637*$C$20*3</f>
        <v>93.215917079999997</v>
      </c>
    </row>
    <row r="28" spans="1:6" ht="19.5" customHeight="1" thickBot="1">
      <c r="A28" s="31" t="s">
        <v>49</v>
      </c>
      <c r="B28" s="32" t="s">
        <v>50</v>
      </c>
      <c r="C28" s="30">
        <f>51508*$C$20*3</f>
        <v>12.71423472</v>
      </c>
    </row>
    <row r="29" spans="1:6" ht="20.25" customHeight="1" thickBot="1">
      <c r="A29" s="31" t="s">
        <v>53</v>
      </c>
      <c r="B29" s="32" t="s">
        <v>54</v>
      </c>
      <c r="C29" s="30">
        <f>1110*$C$20*3</f>
        <v>0.27399240000000002</v>
      </c>
    </row>
    <row r="30" spans="1:6" ht="32.25" thickBot="1">
      <c r="A30" s="31" t="s">
        <v>55</v>
      </c>
      <c r="B30" s="32" t="s">
        <v>56</v>
      </c>
      <c r="C30" s="30">
        <f>13237*$C$20*3</f>
        <v>3.2674210800000001</v>
      </c>
    </row>
    <row r="31" spans="1:6" ht="32.25" thickBot="1">
      <c r="A31" s="31" t="s">
        <v>57</v>
      </c>
      <c r="B31" s="32" t="s">
        <v>58</v>
      </c>
      <c r="C31" s="30">
        <f>8480*$C$20*3</f>
        <v>2.0932032000000005</v>
      </c>
    </row>
    <row r="32" spans="1:6" ht="32.25" thickBot="1">
      <c r="A32" s="31" t="s">
        <v>59</v>
      </c>
      <c r="B32" s="32" t="s">
        <v>60</v>
      </c>
      <c r="C32" s="30">
        <f>16199*$C$20*3</f>
        <v>3.9985611600000004</v>
      </c>
    </row>
    <row r="33" spans="1:3" ht="19.5" customHeight="1" thickBot="1">
      <c r="A33" s="31" t="s">
        <v>61</v>
      </c>
      <c r="B33" s="32" t="s">
        <v>62</v>
      </c>
      <c r="C33" s="30">
        <f>106687*$C$20*3</f>
        <v>26.334619080000003</v>
      </c>
    </row>
    <row r="34" spans="1:3" ht="32.25" thickBot="1">
      <c r="A34" s="31" t="s">
        <v>63</v>
      </c>
      <c r="B34" s="34" t="s">
        <v>64</v>
      </c>
      <c r="C34" s="30">
        <f>616784*$C$20*3</f>
        <v>152.24696255999999</v>
      </c>
    </row>
    <row r="35" spans="1:3" ht="15.75">
      <c r="A35" s="116" t="s">
        <v>29</v>
      </c>
      <c r="B35" s="117"/>
      <c r="C35" s="35">
        <f>SUM(C21:C34)</f>
        <v>706.878744280104</v>
      </c>
    </row>
    <row r="36" spans="1:3" ht="15.75">
      <c r="A36" s="118" t="s">
        <v>65</v>
      </c>
      <c r="B36" s="119"/>
      <c r="C36" s="36">
        <f>C35+C18</f>
        <v>1500.3302519801041</v>
      </c>
    </row>
    <row r="37" spans="1:3" ht="15.75">
      <c r="A37" s="1"/>
      <c r="B37" s="1"/>
      <c r="C37" s="37"/>
    </row>
    <row r="38" spans="1:3" ht="15.75">
      <c r="A38" s="103" t="s">
        <v>66</v>
      </c>
      <c r="B38" s="104"/>
      <c r="C38" s="38">
        <v>3</v>
      </c>
    </row>
    <row r="39" spans="1:3" ht="15.75">
      <c r="A39" s="103" t="s">
        <v>67</v>
      </c>
      <c r="B39" s="104"/>
      <c r="C39" s="39">
        <f>ROUND(C36/C38,2)</f>
        <v>500.11</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71BF6-84D8-4769-99D1-F66FC0F565F4}">
  <sheetPr>
    <tabColor theme="6" tint="0.79998168889431442"/>
  </sheetPr>
  <dimension ref="A1:F41"/>
  <sheetViews>
    <sheetView zoomScaleNormal="100" workbookViewId="0">
      <selection activeCell="I10" sqref="I10"/>
    </sheetView>
  </sheetViews>
  <sheetFormatPr defaultRowHeight="12.75"/>
  <cols>
    <col min="1" max="1" width="10.7109375" customWidth="1"/>
    <col min="2" max="2" width="98.85546875" customWidth="1"/>
    <col min="3" max="3" width="25.5703125" customWidth="1"/>
  </cols>
  <sheetData>
    <row r="1" spans="1:3" ht="69.75" customHeight="1">
      <c r="B1" s="99" t="s">
        <v>308</v>
      </c>
      <c r="C1" s="99"/>
    </row>
    <row r="3" spans="1:3" ht="15.75">
      <c r="A3" s="100" t="s">
        <v>91</v>
      </c>
      <c r="B3" s="100"/>
      <c r="C3" s="100"/>
    </row>
    <row r="4" spans="1:3" ht="15.75">
      <c r="A4" s="40"/>
      <c r="B4" s="40"/>
      <c r="C4" s="40"/>
    </row>
    <row r="5" spans="1:3" ht="15.75">
      <c r="A5" s="101" t="s">
        <v>122</v>
      </c>
      <c r="B5" s="101"/>
      <c r="C5" s="101"/>
    </row>
    <row r="6" spans="1:3" ht="57.75" customHeight="1">
      <c r="A6" s="102" t="s">
        <v>149</v>
      </c>
      <c r="B6" s="102"/>
      <c r="C6" s="102"/>
    </row>
    <row r="7" spans="1:3" ht="15.75">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72</v>
      </c>
      <c r="C12" s="18">
        <f>9.714*0.25*1</f>
        <v>2.4285000000000001</v>
      </c>
    </row>
    <row r="13" spans="1:3" ht="15.75">
      <c r="A13" s="109"/>
      <c r="B13" s="19" t="s">
        <v>73</v>
      </c>
      <c r="C13" s="18">
        <f>11.571*0.5*1</f>
        <v>5.7854999999999999</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6" ht="32.25" thickBot="1">
      <c r="A17" s="21" t="s">
        <v>32</v>
      </c>
      <c r="B17" s="22" t="s">
        <v>33</v>
      </c>
      <c r="C17" s="23">
        <f>(C12+C13+C14+C15+C16)*0.2359</f>
        <v>2.96906099</v>
      </c>
    </row>
    <row r="18" spans="1:6" ht="15.75">
      <c r="A18" s="111" t="s">
        <v>27</v>
      </c>
      <c r="B18" s="112"/>
      <c r="C18" s="24">
        <f>SUM(C12:C17)</f>
        <v>15.555160990000001</v>
      </c>
      <c r="F18" s="45">
        <f>C18+C21+C22</f>
        <v>21.592152524904002</v>
      </c>
    </row>
    <row r="19" spans="1:6" ht="16.5" thickBot="1">
      <c r="A19" s="113" t="s">
        <v>28</v>
      </c>
      <c r="B19" s="114"/>
      <c r="C19" s="115"/>
      <c r="F19" s="45">
        <f>C23+C24+C25+C27+C26+C28+C29+C30+C31+C32+C33+C34</f>
        <v>5.0729588799999998</v>
      </c>
    </row>
    <row r="20" spans="1:6" ht="15.75">
      <c r="A20" s="25"/>
      <c r="B20" s="26" t="s">
        <v>34</v>
      </c>
      <c r="C20" s="27">
        <v>4.8400000000000002E-6</v>
      </c>
      <c r="F20" s="45">
        <f>C35+C36</f>
        <v>3.5015996400000002</v>
      </c>
    </row>
    <row r="21" spans="1:6" ht="16.5" thickBot="1">
      <c r="A21" s="28" t="s">
        <v>35</v>
      </c>
      <c r="B21" s="29" t="s">
        <v>36</v>
      </c>
      <c r="C21" s="30">
        <f>1009234*$C$20*1</f>
        <v>4.8846925600000004</v>
      </c>
    </row>
    <row r="22" spans="1:6" ht="32.25" thickBot="1">
      <c r="A22" s="31" t="s">
        <v>32</v>
      </c>
      <c r="B22" s="32" t="s">
        <v>33</v>
      </c>
      <c r="C22" s="30">
        <f>C21*0.2359</f>
        <v>1.152298974904</v>
      </c>
    </row>
    <row r="23" spans="1:6" ht="32.25" thickBot="1">
      <c r="A23" s="31" t="s">
        <v>37</v>
      </c>
      <c r="B23" s="32" t="s">
        <v>38</v>
      </c>
      <c r="C23" s="30">
        <f>93709*$C$20*1</f>
        <v>0.45355156000000002</v>
      </c>
    </row>
    <row r="24" spans="1:6" ht="18.75" customHeight="1" thickBot="1">
      <c r="A24" s="31" t="s">
        <v>39</v>
      </c>
      <c r="B24" s="32" t="s">
        <v>40</v>
      </c>
      <c r="C24" s="30">
        <f>76039*$C$20*1</f>
        <v>0.36802876000000001</v>
      </c>
    </row>
    <row r="25" spans="1:6" ht="18.75" customHeight="1" thickBot="1">
      <c r="A25" s="31" t="s">
        <v>41</v>
      </c>
      <c r="B25" s="32" t="s">
        <v>42</v>
      </c>
      <c r="C25" s="30">
        <f>84854*$C$20*1</f>
        <v>0.41069336000000001</v>
      </c>
    </row>
    <row r="26" spans="1:6" ht="16.5" thickBot="1">
      <c r="A26" s="31" t="s">
        <v>43</v>
      </c>
      <c r="B26" s="32" t="s">
        <v>44</v>
      </c>
      <c r="C26" s="30">
        <f>127766*$C$20*1</f>
        <v>0.61838744000000001</v>
      </c>
    </row>
    <row r="27" spans="1:6" ht="32.25" thickBot="1">
      <c r="A27" s="31" t="s">
        <v>45</v>
      </c>
      <c r="B27" s="32" t="s">
        <v>46</v>
      </c>
      <c r="C27" s="30">
        <f>170156*$C$20*1</f>
        <v>0.82355504000000002</v>
      </c>
    </row>
    <row r="28" spans="1:6" ht="32.25" thickBot="1">
      <c r="A28" s="31" t="s">
        <v>47</v>
      </c>
      <c r="B28" s="32" t="s">
        <v>48</v>
      </c>
      <c r="C28" s="30">
        <f>377637*$C$20*1</f>
        <v>1.82776308</v>
      </c>
    </row>
    <row r="29" spans="1:6" ht="20.25" customHeight="1" thickBot="1">
      <c r="A29" s="31" t="s">
        <v>49</v>
      </c>
      <c r="B29" s="32" t="s">
        <v>50</v>
      </c>
      <c r="C29" s="30">
        <f>51508*$C$20*1</f>
        <v>0.24929872</v>
      </c>
    </row>
    <row r="30" spans="1:6" ht="18.75" customHeight="1" thickBot="1">
      <c r="A30" s="31" t="s">
        <v>51</v>
      </c>
      <c r="B30" s="32" t="s">
        <v>52</v>
      </c>
      <c r="C30" s="30">
        <f>27437*$C$20*1</f>
        <v>0.13279508000000001</v>
      </c>
    </row>
    <row r="31" spans="1:6" ht="16.5" customHeight="1" thickBot="1">
      <c r="A31" s="31" t="s">
        <v>53</v>
      </c>
      <c r="B31" s="32" t="s">
        <v>54</v>
      </c>
      <c r="C31" s="30">
        <f>1110*$C$20*1</f>
        <v>5.3724000000000003E-3</v>
      </c>
    </row>
    <row r="32" spans="1:6" ht="32.25" thickBot="1">
      <c r="A32" s="31" t="s">
        <v>55</v>
      </c>
      <c r="B32" s="32" t="s">
        <v>56</v>
      </c>
      <c r="C32" s="30">
        <f>13237*$C$20*1</f>
        <v>6.4067079999999998E-2</v>
      </c>
    </row>
    <row r="33" spans="1:3" ht="32.25" thickBot="1">
      <c r="A33" s="31" t="s">
        <v>57</v>
      </c>
      <c r="B33" s="32" t="s">
        <v>58</v>
      </c>
      <c r="C33" s="30">
        <f>8480*$C$20*1</f>
        <v>4.1043200000000002E-2</v>
      </c>
    </row>
    <row r="34" spans="1:3" ht="32.25" thickBot="1">
      <c r="A34" s="31" t="s">
        <v>59</v>
      </c>
      <c r="B34" s="32" t="s">
        <v>60</v>
      </c>
      <c r="C34" s="30">
        <f>16199*$C$20*1</f>
        <v>7.840316E-2</v>
      </c>
    </row>
    <row r="35" spans="1:3" ht="16.5" customHeight="1" thickBot="1">
      <c r="A35" s="31" t="s">
        <v>61</v>
      </c>
      <c r="B35" s="32" t="s">
        <v>62</v>
      </c>
      <c r="C35" s="30">
        <f>106687*$C$20*1</f>
        <v>0.51636508000000003</v>
      </c>
    </row>
    <row r="36" spans="1:3" ht="32.25" thickBot="1">
      <c r="A36" s="31" t="s">
        <v>63</v>
      </c>
      <c r="B36" s="34" t="s">
        <v>64</v>
      </c>
      <c r="C36" s="30">
        <f>616784*$C$20*1</f>
        <v>2.9852345600000003</v>
      </c>
    </row>
    <row r="37" spans="1:3" ht="15.75">
      <c r="A37" s="116" t="s">
        <v>29</v>
      </c>
      <c r="B37" s="117"/>
      <c r="C37" s="35">
        <f>SUM(C21:C36)</f>
        <v>14.611550054904002</v>
      </c>
    </row>
    <row r="38" spans="1:3" ht="15.75">
      <c r="A38" s="118" t="s">
        <v>65</v>
      </c>
      <c r="B38" s="119"/>
      <c r="C38" s="36">
        <f>C37+C18</f>
        <v>30.166711044904005</v>
      </c>
    </row>
    <row r="39" spans="1:3" ht="15.75">
      <c r="A39" s="1"/>
      <c r="B39" s="1"/>
      <c r="C39" s="37"/>
    </row>
    <row r="40" spans="1:3" ht="15.75">
      <c r="A40" s="103" t="s">
        <v>66</v>
      </c>
      <c r="B40" s="104"/>
      <c r="C40" s="38">
        <v>1</v>
      </c>
    </row>
    <row r="41" spans="1:3" ht="15.75">
      <c r="A41" s="103" t="s">
        <v>67</v>
      </c>
      <c r="B41" s="104"/>
      <c r="C41" s="39">
        <f>ROUND(C38/C40,2)</f>
        <v>30.17</v>
      </c>
    </row>
  </sheetData>
  <mergeCells count="14">
    <mergeCell ref="B1:C1"/>
    <mergeCell ref="A3:C3"/>
    <mergeCell ref="A5:C5"/>
    <mergeCell ref="A6:C6"/>
    <mergeCell ref="A7:C7"/>
    <mergeCell ref="A8:B8"/>
    <mergeCell ref="A40:B40"/>
    <mergeCell ref="A41:B41"/>
    <mergeCell ref="A11:C11"/>
    <mergeCell ref="A12:A16"/>
    <mergeCell ref="A18:B18"/>
    <mergeCell ref="A19:C19"/>
    <mergeCell ref="A37:B37"/>
    <mergeCell ref="A38:B38"/>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FC964-4B94-48F1-8002-F0FAACE34D43}">
  <sheetPr>
    <tabColor theme="6" tint="0.79998168889431442"/>
  </sheetPr>
  <dimension ref="A1:F39"/>
  <sheetViews>
    <sheetView zoomScaleNormal="100" workbookViewId="0">
      <selection activeCell="G9" sqref="G9"/>
    </sheetView>
  </sheetViews>
  <sheetFormatPr defaultRowHeight="12.75"/>
  <cols>
    <col min="1" max="1" width="10.7109375" customWidth="1"/>
    <col min="2" max="2" width="98.85546875" customWidth="1"/>
    <col min="3" max="3" width="25.5703125" customWidth="1"/>
  </cols>
  <sheetData>
    <row r="1" spans="1:3" ht="69" customHeight="1">
      <c r="B1" s="99" t="s">
        <v>308</v>
      </c>
      <c r="C1" s="99"/>
    </row>
    <row r="3" spans="1:3" ht="15.75">
      <c r="A3" s="100" t="s">
        <v>91</v>
      </c>
      <c r="B3" s="100"/>
      <c r="C3" s="100"/>
    </row>
    <row r="4" spans="1:3" ht="15.75">
      <c r="A4" s="40"/>
      <c r="B4" s="40"/>
      <c r="C4" s="40"/>
    </row>
    <row r="5" spans="1:3" ht="15.75">
      <c r="A5" s="101" t="s">
        <v>122</v>
      </c>
      <c r="B5" s="101"/>
      <c r="C5" s="101"/>
    </row>
    <row r="6" spans="1:3" ht="51.75" customHeight="1">
      <c r="A6" s="102" t="s">
        <v>150</v>
      </c>
      <c r="B6" s="102"/>
      <c r="C6" s="102"/>
    </row>
    <row r="7" spans="1:3" ht="15.75">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82</v>
      </c>
      <c r="C12" s="18">
        <f>9.714*8*1</f>
        <v>77.712000000000003</v>
      </c>
    </row>
    <row r="13" spans="1:3" ht="15.75">
      <c r="A13" s="109"/>
      <c r="B13" s="19" t="s">
        <v>83</v>
      </c>
      <c r="C13" s="18">
        <f>11.571*8*1</f>
        <v>92.567999999999998</v>
      </c>
    </row>
    <row r="14" spans="1:3" ht="15.75">
      <c r="A14" s="109"/>
      <c r="B14" s="19" t="s">
        <v>84</v>
      </c>
      <c r="C14" s="18">
        <f>9.714*1*1</f>
        <v>9.7140000000000004</v>
      </c>
    </row>
    <row r="15" spans="1:3" ht="15.75">
      <c r="A15" s="109"/>
      <c r="B15" s="19" t="s">
        <v>160</v>
      </c>
      <c r="C15" s="18">
        <f>15.4*1*1</f>
        <v>15.4</v>
      </c>
    </row>
    <row r="16" spans="1:3" ht="16.5" thickBot="1">
      <c r="A16" s="109"/>
      <c r="B16" s="20" t="s">
        <v>85</v>
      </c>
      <c r="C16" s="18">
        <f>18.607*1*1</f>
        <v>18.606999999999999</v>
      </c>
    </row>
    <row r="17" spans="1:6" ht="32.25" thickBot="1">
      <c r="A17" s="21" t="s">
        <v>32</v>
      </c>
      <c r="B17" s="22" t="s">
        <v>33</v>
      </c>
      <c r="C17" s="23">
        <f>(C12+C13+C14+C15+C16)*0.2359</f>
        <v>50.482835899999998</v>
      </c>
    </row>
    <row r="18" spans="1:6" ht="15.75">
      <c r="A18" s="111" t="s">
        <v>27</v>
      </c>
      <c r="B18" s="112"/>
      <c r="C18" s="24">
        <f>SUM(C12:C17)</f>
        <v>264.48383590000003</v>
      </c>
      <c r="F18" s="45">
        <f>C18+C21+C22</f>
        <v>367.11269199336806</v>
      </c>
    </row>
    <row r="19" spans="1:6" ht="16.5" thickBot="1">
      <c r="A19" s="113" t="s">
        <v>28</v>
      </c>
      <c r="B19" s="114"/>
      <c r="C19" s="115"/>
      <c r="F19" s="45">
        <f>C23+C24+C25+C26+C27+C28+C29+C30+C31+C32</f>
        <v>73.470198119999992</v>
      </c>
    </row>
    <row r="20" spans="1:6" ht="15.75">
      <c r="A20" s="25"/>
      <c r="B20" s="26" t="s">
        <v>34</v>
      </c>
      <c r="C20" s="27">
        <v>8.2280000000000005E-5</v>
      </c>
      <c r="F20" s="45">
        <f>C33+C34</f>
        <v>59.527193879999999</v>
      </c>
    </row>
    <row r="21" spans="1:6" ht="16.5" thickBot="1">
      <c r="A21" s="28" t="s">
        <v>35</v>
      </c>
      <c r="B21" s="29" t="s">
        <v>36</v>
      </c>
      <c r="C21" s="30">
        <f>1009234*$C$20*1</f>
        <v>83.039773520000011</v>
      </c>
    </row>
    <row r="22" spans="1:6" ht="32.25" thickBot="1">
      <c r="A22" s="31" t="s">
        <v>32</v>
      </c>
      <c r="B22" s="32" t="s">
        <v>33</v>
      </c>
      <c r="C22" s="30">
        <f>C21*0.2359</f>
        <v>19.589082573368003</v>
      </c>
    </row>
    <row r="23" spans="1:6" ht="32.25" thickBot="1">
      <c r="A23" s="31" t="s">
        <v>37</v>
      </c>
      <c r="B23" s="32" t="s">
        <v>38</v>
      </c>
      <c r="C23" s="30">
        <f>93709*$C$20*1</f>
        <v>7.7103765200000005</v>
      </c>
    </row>
    <row r="24" spans="1:6" ht="20.25" customHeight="1" thickBot="1">
      <c r="A24" s="31" t="s">
        <v>39</v>
      </c>
      <c r="B24" s="32" t="s">
        <v>40</v>
      </c>
      <c r="C24" s="30">
        <f>76039*$C$20*1</f>
        <v>6.2564889200000007</v>
      </c>
    </row>
    <row r="25" spans="1:6" ht="16.5" customHeight="1" thickBot="1">
      <c r="A25" s="31" t="s">
        <v>41</v>
      </c>
      <c r="B25" s="32" t="s">
        <v>42</v>
      </c>
      <c r="C25" s="30">
        <f>84854*$C$20*1</f>
        <v>6.9817871200000008</v>
      </c>
    </row>
    <row r="26" spans="1:6" ht="32.25" thickBot="1">
      <c r="A26" s="31" t="s">
        <v>45</v>
      </c>
      <c r="B26" s="32" t="s">
        <v>46</v>
      </c>
      <c r="C26" s="30">
        <f>170156*$C$20*1</f>
        <v>14.000435680000001</v>
      </c>
    </row>
    <row r="27" spans="1:6" ht="32.25" thickBot="1">
      <c r="A27" s="31" t="s">
        <v>47</v>
      </c>
      <c r="B27" s="32" t="s">
        <v>48</v>
      </c>
      <c r="C27" s="30">
        <f>377637*$C$20*1</f>
        <v>31.07197236</v>
      </c>
    </row>
    <row r="28" spans="1:6" ht="17.25" customHeight="1" thickBot="1">
      <c r="A28" s="31" t="s">
        <v>49</v>
      </c>
      <c r="B28" s="32" t="s">
        <v>50</v>
      </c>
      <c r="C28" s="30">
        <f>51508*$C$20*1</f>
        <v>4.2380782400000001</v>
      </c>
    </row>
    <row r="29" spans="1:6" ht="18" customHeight="1" thickBot="1">
      <c r="A29" s="31" t="s">
        <v>53</v>
      </c>
      <c r="B29" s="32" t="s">
        <v>54</v>
      </c>
      <c r="C29" s="30">
        <f>1110*$C$20*1</f>
        <v>9.1330800000000004E-2</v>
      </c>
    </row>
    <row r="30" spans="1:6" ht="32.25" thickBot="1">
      <c r="A30" s="31" t="s">
        <v>55</v>
      </c>
      <c r="B30" s="32" t="s">
        <v>56</v>
      </c>
      <c r="C30" s="30">
        <f>13237*$C$20*1</f>
        <v>1.08914036</v>
      </c>
    </row>
    <row r="31" spans="1:6" ht="32.25" thickBot="1">
      <c r="A31" s="31" t="s">
        <v>57</v>
      </c>
      <c r="B31" s="32" t="s">
        <v>58</v>
      </c>
      <c r="C31" s="30">
        <f>8480*$C$20*1</f>
        <v>0.69773440000000009</v>
      </c>
    </row>
    <row r="32" spans="1:6" ht="32.25" thickBot="1">
      <c r="A32" s="31" t="s">
        <v>59</v>
      </c>
      <c r="B32" s="32" t="s">
        <v>60</v>
      </c>
      <c r="C32" s="30">
        <f>16199*$C$20*1</f>
        <v>1.3328537200000001</v>
      </c>
    </row>
    <row r="33" spans="1:3" ht="18" customHeight="1" thickBot="1">
      <c r="A33" s="31" t="s">
        <v>61</v>
      </c>
      <c r="B33" s="32" t="s">
        <v>62</v>
      </c>
      <c r="C33" s="30">
        <f>106687*$C$20*1</f>
        <v>8.7782063600000004</v>
      </c>
    </row>
    <row r="34" spans="1:3" ht="32.25" thickBot="1">
      <c r="A34" s="31" t="s">
        <v>63</v>
      </c>
      <c r="B34" s="34" t="s">
        <v>64</v>
      </c>
      <c r="C34" s="30">
        <f>616784*$C$20*1</f>
        <v>50.74898752</v>
      </c>
    </row>
    <row r="35" spans="1:3" ht="15.75">
      <c r="A35" s="116" t="s">
        <v>29</v>
      </c>
      <c r="B35" s="117"/>
      <c r="C35" s="35">
        <f>SUM(C21:C34)</f>
        <v>235.62624809336802</v>
      </c>
    </row>
    <row r="36" spans="1:3" ht="15.75">
      <c r="A36" s="118" t="s">
        <v>65</v>
      </c>
      <c r="B36" s="119"/>
      <c r="C36" s="36">
        <f>C35+C18</f>
        <v>500.11008399336805</v>
      </c>
    </row>
    <row r="37" spans="1:3" ht="15.75">
      <c r="A37" s="1"/>
      <c r="B37" s="1"/>
      <c r="C37" s="37"/>
    </row>
    <row r="38" spans="1:3" ht="15.75">
      <c r="A38" s="103" t="s">
        <v>66</v>
      </c>
      <c r="B38" s="104"/>
      <c r="C38" s="38">
        <v>1</v>
      </c>
    </row>
    <row r="39" spans="1:3" ht="15.75">
      <c r="A39" s="103" t="s">
        <v>67</v>
      </c>
      <c r="B39" s="104"/>
      <c r="C39" s="39">
        <f>ROUND(C36/C38,2)</f>
        <v>500.11</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72AFD-8901-41CA-AFF1-667569D9C961}">
  <sheetPr>
    <tabColor theme="6" tint="0.79998168889431442"/>
  </sheetPr>
  <dimension ref="A1:F39"/>
  <sheetViews>
    <sheetView topLeftCell="A27" zoomScaleNormal="100" workbookViewId="0">
      <selection activeCell="B50" sqref="B50"/>
    </sheetView>
  </sheetViews>
  <sheetFormatPr defaultRowHeight="12.75"/>
  <cols>
    <col min="1" max="1" width="10.7109375" customWidth="1"/>
    <col min="2" max="2" width="98.85546875" customWidth="1"/>
    <col min="3" max="3" width="25.5703125" customWidth="1"/>
  </cols>
  <sheetData>
    <row r="1" spans="1:3" ht="68.25" customHeight="1">
      <c r="B1" s="99" t="s">
        <v>308</v>
      </c>
      <c r="C1" s="99"/>
    </row>
    <row r="3" spans="1:3" ht="15.75">
      <c r="A3" s="100" t="s">
        <v>91</v>
      </c>
      <c r="B3" s="100"/>
      <c r="C3" s="100"/>
    </row>
    <row r="4" spans="1:3" ht="15.75">
      <c r="A4" s="40"/>
      <c r="B4" s="40"/>
      <c r="C4" s="40"/>
    </row>
    <row r="5" spans="1:3" ht="15.75">
      <c r="A5" s="101" t="s">
        <v>122</v>
      </c>
      <c r="B5" s="101"/>
      <c r="C5" s="101"/>
    </row>
    <row r="6" spans="1:3" ht="44.25" customHeight="1">
      <c r="A6" s="102" t="s">
        <v>151</v>
      </c>
      <c r="B6" s="102"/>
      <c r="C6" s="102"/>
    </row>
    <row r="7" spans="1:3" ht="15.75">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75</v>
      </c>
      <c r="C12" s="18">
        <f>9.714*0.75*1</f>
        <v>7.2855000000000008</v>
      </c>
    </row>
    <row r="13" spans="1:3" ht="15.75">
      <c r="A13" s="109"/>
      <c r="B13" s="19" t="s">
        <v>73</v>
      </c>
      <c r="C13" s="18">
        <f>11.571*0.5*1</f>
        <v>5.7854999999999999</v>
      </c>
    </row>
    <row r="14" spans="1:3" ht="15.75">
      <c r="A14" s="109"/>
      <c r="B14" s="19" t="s">
        <v>69</v>
      </c>
      <c r="C14" s="18">
        <f>9.714*0.1*1</f>
        <v>0.97140000000000004</v>
      </c>
    </row>
    <row r="15" spans="1:3" ht="15.75">
      <c r="A15" s="109"/>
      <c r="B15" s="19" t="s">
        <v>159</v>
      </c>
      <c r="C15" s="18">
        <f>15.4*0.1*1</f>
        <v>1.54</v>
      </c>
    </row>
    <row r="16" spans="1:3" ht="16.5" thickBot="1">
      <c r="A16" s="109"/>
      <c r="B16" s="20" t="s">
        <v>71</v>
      </c>
      <c r="C16" s="18">
        <f>18.607*0.1*1</f>
        <v>1.8607</v>
      </c>
    </row>
    <row r="17" spans="1:6" ht="32.25" thickBot="1">
      <c r="A17" s="21" t="s">
        <v>32</v>
      </c>
      <c r="B17" s="22" t="s">
        <v>33</v>
      </c>
      <c r="C17" s="23">
        <f>(C12+C13+C14+C15+C16)*0.2359</f>
        <v>4.11482729</v>
      </c>
    </row>
    <row r="18" spans="1:6" ht="15.75">
      <c r="A18" s="111" t="s">
        <v>27</v>
      </c>
      <c r="B18" s="112"/>
      <c r="C18" s="24">
        <f>SUM(C12:C17)</f>
        <v>21.557927290000002</v>
      </c>
      <c r="F18" s="45">
        <f>C18+C21+C22</f>
        <v>29.927392827026004</v>
      </c>
    </row>
    <row r="19" spans="1:6" ht="16.5" thickBot="1">
      <c r="A19" s="113" t="s">
        <v>28</v>
      </c>
      <c r="B19" s="114"/>
      <c r="C19" s="115"/>
      <c r="F19" s="45">
        <f>C23+C24+C25+C26+C27+C28+C29+C30+C31+C32</f>
        <v>5.0339091000000016</v>
      </c>
    </row>
    <row r="20" spans="1:6" ht="15.75">
      <c r="A20" s="25"/>
      <c r="B20" s="26" t="s">
        <v>34</v>
      </c>
      <c r="C20" s="27">
        <v>6.7100000000000001E-6</v>
      </c>
      <c r="F20" s="45">
        <f>C33+C34</f>
        <v>4.8544904100000004</v>
      </c>
    </row>
    <row r="21" spans="1:6" ht="16.5" thickBot="1">
      <c r="A21" s="28" t="s">
        <v>35</v>
      </c>
      <c r="B21" s="29" t="s">
        <v>36</v>
      </c>
      <c r="C21" s="30">
        <f>1009234*$C$20*1</f>
        <v>6.77196014</v>
      </c>
    </row>
    <row r="22" spans="1:6" ht="32.25" thickBot="1">
      <c r="A22" s="31" t="s">
        <v>32</v>
      </c>
      <c r="B22" s="32" t="s">
        <v>33</v>
      </c>
      <c r="C22" s="30">
        <f>C21*0.2359</f>
        <v>1.597505397026</v>
      </c>
      <c r="D22" s="45"/>
    </row>
    <row r="23" spans="1:6" ht="32.25" thickBot="1">
      <c r="A23" s="31" t="s">
        <v>37</v>
      </c>
      <c r="B23" s="32" t="s">
        <v>38</v>
      </c>
      <c r="C23" s="30">
        <f>93709*$C$20*1</f>
        <v>0.62878739000000006</v>
      </c>
    </row>
    <row r="24" spans="1:6" ht="20.25" customHeight="1" thickBot="1">
      <c r="A24" s="31" t="s">
        <v>39</v>
      </c>
      <c r="B24" s="32" t="s">
        <v>40</v>
      </c>
      <c r="C24" s="30">
        <f>76039*$C$20*1</f>
        <v>0.51022169000000006</v>
      </c>
    </row>
    <row r="25" spans="1:6" ht="18.75" customHeight="1" thickBot="1">
      <c r="A25" s="31" t="s">
        <v>41</v>
      </c>
      <c r="B25" s="32" t="s">
        <v>42</v>
      </c>
      <c r="C25" s="30">
        <f>84854*$C$20*1</f>
        <v>0.56937033999999997</v>
      </c>
    </row>
    <row r="26" spans="1:6" ht="35.25" customHeight="1" thickBot="1">
      <c r="A26" s="31" t="s">
        <v>47</v>
      </c>
      <c r="B26" s="32" t="s">
        <v>48</v>
      </c>
      <c r="C26" s="30">
        <f>377637*$C$20*1</f>
        <v>2.5339442700000001</v>
      </c>
    </row>
    <row r="27" spans="1:6" ht="21" customHeight="1" thickBot="1">
      <c r="A27" s="31" t="s">
        <v>49</v>
      </c>
      <c r="B27" s="32" t="s">
        <v>50</v>
      </c>
      <c r="C27" s="30">
        <f>51508*$C$20*1</f>
        <v>0.34561868000000001</v>
      </c>
    </row>
    <row r="28" spans="1:6" ht="19.5" customHeight="1" thickBot="1">
      <c r="A28" s="31" t="s">
        <v>51</v>
      </c>
      <c r="B28" s="32" t="s">
        <v>52</v>
      </c>
      <c r="C28" s="30">
        <f>27437*$C$20*1</f>
        <v>0.18410227000000001</v>
      </c>
    </row>
    <row r="29" spans="1:6" ht="18.75" customHeight="1" thickBot="1">
      <c r="A29" s="31" t="s">
        <v>53</v>
      </c>
      <c r="B29" s="32" t="s">
        <v>54</v>
      </c>
      <c r="C29" s="30">
        <f>1110*$C$20*1</f>
        <v>7.4481E-3</v>
      </c>
    </row>
    <row r="30" spans="1:6" ht="32.25" thickBot="1">
      <c r="A30" s="31" t="s">
        <v>55</v>
      </c>
      <c r="B30" s="32" t="s">
        <v>56</v>
      </c>
      <c r="C30" s="30">
        <f>13237*$C$20*1</f>
        <v>8.8820270000000007E-2</v>
      </c>
    </row>
    <row r="31" spans="1:6" ht="32.25" thickBot="1">
      <c r="A31" s="31" t="s">
        <v>57</v>
      </c>
      <c r="B31" s="32" t="s">
        <v>58</v>
      </c>
      <c r="C31" s="30">
        <f>8480*$C$20*1</f>
        <v>5.6900800000000001E-2</v>
      </c>
    </row>
    <row r="32" spans="1:6" ht="32.25" thickBot="1">
      <c r="A32" s="31" t="s">
        <v>59</v>
      </c>
      <c r="B32" s="32" t="s">
        <v>60</v>
      </c>
      <c r="C32" s="30">
        <f>16199*$C$20*1</f>
        <v>0.10869529</v>
      </c>
    </row>
    <row r="33" spans="1:3" ht="20.25" customHeight="1" thickBot="1">
      <c r="A33" s="31" t="s">
        <v>61</v>
      </c>
      <c r="B33" s="32" t="s">
        <v>62</v>
      </c>
      <c r="C33" s="30">
        <f>106687*$C$20*1</f>
        <v>0.71586976999999996</v>
      </c>
    </row>
    <row r="34" spans="1:3" ht="32.25" thickBot="1">
      <c r="A34" s="31" t="s">
        <v>63</v>
      </c>
      <c r="B34" s="34" t="s">
        <v>64</v>
      </c>
      <c r="C34" s="30">
        <f>616784*$C$20*1</f>
        <v>4.1386206400000001</v>
      </c>
    </row>
    <row r="35" spans="1:3" ht="15.75">
      <c r="A35" s="116" t="s">
        <v>29</v>
      </c>
      <c r="B35" s="117"/>
      <c r="C35" s="35">
        <f>SUM(C21:C34)</f>
        <v>18.257865047025998</v>
      </c>
    </row>
    <row r="36" spans="1:3" ht="16.5" thickBot="1">
      <c r="A36" s="118" t="s">
        <v>65</v>
      </c>
      <c r="B36" s="144"/>
      <c r="C36" s="93">
        <f>C35+C18</f>
        <v>39.815792337025997</v>
      </c>
    </row>
    <row r="37" spans="1:3" ht="16.5" thickBot="1">
      <c r="A37" s="95" t="s">
        <v>324</v>
      </c>
      <c r="B37" s="96" t="s">
        <v>325</v>
      </c>
      <c r="C37" s="97">
        <v>8.36</v>
      </c>
    </row>
    <row r="38" spans="1:3" ht="15.75">
      <c r="A38" s="103" t="s">
        <v>66</v>
      </c>
      <c r="B38" s="104"/>
      <c r="C38" s="94">
        <v>1</v>
      </c>
    </row>
    <row r="39" spans="1:3" ht="15.75">
      <c r="A39" s="103" t="s">
        <v>67</v>
      </c>
      <c r="B39" s="104"/>
      <c r="C39" s="39">
        <f>ROUND((C36+C37)/C38,2)</f>
        <v>48.18</v>
      </c>
    </row>
  </sheetData>
  <mergeCells count="14">
    <mergeCell ref="B1:C1"/>
    <mergeCell ref="A3:C3"/>
    <mergeCell ref="A5:C5"/>
    <mergeCell ref="A6:C6"/>
    <mergeCell ref="A7:C7"/>
    <mergeCell ref="A8:B8"/>
    <mergeCell ref="A38:B38"/>
    <mergeCell ref="A39:B39"/>
    <mergeCell ref="A11:C11"/>
    <mergeCell ref="A12:A16"/>
    <mergeCell ref="A18:B18"/>
    <mergeCell ref="A19:C19"/>
    <mergeCell ref="A35:B35"/>
    <mergeCell ref="A36:B36"/>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63846-2086-4FD4-B419-C3D160E427D2}">
  <sheetPr>
    <tabColor theme="6" tint="0.79998168889431442"/>
  </sheetPr>
  <dimension ref="A1:F41"/>
  <sheetViews>
    <sheetView zoomScaleNormal="100" workbookViewId="0">
      <selection activeCell="M6" sqref="M6"/>
    </sheetView>
  </sheetViews>
  <sheetFormatPr defaultRowHeight="12.75"/>
  <cols>
    <col min="1" max="1" width="10.7109375" customWidth="1"/>
    <col min="2" max="2" width="98.85546875" customWidth="1"/>
    <col min="3" max="3" width="25.5703125" customWidth="1"/>
  </cols>
  <sheetData>
    <row r="1" spans="1:3" ht="79.5" customHeight="1">
      <c r="B1" s="99" t="s">
        <v>308</v>
      </c>
      <c r="C1" s="99"/>
    </row>
    <row r="3" spans="1:3" ht="15.75">
      <c r="A3" s="100" t="s">
        <v>91</v>
      </c>
      <c r="B3" s="100"/>
      <c r="C3" s="100"/>
    </row>
    <row r="4" spans="1:3" ht="15.75">
      <c r="A4" s="40"/>
      <c r="B4" s="40"/>
      <c r="C4" s="40"/>
    </row>
    <row r="5" spans="1:3" ht="15.75">
      <c r="A5" s="101" t="s">
        <v>122</v>
      </c>
      <c r="B5" s="101"/>
      <c r="C5" s="101"/>
    </row>
    <row r="6" spans="1:3" ht="71.25" customHeight="1">
      <c r="A6" s="102" t="s">
        <v>153</v>
      </c>
      <c r="B6" s="102"/>
      <c r="C6" s="102"/>
    </row>
    <row r="7" spans="1:3" ht="15.75">
      <c r="A7" s="101" t="s">
        <v>124</v>
      </c>
      <c r="B7" s="101"/>
      <c r="C7" s="101"/>
    </row>
    <row r="8" spans="1:3" ht="15.75">
      <c r="A8" s="98" t="s">
        <v>152</v>
      </c>
      <c r="B8" s="98"/>
      <c r="C8" s="40"/>
    </row>
    <row r="10" spans="1:3" ht="63">
      <c r="A10" s="14" t="s">
        <v>24</v>
      </c>
      <c r="B10" s="15" t="s">
        <v>25</v>
      </c>
      <c r="C10" s="16" t="s">
        <v>30</v>
      </c>
    </row>
    <row r="11" spans="1:3" ht="16.5" thickBot="1">
      <c r="A11" s="105" t="s">
        <v>26</v>
      </c>
      <c r="B11" s="106"/>
      <c r="C11" s="107"/>
    </row>
    <row r="12" spans="1:3" ht="15.75">
      <c r="A12" s="108" t="s">
        <v>31</v>
      </c>
      <c r="B12" s="17" t="s">
        <v>72</v>
      </c>
      <c r="C12" s="18">
        <f>9.714*0.25*27</f>
        <v>65.569500000000005</v>
      </c>
    </row>
    <row r="13" spans="1:3" ht="15.75">
      <c r="A13" s="109"/>
      <c r="B13" s="19" t="s">
        <v>73</v>
      </c>
      <c r="C13" s="18">
        <f>11.571*0.5*27</f>
        <v>156.20849999999999</v>
      </c>
    </row>
    <row r="14" spans="1:3" ht="15.75">
      <c r="A14" s="109"/>
      <c r="B14" s="19" t="s">
        <v>69</v>
      </c>
      <c r="C14" s="18">
        <f>9.714*0.1*27</f>
        <v>26.227800000000002</v>
      </c>
    </row>
    <row r="15" spans="1:3" ht="15.75">
      <c r="A15" s="109"/>
      <c r="B15" s="19" t="s">
        <v>159</v>
      </c>
      <c r="C15" s="18">
        <f>15.4*0.1*27</f>
        <v>41.58</v>
      </c>
    </row>
    <row r="16" spans="1:3" ht="16.5" thickBot="1">
      <c r="A16" s="109"/>
      <c r="B16" s="20" t="s">
        <v>71</v>
      </c>
      <c r="C16" s="18">
        <f>18.607*0.1*27</f>
        <v>50.238900000000001</v>
      </c>
    </row>
    <row r="17" spans="1:6" ht="32.25" thickBot="1">
      <c r="A17" s="21" t="s">
        <v>32</v>
      </c>
      <c r="B17" s="22" t="s">
        <v>33</v>
      </c>
      <c r="C17" s="23">
        <f>(C12+C13+C14+C15+C16)*0.2359</f>
        <v>80.164646730000001</v>
      </c>
    </row>
    <row r="18" spans="1:6" ht="15.75">
      <c r="A18" s="111" t="s">
        <v>27</v>
      </c>
      <c r="B18" s="112"/>
      <c r="C18" s="24">
        <f>SUM(C12:C17)</f>
        <v>419.98934673000002</v>
      </c>
      <c r="F18" s="45">
        <f>C18+C21+C22</f>
        <v>582.98811817240812</v>
      </c>
    </row>
    <row r="19" spans="1:6" ht="16.5" thickBot="1">
      <c r="A19" s="113" t="s">
        <v>28</v>
      </c>
      <c r="B19" s="114"/>
      <c r="C19" s="115"/>
      <c r="F19" s="45">
        <f>C23+C24+C25+C26+C27+C28+C29+C30+C31+C32+C33+C34</f>
        <v>136.96988976</v>
      </c>
    </row>
    <row r="20" spans="1:6" ht="15.75">
      <c r="A20" s="25"/>
      <c r="B20" s="26" t="s">
        <v>34</v>
      </c>
      <c r="C20" s="27">
        <v>4.8400000000000002E-6</v>
      </c>
      <c r="F20" s="45">
        <f>C35+C36</f>
        <v>94.543190280000005</v>
      </c>
    </row>
    <row r="21" spans="1:6" ht="16.5" thickBot="1">
      <c r="A21" s="28" t="s">
        <v>35</v>
      </c>
      <c r="B21" s="29" t="s">
        <v>36</v>
      </c>
      <c r="C21" s="30">
        <f>1009234*$C$20*27</f>
        <v>131.88669912</v>
      </c>
    </row>
    <row r="22" spans="1:6" ht="32.25" thickBot="1">
      <c r="A22" s="31" t="s">
        <v>32</v>
      </c>
      <c r="B22" s="32" t="s">
        <v>33</v>
      </c>
      <c r="C22" s="30">
        <f>C21*0.2359</f>
        <v>31.112072322408</v>
      </c>
    </row>
    <row r="23" spans="1:6" ht="32.25" thickBot="1">
      <c r="A23" s="31" t="s">
        <v>37</v>
      </c>
      <c r="B23" s="32" t="s">
        <v>38</v>
      </c>
      <c r="C23" s="30">
        <f>93709*$C$20*27</f>
        <v>12.245892120000001</v>
      </c>
    </row>
    <row r="24" spans="1:6" ht="18.75" customHeight="1" thickBot="1">
      <c r="A24" s="31" t="s">
        <v>39</v>
      </c>
      <c r="B24" s="32" t="s">
        <v>40</v>
      </c>
      <c r="C24" s="30">
        <f>76039*$C$20*27</f>
        <v>9.9367765200000004</v>
      </c>
    </row>
    <row r="25" spans="1:6" ht="20.25" customHeight="1" thickBot="1">
      <c r="A25" s="31" t="s">
        <v>41</v>
      </c>
      <c r="B25" s="32" t="s">
        <v>42</v>
      </c>
      <c r="C25" s="30">
        <f>84854*$C$20*27</f>
        <v>11.08872072</v>
      </c>
    </row>
    <row r="26" spans="1:6" ht="16.5" thickBot="1">
      <c r="A26" s="31" t="s">
        <v>43</v>
      </c>
      <c r="B26" s="32" t="s">
        <v>44</v>
      </c>
      <c r="C26" s="30">
        <f>127766*$C$20*27</f>
        <v>16.69646088</v>
      </c>
    </row>
    <row r="27" spans="1:6" ht="32.25" thickBot="1">
      <c r="A27" s="31" t="s">
        <v>45</v>
      </c>
      <c r="B27" s="32" t="s">
        <v>46</v>
      </c>
      <c r="C27" s="30">
        <f>170156*$C$20*27</f>
        <v>22.23598608</v>
      </c>
    </row>
    <row r="28" spans="1:6" ht="32.25" thickBot="1">
      <c r="A28" s="31" t="s">
        <v>47</v>
      </c>
      <c r="B28" s="32" t="s">
        <v>48</v>
      </c>
      <c r="C28" s="30">
        <f>377637*$C$20*27</f>
        <v>49.349603160000001</v>
      </c>
    </row>
    <row r="29" spans="1:6" ht="19.5" customHeight="1" thickBot="1">
      <c r="A29" s="31" t="s">
        <v>49</v>
      </c>
      <c r="B29" s="32" t="s">
        <v>50</v>
      </c>
      <c r="C29" s="30">
        <f>51508*$C$20*27</f>
        <v>6.7310654400000001</v>
      </c>
    </row>
    <row r="30" spans="1:6" ht="18.75" customHeight="1" thickBot="1">
      <c r="A30" s="31" t="s">
        <v>51</v>
      </c>
      <c r="B30" s="32" t="s">
        <v>52</v>
      </c>
      <c r="C30" s="30">
        <f>27437*$C$20*27</f>
        <v>3.5854671600000003</v>
      </c>
    </row>
    <row r="31" spans="1:6" ht="21" customHeight="1" thickBot="1">
      <c r="A31" s="31" t="s">
        <v>53</v>
      </c>
      <c r="B31" s="32" t="s">
        <v>54</v>
      </c>
      <c r="C31" s="30">
        <f>1110*$C$20*27</f>
        <v>0.14505480000000001</v>
      </c>
    </row>
    <row r="32" spans="1:6" ht="32.25" thickBot="1">
      <c r="A32" s="31" t="s">
        <v>55</v>
      </c>
      <c r="B32" s="32" t="s">
        <v>56</v>
      </c>
      <c r="C32" s="30">
        <f>13237*$C$20*27</f>
        <v>1.7298111599999999</v>
      </c>
    </row>
    <row r="33" spans="1:3" ht="32.25" thickBot="1">
      <c r="A33" s="31" t="s">
        <v>57</v>
      </c>
      <c r="B33" s="32" t="s">
        <v>58</v>
      </c>
      <c r="C33" s="30">
        <f>8480*$C$20*27</f>
        <v>1.1081664</v>
      </c>
    </row>
    <row r="34" spans="1:3" ht="32.25" thickBot="1">
      <c r="A34" s="31" t="s">
        <v>59</v>
      </c>
      <c r="B34" s="32" t="s">
        <v>60</v>
      </c>
      <c r="C34" s="30">
        <f>16199*$C$20*27</f>
        <v>2.1168853200000002</v>
      </c>
    </row>
    <row r="35" spans="1:3" ht="17.25" customHeight="1" thickBot="1">
      <c r="A35" s="31" t="s">
        <v>61</v>
      </c>
      <c r="B35" s="32" t="s">
        <v>62</v>
      </c>
      <c r="C35" s="30">
        <f>106687*$C$20*27</f>
        <v>13.941857160000001</v>
      </c>
    </row>
    <row r="36" spans="1:3" ht="32.25" thickBot="1">
      <c r="A36" s="31" t="s">
        <v>63</v>
      </c>
      <c r="B36" s="34" t="s">
        <v>64</v>
      </c>
      <c r="C36" s="30">
        <f>616784*$C$20*27</f>
        <v>80.601333120000007</v>
      </c>
    </row>
    <row r="37" spans="1:3" ht="15.75">
      <c r="A37" s="116" t="s">
        <v>29</v>
      </c>
      <c r="B37" s="117"/>
      <c r="C37" s="35">
        <f>SUM(C21:C36)</f>
        <v>394.51185148240802</v>
      </c>
    </row>
    <row r="38" spans="1:3" ht="15.75">
      <c r="A38" s="118" t="s">
        <v>65</v>
      </c>
      <c r="B38" s="119"/>
      <c r="C38" s="36">
        <f>C37+C18</f>
        <v>814.5011982124081</v>
      </c>
    </row>
    <row r="39" spans="1:3" ht="15.75">
      <c r="A39" s="1"/>
      <c r="B39" s="1"/>
      <c r="C39" s="37"/>
    </row>
    <row r="40" spans="1:3" ht="15.75">
      <c r="A40" s="103" t="s">
        <v>66</v>
      </c>
      <c r="B40" s="104"/>
      <c r="C40" s="38">
        <v>27</v>
      </c>
    </row>
    <row r="41" spans="1:3" ht="15.75">
      <c r="A41" s="103" t="s">
        <v>67</v>
      </c>
      <c r="B41" s="104"/>
      <c r="C41" s="39">
        <f>ROUND(C38/C40,2)</f>
        <v>30.17</v>
      </c>
    </row>
  </sheetData>
  <mergeCells count="14">
    <mergeCell ref="B1:C1"/>
    <mergeCell ref="A3:C3"/>
    <mergeCell ref="A5:C5"/>
    <mergeCell ref="A6:C6"/>
    <mergeCell ref="A7:C7"/>
    <mergeCell ref="A8:B8"/>
    <mergeCell ref="A40:B40"/>
    <mergeCell ref="A41:B41"/>
    <mergeCell ref="A11:C11"/>
    <mergeCell ref="A12:A16"/>
    <mergeCell ref="A18:B18"/>
    <mergeCell ref="A19:C19"/>
    <mergeCell ref="A37:B37"/>
    <mergeCell ref="A38:B38"/>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DB780-1DFF-44B8-A830-2DF49B7AFE9F}">
  <sheetPr>
    <tabColor theme="6" tint="0.79998168889431442"/>
  </sheetPr>
  <dimension ref="A1:F40"/>
  <sheetViews>
    <sheetView zoomScaleNormal="100" workbookViewId="0">
      <selection activeCell="H6" sqref="H6"/>
    </sheetView>
  </sheetViews>
  <sheetFormatPr defaultRowHeight="12.75"/>
  <cols>
    <col min="1" max="1" width="10.7109375" customWidth="1"/>
    <col min="2" max="2" width="98.85546875" customWidth="1"/>
    <col min="3" max="3" width="25.5703125" customWidth="1"/>
  </cols>
  <sheetData>
    <row r="1" spans="1:3" ht="67.5" customHeight="1">
      <c r="B1" s="99" t="s">
        <v>308</v>
      </c>
      <c r="C1" s="99"/>
    </row>
    <row r="3" spans="1:3" ht="15.75">
      <c r="A3" s="100" t="s">
        <v>91</v>
      </c>
      <c r="B3" s="100"/>
      <c r="C3" s="100"/>
    </row>
    <row r="4" spans="1:3" ht="15.75">
      <c r="A4" s="40"/>
      <c r="B4" s="40"/>
      <c r="C4" s="40"/>
    </row>
    <row r="5" spans="1:3" ht="15.75">
      <c r="A5" s="101" t="s">
        <v>122</v>
      </c>
      <c r="B5" s="101"/>
      <c r="C5" s="101"/>
    </row>
    <row r="6" spans="1:3" ht="55.5" customHeight="1">
      <c r="A6" s="102" t="s">
        <v>154</v>
      </c>
      <c r="B6" s="102"/>
      <c r="C6" s="102"/>
    </row>
    <row r="7" spans="1:3" ht="15.75">
      <c r="A7" s="101" t="s">
        <v>124</v>
      </c>
      <c r="B7" s="101"/>
      <c r="C7" s="101"/>
    </row>
    <row r="8" spans="1:3" ht="15.75">
      <c r="A8" s="98" t="s">
        <v>102</v>
      </c>
      <c r="B8" s="98"/>
      <c r="C8" s="40"/>
    </row>
    <row r="10" spans="1:3" ht="63">
      <c r="A10" s="14" t="s">
        <v>24</v>
      </c>
      <c r="B10" s="15" t="s">
        <v>25</v>
      </c>
      <c r="C10" s="16" t="s">
        <v>30</v>
      </c>
    </row>
    <row r="11" spans="1:3" ht="16.5" thickBot="1">
      <c r="A11" s="105" t="s">
        <v>26</v>
      </c>
      <c r="B11" s="106"/>
      <c r="C11" s="107"/>
    </row>
    <row r="12" spans="1:3" ht="15.75">
      <c r="A12" s="108" t="s">
        <v>31</v>
      </c>
      <c r="B12" s="17" t="s">
        <v>78</v>
      </c>
      <c r="C12" s="18">
        <f>9.714*1.25*1</f>
        <v>12.1425</v>
      </c>
    </row>
    <row r="13" spans="1:3" ht="15.75">
      <c r="A13" s="109"/>
      <c r="B13" s="19" t="s">
        <v>87</v>
      </c>
      <c r="C13" s="18">
        <f>11.571*1.25*1</f>
        <v>14.463749999999999</v>
      </c>
    </row>
    <row r="14" spans="1:3" ht="15.75">
      <c r="A14" s="109"/>
      <c r="B14" s="19" t="s">
        <v>69</v>
      </c>
      <c r="C14" s="18">
        <f>9.714*0.1*1</f>
        <v>0.97140000000000004</v>
      </c>
    </row>
    <row r="15" spans="1:3" ht="15.75">
      <c r="A15" s="109"/>
      <c r="B15" s="19" t="s">
        <v>159</v>
      </c>
      <c r="C15" s="18">
        <f>15.4*0.1*1</f>
        <v>1.54</v>
      </c>
    </row>
    <row r="16" spans="1:3" ht="32.25" thickBot="1">
      <c r="A16" s="21" t="s">
        <v>32</v>
      </c>
      <c r="B16" s="22" t="s">
        <v>33</v>
      </c>
      <c r="C16" s="23">
        <f>(C12+C13+C14+C15)*0.2359</f>
        <v>6.8688536349999998</v>
      </c>
    </row>
    <row r="17" spans="1:6" ht="15.75">
      <c r="A17" s="111" t="s">
        <v>27</v>
      </c>
      <c r="B17" s="112"/>
      <c r="C17" s="24">
        <f>SUM(C12:C16)</f>
        <v>35.986503634999998</v>
      </c>
      <c r="F17" s="45">
        <f>C17+C20+C21</f>
        <v>49.956401401719994</v>
      </c>
    </row>
    <row r="18" spans="1:6" ht="16.5" thickBot="1">
      <c r="A18" s="113" t="s">
        <v>28</v>
      </c>
      <c r="B18" s="114"/>
      <c r="C18" s="115"/>
      <c r="F18" s="45">
        <f>C22+C23+C24+C25+C26+C27+C28+C29+C30+C31+C32+C33</f>
        <v>11.7390784</v>
      </c>
    </row>
    <row r="19" spans="1:6" ht="15.75">
      <c r="A19" s="25"/>
      <c r="B19" s="26" t="s">
        <v>34</v>
      </c>
      <c r="C19" s="27">
        <v>1.1199999999999999E-5</v>
      </c>
      <c r="F19" s="45">
        <f>C34+C35</f>
        <v>8.1028751999999997</v>
      </c>
    </row>
    <row r="20" spans="1:6" ht="16.5" thickBot="1">
      <c r="A20" s="28" t="s">
        <v>35</v>
      </c>
      <c r="B20" s="29" t="s">
        <v>36</v>
      </c>
      <c r="C20" s="30">
        <f>1009234*$C$19*1</f>
        <v>11.3034208</v>
      </c>
    </row>
    <row r="21" spans="1:6" ht="32.25" thickBot="1">
      <c r="A21" s="31" t="s">
        <v>32</v>
      </c>
      <c r="B21" s="32" t="s">
        <v>33</v>
      </c>
      <c r="C21" s="30">
        <f>C20*0.2359</f>
        <v>2.6664769667199999</v>
      </c>
    </row>
    <row r="22" spans="1:6" ht="32.25" thickBot="1">
      <c r="A22" s="31" t="s">
        <v>37</v>
      </c>
      <c r="B22" s="32" t="s">
        <v>38</v>
      </c>
      <c r="C22" s="30">
        <f>93709*$C$19*1</f>
        <v>1.0495407999999999</v>
      </c>
    </row>
    <row r="23" spans="1:6" ht="20.25" customHeight="1" thickBot="1">
      <c r="A23" s="31" t="s">
        <v>39</v>
      </c>
      <c r="B23" s="32" t="s">
        <v>40</v>
      </c>
      <c r="C23" s="30">
        <f>76039*$C$19*1</f>
        <v>0.85163679999999997</v>
      </c>
    </row>
    <row r="24" spans="1:6" ht="20.25" customHeight="1" thickBot="1">
      <c r="A24" s="31" t="s">
        <v>41</v>
      </c>
      <c r="B24" s="32" t="s">
        <v>42</v>
      </c>
      <c r="C24" s="30">
        <f>84854*$C$19*1</f>
        <v>0.95036480000000001</v>
      </c>
    </row>
    <row r="25" spans="1:6" ht="16.5" thickBot="1">
      <c r="A25" s="31" t="s">
        <v>43</v>
      </c>
      <c r="B25" s="32" t="s">
        <v>44</v>
      </c>
      <c r="C25" s="30">
        <f>127766*$C$19*1</f>
        <v>1.4309791999999999</v>
      </c>
    </row>
    <row r="26" spans="1:6" ht="32.25" thickBot="1">
      <c r="A26" s="31" t="s">
        <v>45</v>
      </c>
      <c r="B26" s="32" t="s">
        <v>46</v>
      </c>
      <c r="C26" s="30">
        <f>170156*$C$19*1</f>
        <v>1.9057472</v>
      </c>
    </row>
    <row r="27" spans="1:6" ht="32.25" thickBot="1">
      <c r="A27" s="31" t="s">
        <v>47</v>
      </c>
      <c r="B27" s="32" t="s">
        <v>48</v>
      </c>
      <c r="C27" s="30">
        <f>377637*$C$19*1</f>
        <v>4.2295343999999995</v>
      </c>
    </row>
    <row r="28" spans="1:6" ht="18.75" customHeight="1" thickBot="1">
      <c r="A28" s="31" t="s">
        <v>49</v>
      </c>
      <c r="B28" s="32" t="s">
        <v>50</v>
      </c>
      <c r="C28" s="30">
        <f>51508*$C$19*1</f>
        <v>0.5768896</v>
      </c>
    </row>
    <row r="29" spans="1:6" ht="19.5" customHeight="1" thickBot="1">
      <c r="A29" s="31" t="s">
        <v>51</v>
      </c>
      <c r="B29" s="32" t="s">
        <v>52</v>
      </c>
      <c r="C29" s="30">
        <f>27437*$C$19*1</f>
        <v>0.30729439999999997</v>
      </c>
    </row>
    <row r="30" spans="1:6" ht="22.5" customHeight="1" thickBot="1">
      <c r="A30" s="31" t="s">
        <v>53</v>
      </c>
      <c r="B30" s="32" t="s">
        <v>54</v>
      </c>
      <c r="C30" s="30">
        <f>1110*$C$19*1</f>
        <v>1.2431999999999999E-2</v>
      </c>
    </row>
    <row r="31" spans="1:6" ht="32.25" thickBot="1">
      <c r="A31" s="31" t="s">
        <v>55</v>
      </c>
      <c r="B31" s="32" t="s">
        <v>56</v>
      </c>
      <c r="C31" s="30">
        <f>13237*$C$19*1</f>
        <v>0.14825439999999998</v>
      </c>
    </row>
    <row r="32" spans="1:6" ht="32.25" thickBot="1">
      <c r="A32" s="31" t="s">
        <v>57</v>
      </c>
      <c r="B32" s="32" t="s">
        <v>58</v>
      </c>
      <c r="C32" s="30">
        <f>8480*$C$19*1</f>
        <v>9.4975999999999991E-2</v>
      </c>
    </row>
    <row r="33" spans="1:3" ht="32.25" thickBot="1">
      <c r="A33" s="31" t="s">
        <v>59</v>
      </c>
      <c r="B33" s="32" t="s">
        <v>60</v>
      </c>
      <c r="C33" s="30">
        <f>16199*$C$19*1</f>
        <v>0.1814288</v>
      </c>
    </row>
    <row r="34" spans="1:3" ht="20.25" customHeight="1" thickBot="1">
      <c r="A34" s="31" t="s">
        <v>61</v>
      </c>
      <c r="B34" s="32" t="s">
        <v>62</v>
      </c>
      <c r="C34" s="30">
        <f>106687*$C$19*1</f>
        <v>1.1948943999999999</v>
      </c>
    </row>
    <row r="35" spans="1:3" ht="32.25" thickBot="1">
      <c r="A35" s="31" t="s">
        <v>63</v>
      </c>
      <c r="B35" s="34" t="s">
        <v>64</v>
      </c>
      <c r="C35" s="30">
        <f>616784*$C$19*1</f>
        <v>6.9079807999999998</v>
      </c>
    </row>
    <row r="36" spans="1:3" ht="15.75">
      <c r="A36" s="116" t="s">
        <v>29</v>
      </c>
      <c r="B36" s="117"/>
      <c r="C36" s="35">
        <f>SUM(C20:C35)</f>
        <v>33.811851366719992</v>
      </c>
    </row>
    <row r="37" spans="1:3" ht="15.75">
      <c r="A37" s="118" t="s">
        <v>65</v>
      </c>
      <c r="B37" s="119"/>
      <c r="C37" s="36">
        <f>C36+C17</f>
        <v>69.798355001719983</v>
      </c>
    </row>
    <row r="38" spans="1:3" ht="15.75">
      <c r="A38" s="1"/>
      <c r="B38" s="1"/>
      <c r="C38" s="37"/>
    </row>
    <row r="39" spans="1:3" ht="15.75">
      <c r="A39" s="103" t="s">
        <v>66</v>
      </c>
      <c r="B39" s="104"/>
      <c r="C39" s="38">
        <v>1</v>
      </c>
    </row>
    <row r="40" spans="1:3" ht="15.75">
      <c r="A40" s="103" t="s">
        <v>67</v>
      </c>
      <c r="B40" s="104"/>
      <c r="C40" s="39">
        <f>ROUND(C37/C39,2)</f>
        <v>69.8</v>
      </c>
    </row>
  </sheetData>
  <mergeCells count="14">
    <mergeCell ref="B1:C1"/>
    <mergeCell ref="A3:C3"/>
    <mergeCell ref="A5:C5"/>
    <mergeCell ref="A6:C6"/>
    <mergeCell ref="A7:C7"/>
    <mergeCell ref="A8:B8"/>
    <mergeCell ref="A39:B39"/>
    <mergeCell ref="A40:B40"/>
    <mergeCell ref="A11:C11"/>
    <mergeCell ref="A12:A15"/>
    <mergeCell ref="A17:B17"/>
    <mergeCell ref="A18:C18"/>
    <mergeCell ref="A36:B36"/>
    <mergeCell ref="A37:B37"/>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DD13F-5FDE-4A43-8CE7-D4BBE9779A50}">
  <sheetPr>
    <tabColor theme="6" tint="0.79998168889431442"/>
  </sheetPr>
  <dimension ref="A1:F41"/>
  <sheetViews>
    <sheetView zoomScaleNormal="100" workbookViewId="0">
      <selection activeCell="K10" sqref="K10"/>
    </sheetView>
  </sheetViews>
  <sheetFormatPr defaultRowHeight="12.75"/>
  <cols>
    <col min="1" max="1" width="10.7109375" customWidth="1"/>
    <col min="2" max="2" width="98.85546875" customWidth="1"/>
    <col min="3" max="3" width="25.5703125" customWidth="1"/>
  </cols>
  <sheetData>
    <row r="1" spans="1:3" ht="66" customHeight="1">
      <c r="B1" s="99" t="s">
        <v>308</v>
      </c>
      <c r="C1" s="99"/>
    </row>
    <row r="3" spans="1:3" ht="15.75">
      <c r="A3" s="100" t="s">
        <v>91</v>
      </c>
      <c r="B3" s="100"/>
      <c r="C3" s="100"/>
    </row>
    <row r="4" spans="1:3" ht="15.75">
      <c r="A4" s="40"/>
      <c r="B4" s="40"/>
      <c r="C4" s="40"/>
    </row>
    <row r="5" spans="1:3" ht="15.75">
      <c r="A5" s="101" t="s">
        <v>122</v>
      </c>
      <c r="B5" s="101"/>
      <c r="C5" s="101"/>
    </row>
    <row r="6" spans="1:3" ht="41.25" customHeight="1">
      <c r="A6" s="102" t="s">
        <v>155</v>
      </c>
      <c r="B6" s="102"/>
      <c r="C6" s="102"/>
    </row>
    <row r="7" spans="1:3" ht="15.75">
      <c r="A7" s="101" t="s">
        <v>124</v>
      </c>
      <c r="B7" s="101"/>
      <c r="C7" s="101"/>
    </row>
    <row r="8" spans="1:3" ht="15.75">
      <c r="A8" s="98" t="s">
        <v>156</v>
      </c>
      <c r="B8" s="98"/>
      <c r="C8" s="40"/>
    </row>
    <row r="10" spans="1:3" ht="63">
      <c r="A10" s="14" t="s">
        <v>24</v>
      </c>
      <c r="B10" s="15" t="s">
        <v>25</v>
      </c>
      <c r="C10" s="16" t="s">
        <v>30</v>
      </c>
    </row>
    <row r="11" spans="1:3" ht="16.5" thickBot="1">
      <c r="A11" s="105" t="s">
        <v>26</v>
      </c>
      <c r="B11" s="106"/>
      <c r="C11" s="107"/>
    </row>
    <row r="12" spans="1:3" ht="15.75">
      <c r="A12" s="108" t="s">
        <v>31</v>
      </c>
      <c r="B12" s="17" t="s">
        <v>74</v>
      </c>
      <c r="C12" s="18">
        <f>9.714*1.5*69</f>
        <v>1005.3990000000001</v>
      </c>
    </row>
    <row r="13" spans="1:3" ht="15.75">
      <c r="A13" s="109"/>
      <c r="B13" s="19" t="s">
        <v>87</v>
      </c>
      <c r="C13" s="18">
        <f>11.571*1.25*69</f>
        <v>997.99874999999997</v>
      </c>
    </row>
    <row r="14" spans="1:3" ht="15.75">
      <c r="A14" s="109"/>
      <c r="B14" s="19" t="s">
        <v>69</v>
      </c>
      <c r="C14" s="18">
        <f>9.714*0.1*69</f>
        <v>67.026600000000002</v>
      </c>
    </row>
    <row r="15" spans="1:3" ht="15.75">
      <c r="A15" s="109"/>
      <c r="B15" s="19" t="s">
        <v>70</v>
      </c>
      <c r="C15" s="18">
        <f>15.4*0.1*69</f>
        <v>106.26</v>
      </c>
    </row>
    <row r="16" spans="1:3" ht="16.5" thickBot="1">
      <c r="A16" s="109"/>
      <c r="B16" s="20" t="s">
        <v>71</v>
      </c>
      <c r="C16" s="18">
        <f>18.607*0.1*69</f>
        <v>128.38830000000002</v>
      </c>
    </row>
    <row r="17" spans="1:6" ht="32.25" thickBot="1">
      <c r="A17" s="21" t="s">
        <v>32</v>
      </c>
      <c r="B17" s="22" t="s">
        <v>33</v>
      </c>
      <c r="C17" s="23">
        <f>(C12+C13+C14+C15+C16)*0.2359</f>
        <v>543.76663813500011</v>
      </c>
    </row>
    <row r="18" spans="1:6" ht="15.75">
      <c r="A18" s="111" t="s">
        <v>27</v>
      </c>
      <c r="B18" s="112"/>
      <c r="C18" s="24">
        <f>SUM(C12:C17)</f>
        <v>2848.8392881350005</v>
      </c>
      <c r="F18" s="45">
        <f>C18+C21+C22</f>
        <v>3953.9080939745763</v>
      </c>
    </row>
    <row r="19" spans="1:6" ht="16.5" thickBot="1">
      <c r="A19" s="113" t="s">
        <v>28</v>
      </c>
      <c r="B19" s="114"/>
      <c r="C19" s="115"/>
      <c r="F19" s="45">
        <f>C23+C24+C25+C26+C27+C28+C30+C29+C31+C32+C33+C34</f>
        <v>928.60302672000023</v>
      </c>
    </row>
    <row r="20" spans="1:6" ht="15.75">
      <c r="A20" s="25"/>
      <c r="B20" s="26" t="s">
        <v>34</v>
      </c>
      <c r="C20" s="27">
        <v>1.2840000000000001E-5</v>
      </c>
      <c r="F20" s="45">
        <f>C35+C36</f>
        <v>640.96636716</v>
      </c>
    </row>
    <row r="21" spans="1:6" ht="16.5" thickBot="1">
      <c r="A21" s="28" t="s">
        <v>35</v>
      </c>
      <c r="B21" s="29" t="s">
        <v>36</v>
      </c>
      <c r="C21" s="30">
        <f>1009234*C20*69</f>
        <v>894.14095464000002</v>
      </c>
    </row>
    <row r="22" spans="1:6" ht="32.25" thickBot="1">
      <c r="A22" s="31" t="s">
        <v>32</v>
      </c>
      <c r="B22" s="32" t="s">
        <v>33</v>
      </c>
      <c r="C22" s="33">
        <f>C21*0.2359</f>
        <v>210.927851199576</v>
      </c>
    </row>
    <row r="23" spans="1:6" ht="32.25" thickBot="1">
      <c r="A23" s="31" t="s">
        <v>37</v>
      </c>
      <c r="B23" s="32" t="s">
        <v>38</v>
      </c>
      <c r="C23" s="33">
        <f>93709*$C$20*69</f>
        <v>83.022425640000009</v>
      </c>
    </row>
    <row r="24" spans="1:6" ht="20.25" customHeight="1" thickBot="1">
      <c r="A24" s="31" t="s">
        <v>39</v>
      </c>
      <c r="B24" s="32" t="s">
        <v>40</v>
      </c>
      <c r="C24" s="33">
        <f>76039*$C$20*69</f>
        <v>67.367512439999999</v>
      </c>
    </row>
    <row r="25" spans="1:6" ht="18" customHeight="1" thickBot="1">
      <c r="A25" s="31" t="s">
        <v>41</v>
      </c>
      <c r="B25" s="32" t="s">
        <v>42</v>
      </c>
      <c r="C25" s="33">
        <f>84854*$C$20*69</f>
        <v>75.177249840000002</v>
      </c>
    </row>
    <row r="26" spans="1:6" ht="16.5" thickBot="1">
      <c r="A26" s="31" t="s">
        <v>43</v>
      </c>
      <c r="B26" s="32" t="s">
        <v>44</v>
      </c>
      <c r="C26" s="33">
        <f>127766*$C$20*69</f>
        <v>113.19556536000002</v>
      </c>
    </row>
    <row r="27" spans="1:6" ht="32.25" thickBot="1">
      <c r="A27" s="31" t="s">
        <v>45</v>
      </c>
      <c r="B27" s="32" t="s">
        <v>46</v>
      </c>
      <c r="C27" s="33">
        <f>170156*$C$20*69</f>
        <v>150.75140976000003</v>
      </c>
    </row>
    <row r="28" spans="1:6" ht="32.25" thickBot="1">
      <c r="A28" s="31" t="s">
        <v>47</v>
      </c>
      <c r="B28" s="32" t="s">
        <v>48</v>
      </c>
      <c r="C28" s="33">
        <f>377637*$C$20*69</f>
        <v>334.57127652000003</v>
      </c>
    </row>
    <row r="29" spans="1:6" ht="18" customHeight="1" thickBot="1">
      <c r="A29" s="31" t="s">
        <v>49</v>
      </c>
      <c r="B29" s="32" t="s">
        <v>50</v>
      </c>
      <c r="C29" s="33">
        <f>51508*$C$20*69</f>
        <v>45.634027680000003</v>
      </c>
    </row>
    <row r="30" spans="1:6" ht="21" customHeight="1" thickBot="1">
      <c r="A30" s="31" t="s">
        <v>51</v>
      </c>
      <c r="B30" s="32" t="s">
        <v>52</v>
      </c>
      <c r="C30" s="33">
        <f>27437*$C$20*69</f>
        <v>24.308084520000001</v>
      </c>
    </row>
    <row r="31" spans="1:6" ht="19.5" customHeight="1" thickBot="1">
      <c r="A31" s="31" t="s">
        <v>53</v>
      </c>
      <c r="B31" s="32" t="s">
        <v>54</v>
      </c>
      <c r="C31" s="33">
        <f>1110*$C$20*69</f>
        <v>0.98341560000000006</v>
      </c>
    </row>
    <row r="32" spans="1:6" ht="32.25" thickBot="1">
      <c r="A32" s="31" t="s">
        <v>55</v>
      </c>
      <c r="B32" s="32" t="s">
        <v>56</v>
      </c>
      <c r="C32" s="33">
        <f>13237*$C$20*69</f>
        <v>11.727452520000002</v>
      </c>
    </row>
    <row r="33" spans="1:3" ht="32.25" thickBot="1">
      <c r="A33" s="31" t="s">
        <v>57</v>
      </c>
      <c r="B33" s="32" t="s">
        <v>58</v>
      </c>
      <c r="C33" s="33">
        <f>8480*$C$20*69</f>
        <v>7.5129408</v>
      </c>
    </row>
    <row r="34" spans="1:3" ht="32.25" thickBot="1">
      <c r="A34" s="31" t="s">
        <v>59</v>
      </c>
      <c r="B34" s="32" t="s">
        <v>60</v>
      </c>
      <c r="C34" s="33">
        <f>16199*$C$20*69</f>
        <v>14.351666040000001</v>
      </c>
    </row>
    <row r="35" spans="1:3" ht="19.5" customHeight="1" thickBot="1">
      <c r="A35" s="31" t="s">
        <v>61</v>
      </c>
      <c r="B35" s="32" t="s">
        <v>62</v>
      </c>
      <c r="C35" s="33">
        <f>106687*$C$20*69</f>
        <v>94.520414520000017</v>
      </c>
    </row>
    <row r="36" spans="1:3" ht="32.25" thickBot="1">
      <c r="A36" s="31" t="s">
        <v>63</v>
      </c>
      <c r="B36" s="34" t="s">
        <v>64</v>
      </c>
      <c r="C36" s="33">
        <f>616784*$C$20*69</f>
        <v>546.44595263999997</v>
      </c>
    </row>
    <row r="37" spans="1:3" ht="15.75">
      <c r="A37" s="116" t="s">
        <v>29</v>
      </c>
      <c r="B37" s="117"/>
      <c r="C37" s="35">
        <f>SUM(C21:C36)</f>
        <v>2674.6381997195763</v>
      </c>
    </row>
    <row r="38" spans="1:3" ht="15.75">
      <c r="A38" s="118" t="s">
        <v>65</v>
      </c>
      <c r="B38" s="119"/>
      <c r="C38" s="36">
        <f>C37+C18</f>
        <v>5523.4774878545768</v>
      </c>
    </row>
    <row r="39" spans="1:3" ht="15.75">
      <c r="A39" s="1"/>
      <c r="B39" s="1"/>
      <c r="C39" s="37"/>
    </row>
    <row r="40" spans="1:3" ht="15.75">
      <c r="A40" s="103" t="s">
        <v>66</v>
      </c>
      <c r="B40" s="104"/>
      <c r="C40" s="38">
        <v>69</v>
      </c>
    </row>
    <row r="41" spans="1:3" ht="15.75">
      <c r="A41" s="103" t="s">
        <v>67</v>
      </c>
      <c r="B41" s="104"/>
      <c r="C41" s="39">
        <f>ROUND(C38/C40,2)</f>
        <v>80.05</v>
      </c>
    </row>
  </sheetData>
  <mergeCells count="14">
    <mergeCell ref="B1:C1"/>
    <mergeCell ref="A3:C3"/>
    <mergeCell ref="A5:C5"/>
    <mergeCell ref="A6:C6"/>
    <mergeCell ref="A7:C7"/>
    <mergeCell ref="A8:B8"/>
    <mergeCell ref="A40:B40"/>
    <mergeCell ref="A41:B41"/>
    <mergeCell ref="A11:C11"/>
    <mergeCell ref="A12:A16"/>
    <mergeCell ref="A18:B18"/>
    <mergeCell ref="A19:C19"/>
    <mergeCell ref="A37:B37"/>
    <mergeCell ref="A38:B38"/>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EC3A6-0252-4E37-9B81-B274A1FD9450}">
  <sheetPr>
    <tabColor theme="6" tint="0.79998168889431442"/>
  </sheetPr>
  <dimension ref="A1:G37"/>
  <sheetViews>
    <sheetView zoomScaleNormal="100" workbookViewId="0">
      <selection activeCell="C12" sqref="C12"/>
    </sheetView>
  </sheetViews>
  <sheetFormatPr defaultRowHeight="12.75"/>
  <cols>
    <col min="1" max="1" width="10.7109375" customWidth="1"/>
    <col min="2" max="2" width="98.85546875" customWidth="1"/>
    <col min="3" max="3" width="25.5703125" customWidth="1"/>
  </cols>
  <sheetData>
    <row r="1" spans="1:7" ht="68.25" customHeight="1">
      <c r="B1" s="99" t="s">
        <v>308</v>
      </c>
      <c r="C1" s="99"/>
    </row>
    <row r="3" spans="1:7" ht="15.75">
      <c r="A3" s="100" t="s">
        <v>91</v>
      </c>
      <c r="B3" s="100"/>
      <c r="C3" s="100"/>
    </row>
    <row r="4" spans="1:7" ht="15.75">
      <c r="A4" s="40"/>
      <c r="B4" s="40"/>
      <c r="C4" s="40"/>
    </row>
    <row r="5" spans="1:7" ht="15.75">
      <c r="A5" s="101" t="s">
        <v>122</v>
      </c>
      <c r="B5" s="101"/>
      <c r="C5" s="101"/>
    </row>
    <row r="6" spans="1:7" ht="40.5" customHeight="1">
      <c r="A6" s="102" t="s">
        <v>157</v>
      </c>
      <c r="B6" s="102"/>
      <c r="C6" s="102"/>
    </row>
    <row r="7" spans="1:7" ht="15.75">
      <c r="A7" s="101" t="s">
        <v>124</v>
      </c>
      <c r="B7" s="101"/>
      <c r="C7" s="101"/>
    </row>
    <row r="8" spans="1:7" ht="15.75">
      <c r="A8" s="98" t="s">
        <v>158</v>
      </c>
      <c r="B8" s="98"/>
      <c r="C8" s="40"/>
    </row>
    <row r="10" spans="1:7" ht="63">
      <c r="A10" s="14" t="s">
        <v>24</v>
      </c>
      <c r="B10" s="15" t="s">
        <v>25</v>
      </c>
      <c r="C10" s="16" t="s">
        <v>30</v>
      </c>
    </row>
    <row r="11" spans="1:7" ht="16.5" thickBot="1">
      <c r="A11" s="105" t="s">
        <v>26</v>
      </c>
      <c r="B11" s="106"/>
      <c r="C11" s="107"/>
    </row>
    <row r="12" spans="1:7" ht="18" customHeight="1">
      <c r="A12" s="41" t="s">
        <v>31</v>
      </c>
      <c r="B12" s="17" t="s">
        <v>90</v>
      </c>
      <c r="C12" s="18">
        <f>9.714*0.85*170</f>
        <v>1403.673</v>
      </c>
    </row>
    <row r="13" spans="1:7" ht="32.25" thickBot="1">
      <c r="A13" s="21" t="s">
        <v>32</v>
      </c>
      <c r="B13" s="22" t="s">
        <v>33</v>
      </c>
      <c r="C13" s="23">
        <f>C12*0.2359</f>
        <v>331.1264607</v>
      </c>
    </row>
    <row r="14" spans="1:7" ht="15.75">
      <c r="A14" s="111" t="s">
        <v>27</v>
      </c>
      <c r="B14" s="112"/>
      <c r="C14" s="24">
        <f>SUM(C12:C13)</f>
        <v>1734.7994607000001</v>
      </c>
      <c r="G14" s="45">
        <f>C14+C17+C18</f>
        <v>2406.97605949334</v>
      </c>
    </row>
    <row r="15" spans="1:7" ht="16.5" thickBot="1">
      <c r="A15" s="113" t="s">
        <v>28</v>
      </c>
      <c r="B15" s="114"/>
      <c r="C15" s="115"/>
      <c r="G15" s="45">
        <f>C19+C20+C21+C22+C23+C24+C26+C25+C27+C28+C29+C30</f>
        <v>564.83833479999998</v>
      </c>
    </row>
    <row r="16" spans="1:7" ht="15.75">
      <c r="A16" s="25"/>
      <c r="B16" s="26" t="s">
        <v>34</v>
      </c>
      <c r="C16" s="27">
        <v>3.1700000000000001E-6</v>
      </c>
      <c r="G16" s="45">
        <f>C31+C32</f>
        <v>389.87852190000007</v>
      </c>
    </row>
    <row r="17" spans="1:3" ht="16.5" thickBot="1">
      <c r="A17" s="28" t="s">
        <v>35</v>
      </c>
      <c r="B17" s="29" t="s">
        <v>36</v>
      </c>
      <c r="C17" s="30">
        <f>1009234*C16*170</f>
        <v>543.87620260000006</v>
      </c>
    </row>
    <row r="18" spans="1:3" ht="32.25" thickBot="1">
      <c r="A18" s="31" t="s">
        <v>32</v>
      </c>
      <c r="B18" s="32" t="s">
        <v>33</v>
      </c>
      <c r="C18" s="33">
        <f>C17*0.2359</f>
        <v>128.30039619334002</v>
      </c>
    </row>
    <row r="19" spans="1:3" ht="32.25" thickBot="1">
      <c r="A19" s="31" t="s">
        <v>37</v>
      </c>
      <c r="B19" s="32" t="s">
        <v>38</v>
      </c>
      <c r="C19" s="33">
        <f>93709*C16*170</f>
        <v>50.499780100000002</v>
      </c>
    </row>
    <row r="20" spans="1:3" ht="19.5" customHeight="1" thickBot="1">
      <c r="A20" s="31" t="s">
        <v>39</v>
      </c>
      <c r="B20" s="32" t="s">
        <v>40</v>
      </c>
      <c r="C20" s="33">
        <f>76039*C16*170</f>
        <v>40.977417100000004</v>
      </c>
    </row>
    <row r="21" spans="1:3" ht="20.25" customHeight="1" thickBot="1">
      <c r="A21" s="31" t="s">
        <v>41</v>
      </c>
      <c r="B21" s="32" t="s">
        <v>42</v>
      </c>
      <c r="C21" s="33">
        <f>84854*C16*170</f>
        <v>45.727820600000001</v>
      </c>
    </row>
    <row r="22" spans="1:3" ht="16.5" thickBot="1">
      <c r="A22" s="31" t="s">
        <v>43</v>
      </c>
      <c r="B22" s="32" t="s">
        <v>44</v>
      </c>
      <c r="C22" s="33">
        <f>127766*C16*170</f>
        <v>68.85309740000001</v>
      </c>
    </row>
    <row r="23" spans="1:3" ht="32.25" thickBot="1">
      <c r="A23" s="31" t="s">
        <v>45</v>
      </c>
      <c r="B23" s="32" t="s">
        <v>46</v>
      </c>
      <c r="C23" s="33">
        <f>170156*C16*170</f>
        <v>91.697068399999992</v>
      </c>
    </row>
    <row r="24" spans="1:3" ht="32.25" thickBot="1">
      <c r="A24" s="31" t="s">
        <v>47</v>
      </c>
      <c r="B24" s="32" t="s">
        <v>48</v>
      </c>
      <c r="C24" s="33">
        <f>377637*C16*170</f>
        <v>203.50857930000001</v>
      </c>
    </row>
    <row r="25" spans="1:3" ht="17.25" customHeight="1" thickBot="1">
      <c r="A25" s="31" t="s">
        <v>49</v>
      </c>
      <c r="B25" s="32" t="s">
        <v>50</v>
      </c>
      <c r="C25" s="33">
        <f>51508*C16*170</f>
        <v>27.757661200000001</v>
      </c>
    </row>
    <row r="26" spans="1:3" ht="21.75" customHeight="1" thickBot="1">
      <c r="A26" s="31" t="s">
        <v>51</v>
      </c>
      <c r="B26" s="32" t="s">
        <v>52</v>
      </c>
      <c r="C26" s="33">
        <f>27437*C16*170</f>
        <v>14.785799300000003</v>
      </c>
    </row>
    <row r="27" spans="1:3" ht="20.25" customHeight="1" thickBot="1">
      <c r="A27" s="31" t="s">
        <v>53</v>
      </c>
      <c r="B27" s="32" t="s">
        <v>54</v>
      </c>
      <c r="C27" s="33">
        <f>1110*C16*170</f>
        <v>0.59817900000000002</v>
      </c>
    </row>
    <row r="28" spans="1:3" ht="32.25" thickBot="1">
      <c r="A28" s="31" t="s">
        <v>55</v>
      </c>
      <c r="B28" s="32" t="s">
        <v>56</v>
      </c>
      <c r="C28" s="33">
        <f>13237*C16*170</f>
        <v>7.1334193000000008</v>
      </c>
    </row>
    <row r="29" spans="1:3" ht="32.25" thickBot="1">
      <c r="A29" s="31" t="s">
        <v>57</v>
      </c>
      <c r="B29" s="32" t="s">
        <v>58</v>
      </c>
      <c r="C29" s="33">
        <f>8480*C16*170</f>
        <v>4.5698720000000002</v>
      </c>
    </row>
    <row r="30" spans="1:3" ht="32.25" thickBot="1">
      <c r="A30" s="31" t="s">
        <v>59</v>
      </c>
      <c r="B30" s="32" t="s">
        <v>60</v>
      </c>
      <c r="C30" s="33">
        <f>16199*C16*170</f>
        <v>8.7296411000000003</v>
      </c>
    </row>
    <row r="31" spans="1:3" ht="18" customHeight="1" thickBot="1">
      <c r="A31" s="31" t="s">
        <v>61</v>
      </c>
      <c r="B31" s="32" t="s">
        <v>62</v>
      </c>
      <c r="C31" s="33">
        <f>106687*C16*170</f>
        <v>57.4936243</v>
      </c>
    </row>
    <row r="32" spans="1:3" ht="32.25" thickBot="1">
      <c r="A32" s="31" t="s">
        <v>63</v>
      </c>
      <c r="B32" s="34" t="s">
        <v>64</v>
      </c>
      <c r="C32" s="33">
        <f>616784*C16*170</f>
        <v>332.38489760000004</v>
      </c>
    </row>
    <row r="33" spans="1:3" ht="15.75">
      <c r="A33" s="116" t="s">
        <v>29</v>
      </c>
      <c r="B33" s="117"/>
      <c r="C33" s="35">
        <f>SUM(C17:C32)</f>
        <v>1626.8934554933403</v>
      </c>
    </row>
    <row r="34" spans="1:3" ht="15.75">
      <c r="A34" s="118" t="s">
        <v>65</v>
      </c>
      <c r="B34" s="119"/>
      <c r="C34" s="36">
        <f>ROUND(C33+C14,2)</f>
        <v>3361.69</v>
      </c>
    </row>
    <row r="35" spans="1:3" ht="15.75">
      <c r="A35" s="1"/>
      <c r="B35" s="1"/>
      <c r="C35" s="37"/>
    </row>
    <row r="36" spans="1:3" ht="15.75">
      <c r="A36" s="103" t="s">
        <v>66</v>
      </c>
      <c r="B36" s="104"/>
      <c r="C36" s="38">
        <v>170</v>
      </c>
    </row>
    <row r="37" spans="1:3" ht="15.75">
      <c r="A37" s="103" t="s">
        <v>67</v>
      </c>
      <c r="B37" s="104"/>
      <c r="C37" s="39">
        <f>C34/C36</f>
        <v>19.774647058823529</v>
      </c>
    </row>
  </sheetData>
  <mergeCells count="13">
    <mergeCell ref="B1:C1"/>
    <mergeCell ref="A3:C3"/>
    <mergeCell ref="A5:C5"/>
    <mergeCell ref="A6:C6"/>
    <mergeCell ref="A7:C7"/>
    <mergeCell ref="A8:B8"/>
    <mergeCell ref="A34:B34"/>
    <mergeCell ref="A36:B36"/>
    <mergeCell ref="A37:B37"/>
    <mergeCell ref="A11:C11"/>
    <mergeCell ref="A14:B14"/>
    <mergeCell ref="A15:C15"/>
    <mergeCell ref="A33:B33"/>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CC6AB-5570-4F13-B7E2-CE6E5CBF9FA0}">
  <sheetPr>
    <tabColor theme="4" tint="0.39997558519241921"/>
  </sheetPr>
  <dimension ref="A1:F32"/>
  <sheetViews>
    <sheetView zoomScaleNormal="100" workbookViewId="0">
      <selection activeCell="H5" sqref="H5"/>
    </sheetView>
  </sheetViews>
  <sheetFormatPr defaultRowHeight="12.75"/>
  <cols>
    <col min="1" max="1" width="10.7109375" customWidth="1"/>
    <col min="2" max="2" width="98.7109375" customWidth="1"/>
    <col min="3" max="3" width="25.5703125" customWidth="1"/>
  </cols>
  <sheetData>
    <row r="1" spans="1:6" ht="76.150000000000006" customHeight="1">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42" customHeight="1">
      <c r="A6" s="102" t="s">
        <v>164</v>
      </c>
      <c r="B6" s="102"/>
      <c r="C6" s="102"/>
    </row>
    <row r="7" spans="1:6" ht="15.75">
      <c r="A7" s="101" t="s">
        <v>94</v>
      </c>
      <c r="B7" s="101"/>
      <c r="C7" s="101"/>
    </row>
    <row r="8" spans="1:6" ht="15.75">
      <c r="A8" s="98" t="s">
        <v>126</v>
      </c>
      <c r="B8" s="98"/>
      <c r="C8" s="40"/>
    </row>
    <row r="9" spans="1:6" ht="15.75">
      <c r="A9" s="43"/>
      <c r="B9" s="43"/>
      <c r="C9" s="40"/>
    </row>
    <row r="10" spans="1:6" ht="63">
      <c r="A10" s="14" t="s">
        <v>24</v>
      </c>
      <c r="B10" s="15" t="s">
        <v>25</v>
      </c>
      <c r="C10" s="16" t="s">
        <v>30</v>
      </c>
    </row>
    <row r="11" spans="1:6" ht="16.5" thickBot="1">
      <c r="A11" s="105" t="s">
        <v>26</v>
      </c>
      <c r="B11" s="106"/>
      <c r="C11" s="107"/>
    </row>
    <row r="12" spans="1:6" ht="15.75">
      <c r="A12" s="108" t="s">
        <v>31</v>
      </c>
      <c r="B12" s="46" t="s">
        <v>165</v>
      </c>
      <c r="C12" s="18">
        <f>8.864*4*30</f>
        <v>1063.68</v>
      </c>
    </row>
    <row r="13" spans="1:6" ht="16.5" thickBot="1">
      <c r="A13" s="110"/>
      <c r="B13" s="47" t="s">
        <v>166</v>
      </c>
      <c r="C13" s="18">
        <f>11.1*4*30</f>
        <v>1332</v>
      </c>
    </row>
    <row r="14" spans="1:6" ht="32.25" thickBot="1">
      <c r="A14" s="21" t="s">
        <v>32</v>
      </c>
      <c r="B14" s="48" t="s">
        <v>167</v>
      </c>
      <c r="C14" s="18">
        <f>SUM(C12:C13)*0.2359</f>
        <v>565.14091200000007</v>
      </c>
    </row>
    <row r="15" spans="1:6" ht="15.75">
      <c r="A15" s="111" t="s">
        <v>27</v>
      </c>
      <c r="B15" s="112"/>
      <c r="C15" s="24">
        <f>SUM(C12:C14)</f>
        <v>2960.8209120000001</v>
      </c>
      <c r="F15" s="45">
        <f>C15+C18+C19</f>
        <v>4109.5955408526006</v>
      </c>
    </row>
    <row r="16" spans="1:6" ht="16.5" thickBot="1">
      <c r="A16" s="113" t="s">
        <v>28</v>
      </c>
      <c r="B16" s="114"/>
      <c r="C16" s="115"/>
      <c r="F16" s="45">
        <f>C20+C21+C22+C23+C24+C25</f>
        <v>786.44466299999999</v>
      </c>
    </row>
    <row r="17" spans="1:6" ht="15.75">
      <c r="A17" s="25"/>
      <c r="B17" s="26" t="s">
        <v>34</v>
      </c>
      <c r="C17" s="27">
        <v>3.0700000000000001E-5</v>
      </c>
      <c r="F17" s="45">
        <f>C26+C27</f>
        <v>666.31679099999997</v>
      </c>
    </row>
    <row r="18" spans="1:6" ht="16.5" thickBot="1">
      <c r="A18" s="28" t="s">
        <v>35</v>
      </c>
      <c r="B18" s="29" t="s">
        <v>36</v>
      </c>
      <c r="C18" s="30">
        <f>1009234*$C$17*30</f>
        <v>929.50451400000009</v>
      </c>
    </row>
    <row r="19" spans="1:6" ht="32.25" thickBot="1">
      <c r="A19" s="31" t="s">
        <v>32</v>
      </c>
      <c r="B19" s="32" t="s">
        <v>33</v>
      </c>
      <c r="C19" s="30">
        <f>C18*0.2359</f>
        <v>219.27011485260002</v>
      </c>
    </row>
    <row r="20" spans="1:6" ht="32.25" thickBot="1">
      <c r="A20" s="31" t="s">
        <v>37</v>
      </c>
      <c r="B20" s="32" t="s">
        <v>38</v>
      </c>
      <c r="C20" s="30">
        <f>93709*$C$17*30</f>
        <v>86.305988999999997</v>
      </c>
    </row>
    <row r="21" spans="1:6" ht="18.75" customHeight="1" thickBot="1">
      <c r="A21" s="31" t="s">
        <v>39</v>
      </c>
      <c r="B21" s="32" t="s">
        <v>40</v>
      </c>
      <c r="C21" s="30">
        <f>76039*$C$17*30</f>
        <v>70.031919000000002</v>
      </c>
    </row>
    <row r="22" spans="1:6" ht="18.75" customHeight="1" thickBot="1">
      <c r="A22" s="31" t="s">
        <v>41</v>
      </c>
      <c r="B22" s="32" t="s">
        <v>42</v>
      </c>
      <c r="C22" s="30">
        <f>84854*$C$17*30</f>
        <v>78.150534000000007</v>
      </c>
    </row>
    <row r="23" spans="1:6" ht="32.25" thickBot="1">
      <c r="A23" s="31" t="s">
        <v>45</v>
      </c>
      <c r="B23" s="32" t="s">
        <v>46</v>
      </c>
      <c r="C23" s="30">
        <f>170156*$C$17*30</f>
        <v>156.71367600000002</v>
      </c>
    </row>
    <row r="24" spans="1:6" ht="32.25" thickBot="1">
      <c r="A24" s="31" t="s">
        <v>47</v>
      </c>
      <c r="B24" s="32" t="s">
        <v>48</v>
      </c>
      <c r="C24" s="30">
        <f>377637*$C$17*30</f>
        <v>347.80367699999999</v>
      </c>
    </row>
    <row r="25" spans="1:6" ht="16.5" customHeight="1" thickBot="1">
      <c r="A25" s="31" t="s">
        <v>49</v>
      </c>
      <c r="B25" s="32" t="s">
        <v>50</v>
      </c>
      <c r="C25" s="30">
        <f>51508*$C$17*30</f>
        <v>47.438867999999999</v>
      </c>
    </row>
    <row r="26" spans="1:6" ht="16.5" customHeight="1" thickBot="1">
      <c r="A26" s="31" t="s">
        <v>61</v>
      </c>
      <c r="B26" s="32" t="s">
        <v>62</v>
      </c>
      <c r="C26" s="30">
        <f>106687*$C$17*30</f>
        <v>98.258726999999993</v>
      </c>
    </row>
    <row r="27" spans="1:6" ht="32.25" thickBot="1">
      <c r="A27" s="31" t="s">
        <v>63</v>
      </c>
      <c r="B27" s="34" t="s">
        <v>64</v>
      </c>
      <c r="C27" s="30">
        <f>616784*$C$17*30</f>
        <v>568.05806399999994</v>
      </c>
    </row>
    <row r="28" spans="1:6" ht="15.75">
      <c r="A28" s="116" t="s">
        <v>29</v>
      </c>
      <c r="B28" s="117"/>
      <c r="C28" s="35">
        <f>SUM(C18:C27)</f>
        <v>2601.5360828526</v>
      </c>
    </row>
    <row r="29" spans="1:6" ht="15.75">
      <c r="A29" s="118" t="s">
        <v>65</v>
      </c>
      <c r="B29" s="119"/>
      <c r="C29" s="36">
        <f>C28+C15</f>
        <v>5562.3569948526001</v>
      </c>
    </row>
    <row r="30" spans="1:6" ht="15.75">
      <c r="A30" s="1"/>
      <c r="B30" s="1"/>
      <c r="C30" s="37"/>
    </row>
    <row r="31" spans="1:6" ht="15.75">
      <c r="A31" s="103" t="s">
        <v>66</v>
      </c>
      <c r="B31" s="104"/>
      <c r="C31" s="38">
        <v>30</v>
      </c>
    </row>
    <row r="32" spans="1:6" ht="15.75">
      <c r="A32" s="103" t="s">
        <v>67</v>
      </c>
      <c r="B32" s="104"/>
      <c r="C32" s="39">
        <f>ROUND(C29/C31,2)</f>
        <v>185.41</v>
      </c>
    </row>
  </sheetData>
  <mergeCells count="14">
    <mergeCell ref="A31:B31"/>
    <mergeCell ref="A32:B32"/>
    <mergeCell ref="A11:C11"/>
    <mergeCell ref="A12:A13"/>
    <mergeCell ref="A15:B15"/>
    <mergeCell ref="A16:C16"/>
    <mergeCell ref="A28:B28"/>
    <mergeCell ref="A29:B29"/>
    <mergeCell ref="A8:B8"/>
    <mergeCell ref="B1:C1"/>
    <mergeCell ref="A3:C3"/>
    <mergeCell ref="A5:C5"/>
    <mergeCell ref="A6:C6"/>
    <mergeCell ref="A7:C7"/>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6D9D1-2657-4077-8784-5B0B7E29AD88}">
  <sheetPr>
    <tabColor theme="2" tint="-9.9978637043366805E-2"/>
  </sheetPr>
  <dimension ref="A1:F33"/>
  <sheetViews>
    <sheetView zoomScaleNormal="100" workbookViewId="0">
      <selection activeCell="B1" sqref="B1:C1"/>
    </sheetView>
  </sheetViews>
  <sheetFormatPr defaultRowHeight="12.75"/>
  <cols>
    <col min="1" max="1" width="10.7109375" customWidth="1"/>
    <col min="2" max="2" width="98.85546875" customWidth="1"/>
    <col min="3" max="3" width="25.5703125" customWidth="1"/>
  </cols>
  <sheetData>
    <row r="1" spans="1:6" ht="68.25" customHeight="1">
      <c r="A1" s="40"/>
      <c r="B1" s="99" t="s">
        <v>308</v>
      </c>
      <c r="C1" s="99"/>
    </row>
    <row r="2" spans="1:6" ht="15.75">
      <c r="A2" s="40"/>
      <c r="B2" s="42"/>
      <c r="C2" s="42"/>
    </row>
    <row r="3" spans="1:6" ht="15.75">
      <c r="A3" s="100" t="s">
        <v>91</v>
      </c>
      <c r="B3" s="100"/>
      <c r="C3" s="100"/>
    </row>
    <row r="4" spans="1:6" ht="15.75">
      <c r="A4" s="40"/>
      <c r="B4" s="40"/>
      <c r="C4" s="40"/>
    </row>
    <row r="5" spans="1:6" ht="15.75">
      <c r="A5" s="101" t="s">
        <v>92</v>
      </c>
      <c r="B5" s="101"/>
      <c r="C5" s="101"/>
    </row>
    <row r="6" spans="1:6" ht="36" customHeight="1">
      <c r="A6" s="102" t="s">
        <v>185</v>
      </c>
      <c r="B6" s="102"/>
      <c r="C6" s="102"/>
    </row>
    <row r="7" spans="1:6" ht="15.75">
      <c r="A7" s="101" t="s">
        <v>94</v>
      </c>
      <c r="B7" s="101"/>
      <c r="C7" s="101"/>
    </row>
    <row r="8" spans="1:6" ht="15.75">
      <c r="A8" s="98" t="s">
        <v>186</v>
      </c>
      <c r="B8" s="98"/>
      <c r="C8" s="40"/>
    </row>
    <row r="10" spans="1:6" ht="63">
      <c r="A10" s="14" t="s">
        <v>24</v>
      </c>
      <c r="B10" s="15" t="s">
        <v>25</v>
      </c>
      <c r="C10" s="16" t="s">
        <v>30</v>
      </c>
    </row>
    <row r="11" spans="1:6" ht="16.5" thickBot="1">
      <c r="A11" s="105" t="s">
        <v>26</v>
      </c>
      <c r="B11" s="106"/>
      <c r="C11" s="107"/>
    </row>
    <row r="12" spans="1:6" ht="17.25" customHeight="1">
      <c r="A12" s="108" t="s">
        <v>31</v>
      </c>
      <c r="B12" s="46" t="s">
        <v>187</v>
      </c>
      <c r="C12" s="18">
        <f>(8.107*4)*200</f>
        <v>6485.5999999999995</v>
      </c>
    </row>
    <row r="13" spans="1:6" ht="16.5" thickBot="1">
      <c r="A13" s="110"/>
      <c r="B13" s="47" t="s">
        <v>188</v>
      </c>
      <c r="C13" s="18">
        <f>(11.807*4)*200</f>
        <v>9445.6</v>
      </c>
    </row>
    <row r="14" spans="1:6" ht="32.25" thickBot="1">
      <c r="A14" s="21" t="s">
        <v>32</v>
      </c>
      <c r="B14" s="48" t="s">
        <v>167</v>
      </c>
      <c r="C14" s="23">
        <f>SUM(C12:C13)*0.2359</f>
        <v>3758.1700800000003</v>
      </c>
    </row>
    <row r="15" spans="1:6" ht="15.75">
      <c r="A15" s="111" t="s">
        <v>27</v>
      </c>
      <c r="B15" s="112"/>
      <c r="C15" s="24">
        <f>SUM(C12:C14)</f>
        <v>19689.370080000001</v>
      </c>
      <c r="F15" s="45">
        <f>C15+C18+C19</f>
        <v>27330.405233475602</v>
      </c>
    </row>
    <row r="16" spans="1:6" ht="16.5" thickBot="1">
      <c r="A16" s="113" t="s">
        <v>28</v>
      </c>
      <c r="B16" s="114"/>
      <c r="C16" s="115"/>
      <c r="F16" s="45">
        <f>C20+C21+C22+C23+C24+C25+C26</f>
        <v>5330.2448520000007</v>
      </c>
    </row>
    <row r="17" spans="1:6" ht="15.75">
      <c r="A17" s="25"/>
      <c r="B17" s="26" t="s">
        <v>34</v>
      </c>
      <c r="C17" s="27">
        <v>3.0630000000000003E-5</v>
      </c>
      <c r="F17" s="45">
        <f>C27+C28</f>
        <v>4431.983346</v>
      </c>
    </row>
    <row r="18" spans="1:6" ht="16.5" thickBot="1">
      <c r="A18" s="28" t="s">
        <v>35</v>
      </c>
      <c r="B18" s="29" t="s">
        <v>36</v>
      </c>
      <c r="C18" s="30">
        <f>1009234*$C$17*200</f>
        <v>6182.5674840000001</v>
      </c>
    </row>
    <row r="19" spans="1:6" ht="32.25" thickBot="1">
      <c r="A19" s="31" t="s">
        <v>32</v>
      </c>
      <c r="B19" s="32" t="s">
        <v>33</v>
      </c>
      <c r="C19" s="30">
        <f>C18*0.2359</f>
        <v>1458.4676694756001</v>
      </c>
    </row>
    <row r="20" spans="1:6" ht="32.25" thickBot="1">
      <c r="A20" s="31" t="s">
        <v>37</v>
      </c>
      <c r="B20" s="32" t="s">
        <v>38</v>
      </c>
      <c r="C20" s="30">
        <f>93709*$C$17*200</f>
        <v>574.06133399999999</v>
      </c>
    </row>
    <row r="21" spans="1:6" ht="19.5" customHeight="1" thickBot="1">
      <c r="A21" s="31" t="s">
        <v>39</v>
      </c>
      <c r="B21" s="32" t="s">
        <v>40</v>
      </c>
      <c r="C21" s="30">
        <f>76039*$C$17*200</f>
        <v>465.8149140000001</v>
      </c>
    </row>
    <row r="22" spans="1:6" ht="15.75" customHeight="1" thickBot="1">
      <c r="A22" s="31" t="s">
        <v>41</v>
      </c>
      <c r="B22" s="32" t="s">
        <v>42</v>
      </c>
      <c r="C22" s="30">
        <f>84854*$C$17*200</f>
        <v>519.81560400000012</v>
      </c>
    </row>
    <row r="23" spans="1:6" ht="32.25" thickBot="1">
      <c r="A23" s="31" t="s">
        <v>45</v>
      </c>
      <c r="B23" s="32" t="s">
        <v>46</v>
      </c>
      <c r="C23" s="30">
        <f>170156*$C$17*200</f>
        <v>1042.3756560000002</v>
      </c>
    </row>
    <row r="24" spans="1:6" ht="32.25" thickBot="1">
      <c r="A24" s="31" t="s">
        <v>47</v>
      </c>
      <c r="B24" s="32" t="s">
        <v>48</v>
      </c>
      <c r="C24" s="30">
        <f>377637*$C$17*200</f>
        <v>2313.404262</v>
      </c>
    </row>
    <row r="25" spans="1:6" ht="18" customHeight="1" thickBot="1">
      <c r="A25" s="31" t="s">
        <v>49</v>
      </c>
      <c r="B25" s="32" t="s">
        <v>50</v>
      </c>
      <c r="C25" s="30">
        <f>51508*$C$17*200</f>
        <v>315.53800800000005</v>
      </c>
    </row>
    <row r="26" spans="1:6" ht="32.25" thickBot="1">
      <c r="A26" s="31" t="s">
        <v>59</v>
      </c>
      <c r="B26" s="32" t="s">
        <v>60</v>
      </c>
      <c r="C26" s="30">
        <f>16199*$C$17*200</f>
        <v>99.235074000000012</v>
      </c>
    </row>
    <row r="27" spans="1:6" ht="17.25" customHeight="1" thickBot="1">
      <c r="A27" s="31" t="s">
        <v>61</v>
      </c>
      <c r="B27" s="32" t="s">
        <v>62</v>
      </c>
      <c r="C27" s="30">
        <f>106687*$C$17*200</f>
        <v>653.56456200000002</v>
      </c>
    </row>
    <row r="28" spans="1:6" ht="32.25" thickBot="1">
      <c r="A28" s="31" t="s">
        <v>63</v>
      </c>
      <c r="B28" s="34" t="s">
        <v>64</v>
      </c>
      <c r="C28" s="30">
        <f>616784*$C$17*200</f>
        <v>3778.418784</v>
      </c>
    </row>
    <row r="29" spans="1:6" ht="15.75">
      <c r="A29" s="116" t="s">
        <v>29</v>
      </c>
      <c r="B29" s="117"/>
      <c r="C29" s="35">
        <f>SUM(C18:C28)</f>
        <v>17403.263351475598</v>
      </c>
    </row>
    <row r="30" spans="1:6" ht="15.75">
      <c r="A30" s="118" t="s">
        <v>65</v>
      </c>
      <c r="B30" s="119"/>
      <c r="C30" s="36">
        <f>C29+C15</f>
        <v>37092.633431475595</v>
      </c>
    </row>
    <row r="31" spans="1:6" ht="15.75">
      <c r="A31" s="1"/>
      <c r="B31" s="1"/>
      <c r="C31" s="37"/>
    </row>
    <row r="32" spans="1:6" ht="15.75">
      <c r="A32" s="103" t="s">
        <v>66</v>
      </c>
      <c r="B32" s="104"/>
      <c r="C32" s="38">
        <v>200</v>
      </c>
    </row>
    <row r="33" spans="1:3" ht="15.75">
      <c r="A33" s="103" t="s">
        <v>67</v>
      </c>
      <c r="B33" s="104"/>
      <c r="C33" s="39">
        <f>C30/C32</f>
        <v>185.46316715737797</v>
      </c>
    </row>
  </sheetData>
  <mergeCells count="14">
    <mergeCell ref="A32:B32"/>
    <mergeCell ref="A33:B33"/>
    <mergeCell ref="A11:C11"/>
    <mergeCell ref="A12:A13"/>
    <mergeCell ref="A15:B15"/>
    <mergeCell ref="A16:C16"/>
    <mergeCell ref="A29:B29"/>
    <mergeCell ref="A30:B30"/>
    <mergeCell ref="A8:B8"/>
    <mergeCell ref="B1:C1"/>
    <mergeCell ref="A3:C3"/>
    <mergeCell ref="A5:C5"/>
    <mergeCell ref="A6:C6"/>
    <mergeCell ref="A7:C7"/>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A1BC1-55CE-4D4F-8AEA-5C7AD34253AF}">
  <sheetPr>
    <tabColor theme="2" tint="-9.9978637043366805E-2"/>
  </sheetPr>
  <dimension ref="A1:F33"/>
  <sheetViews>
    <sheetView zoomScaleNormal="100" workbookViewId="0">
      <selection activeCell="K6" sqref="K6"/>
    </sheetView>
  </sheetViews>
  <sheetFormatPr defaultRowHeight="12.75"/>
  <cols>
    <col min="1" max="1" width="10.7109375" customWidth="1"/>
    <col min="2" max="2" width="98.85546875" customWidth="1"/>
    <col min="3" max="3" width="25.5703125" customWidth="1"/>
  </cols>
  <sheetData>
    <row r="1" spans="1:6" ht="73.5" customHeight="1">
      <c r="A1" s="40"/>
      <c r="B1" s="99" t="s">
        <v>308</v>
      </c>
      <c r="C1" s="99"/>
    </row>
    <row r="2" spans="1:6" ht="15.75">
      <c r="A2" s="40"/>
      <c r="B2" s="42"/>
      <c r="C2" s="42"/>
    </row>
    <row r="3" spans="1:6" ht="15.75">
      <c r="A3" s="100" t="s">
        <v>91</v>
      </c>
      <c r="B3" s="100"/>
      <c r="C3" s="100"/>
    </row>
    <row r="4" spans="1:6" ht="15.75">
      <c r="A4" s="40"/>
      <c r="B4" s="40"/>
      <c r="C4" s="40"/>
    </row>
    <row r="5" spans="1:6" ht="15.75">
      <c r="A5" s="101" t="s">
        <v>92</v>
      </c>
      <c r="B5" s="101"/>
      <c r="C5" s="101"/>
    </row>
    <row r="6" spans="1:6" ht="30" customHeight="1">
      <c r="A6" s="102" t="s">
        <v>189</v>
      </c>
      <c r="B6" s="102"/>
      <c r="C6" s="102"/>
    </row>
    <row r="7" spans="1:6" ht="15.75">
      <c r="A7" s="101" t="s">
        <v>94</v>
      </c>
      <c r="B7" s="101"/>
      <c r="C7" s="101"/>
    </row>
    <row r="8" spans="1:6" ht="15.75">
      <c r="A8" s="98" t="s">
        <v>141</v>
      </c>
      <c r="B8" s="98"/>
      <c r="C8" s="40"/>
    </row>
    <row r="9" spans="1:6" ht="15.75">
      <c r="A9" s="43"/>
      <c r="B9" s="43"/>
      <c r="C9" s="40"/>
    </row>
    <row r="10" spans="1:6" ht="63">
      <c r="A10" s="14" t="s">
        <v>24</v>
      </c>
      <c r="B10" s="15" t="s">
        <v>25</v>
      </c>
      <c r="C10" s="16" t="s">
        <v>30</v>
      </c>
    </row>
    <row r="11" spans="1:6" ht="16.5" thickBot="1">
      <c r="A11" s="105" t="s">
        <v>26</v>
      </c>
      <c r="B11" s="106"/>
      <c r="C11" s="107"/>
    </row>
    <row r="12" spans="1:6" ht="18.75" customHeight="1">
      <c r="A12" s="108" t="s">
        <v>31</v>
      </c>
      <c r="B12" s="46" t="s">
        <v>190</v>
      </c>
      <c r="C12" s="18">
        <f>(8.107*2)*5</f>
        <v>81.069999999999993</v>
      </c>
    </row>
    <row r="13" spans="1:6" ht="16.5" thickBot="1">
      <c r="A13" s="110"/>
      <c r="B13" s="47" t="s">
        <v>191</v>
      </c>
      <c r="C13" s="18">
        <f>(11.807*2.25)*5</f>
        <v>132.82875000000001</v>
      </c>
    </row>
    <row r="14" spans="1:6" ht="32.25" thickBot="1">
      <c r="A14" s="21" t="s">
        <v>32</v>
      </c>
      <c r="B14" s="48" t="s">
        <v>167</v>
      </c>
      <c r="C14" s="23">
        <f>SUM(C12:C13)*0.2359</f>
        <v>50.458715125000005</v>
      </c>
    </row>
    <row r="15" spans="1:6" ht="15.75">
      <c r="A15" s="111" t="s">
        <v>27</v>
      </c>
      <c r="B15" s="112"/>
      <c r="C15" s="24">
        <f>SUM(C12:C14)</f>
        <v>264.35746512500003</v>
      </c>
      <c r="F15" s="45">
        <f>C15+C18+C19</f>
        <v>366.94890184935002</v>
      </c>
    </row>
    <row r="16" spans="1:6" ht="16.5" thickBot="1">
      <c r="A16" s="113" t="s">
        <v>28</v>
      </c>
      <c r="B16" s="114"/>
      <c r="C16" s="115"/>
      <c r="F16" s="45">
        <f>C20+C21+C22+C23+C24+C25+C26</f>
        <v>71.565889499999997</v>
      </c>
    </row>
    <row r="17" spans="1:6" ht="15.75">
      <c r="A17" s="25"/>
      <c r="B17" s="26" t="s">
        <v>34</v>
      </c>
      <c r="C17" s="27">
        <v>1.645E-5</v>
      </c>
      <c r="F17" s="45">
        <f>C27+C28</f>
        <v>59.505489750000002</v>
      </c>
    </row>
    <row r="18" spans="1:6" ht="16.5" thickBot="1">
      <c r="A18" s="28" t="s">
        <v>35</v>
      </c>
      <c r="B18" s="29" t="s">
        <v>36</v>
      </c>
      <c r="C18" s="30">
        <f>1009234*$C$17*5</f>
        <v>83.009496499999997</v>
      </c>
    </row>
    <row r="19" spans="1:6" ht="32.25" thickBot="1">
      <c r="A19" s="31" t="s">
        <v>32</v>
      </c>
      <c r="B19" s="32" t="s">
        <v>33</v>
      </c>
      <c r="C19" s="30">
        <f>C18*0.2359</f>
        <v>19.581940224349999</v>
      </c>
    </row>
    <row r="20" spans="1:6" ht="32.25" thickBot="1">
      <c r="A20" s="31" t="s">
        <v>37</v>
      </c>
      <c r="B20" s="32" t="s">
        <v>38</v>
      </c>
      <c r="C20" s="30">
        <f>93709*$C$17*5</f>
        <v>7.70756525</v>
      </c>
    </row>
    <row r="21" spans="1:6" ht="19.5" customHeight="1" thickBot="1">
      <c r="A21" s="31" t="s">
        <v>39</v>
      </c>
      <c r="B21" s="32" t="s">
        <v>40</v>
      </c>
      <c r="C21" s="30">
        <f>76039*$C$17*5</f>
        <v>6.2542077500000008</v>
      </c>
    </row>
    <row r="22" spans="1:6" ht="18.75" customHeight="1" thickBot="1">
      <c r="A22" s="31" t="s">
        <v>41</v>
      </c>
      <c r="B22" s="32" t="s">
        <v>42</v>
      </c>
      <c r="C22" s="30">
        <f>84854*$C$17*5</f>
        <v>6.9792414999999997</v>
      </c>
    </row>
    <row r="23" spans="1:6" ht="32.25" thickBot="1">
      <c r="A23" s="31" t="s">
        <v>45</v>
      </c>
      <c r="B23" s="32" t="s">
        <v>46</v>
      </c>
      <c r="C23" s="30">
        <f>170156*$C$17*5</f>
        <v>13.995331</v>
      </c>
    </row>
    <row r="24" spans="1:6" ht="32.25" thickBot="1">
      <c r="A24" s="31" t="s">
        <v>47</v>
      </c>
      <c r="B24" s="32" t="s">
        <v>48</v>
      </c>
      <c r="C24" s="30">
        <f>377637*$C$17*5</f>
        <v>31.060643250000002</v>
      </c>
    </row>
    <row r="25" spans="1:6" ht="16.5" customHeight="1" thickBot="1">
      <c r="A25" s="31" t="s">
        <v>49</v>
      </c>
      <c r="B25" s="32" t="s">
        <v>50</v>
      </c>
      <c r="C25" s="30">
        <f>51508*$C$17*5</f>
        <v>4.2365329999999997</v>
      </c>
    </row>
    <row r="26" spans="1:6" ht="32.25" thickBot="1">
      <c r="A26" s="31" t="s">
        <v>59</v>
      </c>
      <c r="B26" s="32" t="s">
        <v>60</v>
      </c>
      <c r="C26" s="30">
        <f>16199*$C$17*5</f>
        <v>1.33236775</v>
      </c>
    </row>
    <row r="27" spans="1:6" ht="19.5" customHeight="1" thickBot="1">
      <c r="A27" s="31" t="s">
        <v>61</v>
      </c>
      <c r="B27" s="32" t="s">
        <v>62</v>
      </c>
      <c r="C27" s="30">
        <f>106687*$C$17*5</f>
        <v>8.77500575</v>
      </c>
    </row>
    <row r="28" spans="1:6" ht="32.25" thickBot="1">
      <c r="A28" s="31" t="s">
        <v>63</v>
      </c>
      <c r="B28" s="34" t="s">
        <v>64</v>
      </c>
      <c r="C28" s="30">
        <f>616784*$C$17*5</f>
        <v>50.730484000000004</v>
      </c>
    </row>
    <row r="29" spans="1:6" ht="15.75">
      <c r="A29" s="116" t="s">
        <v>29</v>
      </c>
      <c r="B29" s="117"/>
      <c r="C29" s="35">
        <f>SUM(C18:C28)</f>
        <v>233.66281597435</v>
      </c>
    </row>
    <row r="30" spans="1:6" ht="15.75">
      <c r="A30" s="118" t="s">
        <v>65</v>
      </c>
      <c r="B30" s="119"/>
      <c r="C30" s="36">
        <f>C29+C15</f>
        <v>498.02028109935003</v>
      </c>
    </row>
    <row r="31" spans="1:6" ht="15.75">
      <c r="A31" s="1"/>
      <c r="B31" s="1"/>
      <c r="C31" s="37"/>
    </row>
    <row r="32" spans="1:6" ht="15.75">
      <c r="A32" s="103" t="s">
        <v>66</v>
      </c>
      <c r="B32" s="104"/>
      <c r="C32" s="38">
        <v>5</v>
      </c>
    </row>
    <row r="33" spans="1:3" ht="15.75">
      <c r="A33" s="103" t="s">
        <v>67</v>
      </c>
      <c r="B33" s="104"/>
      <c r="C33" s="39">
        <f>ROUND(C30/C32,2)</f>
        <v>99.6</v>
      </c>
    </row>
  </sheetData>
  <mergeCells count="14">
    <mergeCell ref="A32:B32"/>
    <mergeCell ref="A33:B33"/>
    <mergeCell ref="A11:C11"/>
    <mergeCell ref="A12:A13"/>
    <mergeCell ref="A15:B15"/>
    <mergeCell ref="A16:C16"/>
    <mergeCell ref="A29:B29"/>
    <mergeCell ref="A30:B30"/>
    <mergeCell ref="A8:B8"/>
    <mergeCell ref="B1:C1"/>
    <mergeCell ref="A3:C3"/>
    <mergeCell ref="A5:C5"/>
    <mergeCell ref="A6:C6"/>
    <mergeCell ref="A7:C7"/>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CFB322-A54E-4007-979B-3D7CB671DDF7}">
  <sheetPr>
    <tabColor rgb="FF7030A0"/>
  </sheetPr>
  <dimension ref="A1:F44"/>
  <sheetViews>
    <sheetView workbookViewId="0">
      <selection activeCell="D25" sqref="D25"/>
    </sheetView>
  </sheetViews>
  <sheetFormatPr defaultRowHeight="12.75"/>
  <cols>
    <col min="1" max="1" width="10.7109375" customWidth="1"/>
    <col min="2" max="2" width="98.7109375" customWidth="1"/>
    <col min="3" max="3" width="25.5703125" customWidth="1"/>
  </cols>
  <sheetData>
    <row r="1" spans="1:6" ht="15.75">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57" customHeight="1">
      <c r="A6" s="102" t="s">
        <v>315</v>
      </c>
      <c r="B6" s="102"/>
      <c r="C6" s="102"/>
    </row>
    <row r="7" spans="1:6" ht="15.75">
      <c r="A7" s="101" t="s">
        <v>94</v>
      </c>
      <c r="B7" s="101"/>
      <c r="C7" s="101"/>
    </row>
    <row r="8" spans="1:6" ht="15.75">
      <c r="A8" s="98" t="s">
        <v>316</v>
      </c>
      <c r="B8" s="98"/>
      <c r="C8" s="40"/>
    </row>
    <row r="9" spans="1:6" ht="15.75">
      <c r="A9" s="43"/>
      <c r="B9" s="43"/>
      <c r="C9" s="40"/>
    </row>
    <row r="10" spans="1:6" ht="63">
      <c r="A10" s="14" t="s">
        <v>24</v>
      </c>
      <c r="B10" s="15" t="s">
        <v>25</v>
      </c>
      <c r="C10" s="16" t="s">
        <v>30</v>
      </c>
    </row>
    <row r="11" spans="1:6" ht="16.5" thickBot="1">
      <c r="A11" s="105" t="s">
        <v>26</v>
      </c>
      <c r="B11" s="106"/>
      <c r="C11" s="107"/>
    </row>
    <row r="12" spans="1:6" ht="15.75">
      <c r="A12" s="108" t="s">
        <v>31</v>
      </c>
      <c r="B12" s="55" t="s">
        <v>317</v>
      </c>
      <c r="C12" s="18">
        <f>(8.6785*0.25)*800</f>
        <v>1735.6999999999998</v>
      </c>
    </row>
    <row r="13" spans="1:6" ht="15.75">
      <c r="A13" s="109"/>
      <c r="B13" s="56" t="s">
        <v>318</v>
      </c>
      <c r="C13" s="18">
        <f>(11.3357*1)*800</f>
        <v>9068.56</v>
      </c>
    </row>
    <row r="14" spans="1:6" ht="16.5" thickBot="1">
      <c r="A14" s="59"/>
      <c r="B14" s="57" t="s">
        <v>319</v>
      </c>
      <c r="C14" s="18">
        <f>(18.6073*0.25)*800</f>
        <v>3721.4599999999996</v>
      </c>
    </row>
    <row r="15" spans="1:6" ht="31.5">
      <c r="A15" s="21" t="s">
        <v>32</v>
      </c>
      <c r="B15" s="58" t="s">
        <v>33</v>
      </c>
      <c r="C15" s="23">
        <f>SUM(C12:C14)*0.2359</f>
        <v>3426.6173479999993</v>
      </c>
    </row>
    <row r="16" spans="1:6" ht="15.75">
      <c r="A16" s="111" t="s">
        <v>27</v>
      </c>
      <c r="B16" s="112"/>
      <c r="C16" s="24">
        <f>SUM(C12:C15)</f>
        <v>17952.337347999997</v>
      </c>
      <c r="F16" s="45">
        <f>C16+C19+C20</f>
        <v>24917.330003999996</v>
      </c>
    </row>
    <row r="17" spans="1:6" ht="16.5" thickBot="1">
      <c r="A17" s="113" t="s">
        <v>28</v>
      </c>
      <c r="B17" s="114"/>
      <c r="C17" s="115"/>
      <c r="F17" s="45">
        <f>C21+C22+C23+C24+C25+C26+C27+C28+C29+C30+C31</f>
        <v>5846.5708480000003</v>
      </c>
    </row>
    <row r="18" spans="1:6" ht="15.75">
      <c r="A18" s="25"/>
      <c r="B18" s="26" t="s">
        <v>34</v>
      </c>
      <c r="C18" s="27">
        <v>6.9800000000000001E-6</v>
      </c>
      <c r="F18" s="45">
        <f>C32+C33</f>
        <v>4039.8620640000004</v>
      </c>
    </row>
    <row r="19" spans="1:6" ht="32.25" thickBot="1">
      <c r="A19" s="28" t="s">
        <v>35</v>
      </c>
      <c r="B19" s="53" t="s">
        <v>36</v>
      </c>
      <c r="C19" s="30">
        <f>1009234*$C$18*800</f>
        <v>5635.5626560000001</v>
      </c>
    </row>
    <row r="20" spans="1:6" ht="32.25" thickBot="1">
      <c r="A20" s="31" t="s">
        <v>32</v>
      </c>
      <c r="B20" s="32" t="s">
        <v>33</v>
      </c>
      <c r="C20" s="33">
        <f>ROUND(C19*0.2359,2)</f>
        <v>1329.43</v>
      </c>
    </row>
    <row r="21" spans="1:6" ht="32.25" thickBot="1">
      <c r="A21" s="31" t="s">
        <v>37</v>
      </c>
      <c r="B21" s="32" t="s">
        <v>38</v>
      </c>
      <c r="C21" s="30">
        <f>93709*$C$18*800</f>
        <v>523.27105600000004</v>
      </c>
    </row>
    <row r="22" spans="1:6" ht="32.25" thickBot="1">
      <c r="A22" s="31" t="s">
        <v>39</v>
      </c>
      <c r="B22" s="32" t="s">
        <v>40</v>
      </c>
      <c r="C22" s="30">
        <f>76039*$C$18*800</f>
        <v>424.60177599999997</v>
      </c>
    </row>
    <row r="23" spans="1:6" ht="32.25" thickBot="1">
      <c r="A23" s="31" t="s">
        <v>41</v>
      </c>
      <c r="B23" s="32" t="s">
        <v>42</v>
      </c>
      <c r="C23" s="30">
        <f>84854*$C$18*800</f>
        <v>473.82473599999997</v>
      </c>
    </row>
    <row r="24" spans="1:6" ht="16.5" thickBot="1">
      <c r="A24" s="31" t="s">
        <v>43</v>
      </c>
      <c r="B24" s="32" t="s">
        <v>247</v>
      </c>
      <c r="C24" s="30">
        <f>127766*$C$18*800</f>
        <v>713.44534399999998</v>
      </c>
    </row>
    <row r="25" spans="1:6" ht="32.25" thickBot="1">
      <c r="A25" s="31" t="s">
        <v>45</v>
      </c>
      <c r="B25" s="32" t="s">
        <v>46</v>
      </c>
      <c r="C25" s="30">
        <f>170156*$C$18*800</f>
        <v>950.15110400000003</v>
      </c>
    </row>
    <row r="26" spans="1:6" ht="32.25" thickBot="1">
      <c r="A26" s="31" t="s">
        <v>47</v>
      </c>
      <c r="B26" s="32" t="s">
        <v>48</v>
      </c>
      <c r="C26" s="30">
        <f>377637*$C$18*800</f>
        <v>2108.7250079999999</v>
      </c>
    </row>
    <row r="27" spans="1:6" ht="32.25" thickBot="1">
      <c r="A27" s="31" t="s">
        <v>49</v>
      </c>
      <c r="B27" s="32" t="s">
        <v>50</v>
      </c>
      <c r="C27" s="30">
        <f>51508*$C$18*800</f>
        <v>287.62067200000001</v>
      </c>
    </row>
    <row r="28" spans="1:6" ht="32.25" thickBot="1">
      <c r="A28" s="31" t="s">
        <v>51</v>
      </c>
      <c r="B28" s="32" t="s">
        <v>52</v>
      </c>
      <c r="C28" s="30">
        <f>27437*$C$18*800</f>
        <v>153.20820800000001</v>
      </c>
    </row>
    <row r="29" spans="1:6" ht="32.25" thickBot="1">
      <c r="A29" s="31" t="s">
        <v>55</v>
      </c>
      <c r="B29" s="32" t="s">
        <v>56</v>
      </c>
      <c r="C29" s="30">
        <f>13237*$C$18*800</f>
        <v>73.915407999999999</v>
      </c>
    </row>
    <row r="30" spans="1:6" ht="32.25" thickBot="1">
      <c r="A30" s="31" t="s">
        <v>57</v>
      </c>
      <c r="B30" s="32" t="s">
        <v>58</v>
      </c>
      <c r="C30" s="30">
        <f>8480*$C$18*800</f>
        <v>47.352320000000006</v>
      </c>
    </row>
    <row r="31" spans="1:6" ht="32.25" thickBot="1">
      <c r="A31" s="31" t="s">
        <v>59</v>
      </c>
      <c r="B31" s="32" t="s">
        <v>60</v>
      </c>
      <c r="C31" s="30">
        <f>16199*$C$18*800</f>
        <v>90.455216000000007</v>
      </c>
    </row>
    <row r="32" spans="1:6" ht="32.25" thickBot="1">
      <c r="A32" s="31" t="s">
        <v>61</v>
      </c>
      <c r="B32" s="32" t="s">
        <v>62</v>
      </c>
      <c r="C32" s="30">
        <f>106687*$C$18*800</f>
        <v>595.74020800000005</v>
      </c>
    </row>
    <row r="33" spans="1:3" ht="32.25" thickBot="1">
      <c r="A33" s="31" t="s">
        <v>63</v>
      </c>
      <c r="B33" s="34" t="s">
        <v>64</v>
      </c>
      <c r="C33" s="30">
        <f>616784*$C$18*800</f>
        <v>3444.1218560000002</v>
      </c>
    </row>
    <row r="34" spans="1:3" ht="15.75">
      <c r="A34" s="116" t="s">
        <v>29</v>
      </c>
      <c r="B34" s="117"/>
      <c r="C34" s="35">
        <f>SUM(C19:C33)</f>
        <v>16851.425568000002</v>
      </c>
    </row>
    <row r="35" spans="1:3" ht="15.75">
      <c r="A35" s="118" t="s">
        <v>65</v>
      </c>
      <c r="B35" s="119"/>
      <c r="C35" s="36">
        <f>ROUND(C34+C16,2)</f>
        <v>34803.760000000002</v>
      </c>
    </row>
    <row r="36" spans="1:3" ht="15.75">
      <c r="A36" s="1"/>
      <c r="B36" s="1"/>
      <c r="C36" s="37"/>
    </row>
    <row r="37" spans="1:3" ht="15.75">
      <c r="A37" s="103" t="s">
        <v>66</v>
      </c>
      <c r="B37" s="104"/>
      <c r="C37" s="38">
        <v>800</v>
      </c>
    </row>
    <row r="38" spans="1:3" ht="15.75">
      <c r="A38" s="103" t="s">
        <v>67</v>
      </c>
      <c r="B38" s="104"/>
      <c r="C38" s="39">
        <f>ROUND(C35/C37,2)</f>
        <v>43.5</v>
      </c>
    </row>
    <row r="44" spans="1:3">
      <c r="C44" s="45"/>
    </row>
  </sheetData>
  <mergeCells count="14">
    <mergeCell ref="A37:B37"/>
    <mergeCell ref="A38:B38"/>
    <mergeCell ref="A11:C11"/>
    <mergeCell ref="A12:A13"/>
    <mergeCell ref="A16:B16"/>
    <mergeCell ref="A17:C17"/>
    <mergeCell ref="A34:B34"/>
    <mergeCell ref="A35:B35"/>
    <mergeCell ref="A8:B8"/>
    <mergeCell ref="B1:C1"/>
    <mergeCell ref="A3:C3"/>
    <mergeCell ref="A5:C5"/>
    <mergeCell ref="A6:C6"/>
    <mergeCell ref="A7:C7"/>
  </mergeCell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AA17C-17B5-41D7-8C16-01EA6C20AF2D}">
  <sheetPr>
    <tabColor rgb="FF7030A0"/>
  </sheetPr>
  <dimension ref="A1:F42"/>
  <sheetViews>
    <sheetView workbookViewId="0">
      <selection activeCell="N17" sqref="N17"/>
    </sheetView>
  </sheetViews>
  <sheetFormatPr defaultRowHeight="12.75"/>
  <cols>
    <col min="1" max="1" width="10.7109375" customWidth="1"/>
    <col min="2" max="2" width="98.7109375" customWidth="1"/>
    <col min="3" max="3" width="25.5703125" customWidth="1"/>
  </cols>
  <sheetData>
    <row r="1" spans="1:6" ht="15.75">
      <c r="A1" s="40"/>
      <c r="B1" s="99" t="s">
        <v>308</v>
      </c>
      <c r="C1" s="99"/>
    </row>
    <row r="2" spans="1:6" ht="15.75">
      <c r="A2" s="40"/>
      <c r="B2" s="40"/>
      <c r="C2" s="40"/>
    </row>
    <row r="3" spans="1:6" ht="15.75">
      <c r="A3" s="100" t="s">
        <v>91</v>
      </c>
      <c r="B3" s="100"/>
      <c r="C3" s="100"/>
    </row>
    <row r="4" spans="1:6" ht="15.75">
      <c r="A4" s="40"/>
      <c r="B4" s="40"/>
      <c r="C4" s="40"/>
    </row>
    <row r="5" spans="1:6" ht="15.75">
      <c r="A5" s="101" t="s">
        <v>92</v>
      </c>
      <c r="B5" s="101"/>
      <c r="C5" s="101"/>
    </row>
    <row r="6" spans="1:6" ht="49.5" customHeight="1">
      <c r="A6" s="102" t="s">
        <v>320</v>
      </c>
      <c r="B6" s="102"/>
      <c r="C6" s="102"/>
    </row>
    <row r="7" spans="1:6" ht="15.75">
      <c r="A7" s="101" t="s">
        <v>94</v>
      </c>
      <c r="B7" s="101"/>
      <c r="C7" s="101"/>
    </row>
    <row r="8" spans="1:6" ht="15.75">
      <c r="A8" s="98" t="s">
        <v>168</v>
      </c>
      <c r="B8" s="98"/>
      <c r="C8" s="40"/>
    </row>
    <row r="9" spans="1:6" ht="15.75">
      <c r="A9" s="43"/>
      <c r="B9" s="43"/>
      <c r="C9" s="40"/>
    </row>
    <row r="10" spans="1:6" ht="63">
      <c r="A10" s="14" t="s">
        <v>24</v>
      </c>
      <c r="B10" s="15" t="s">
        <v>25</v>
      </c>
      <c r="C10" s="16" t="s">
        <v>30</v>
      </c>
    </row>
    <row r="11" spans="1:6" ht="15.75">
      <c r="A11" s="105" t="s">
        <v>26</v>
      </c>
      <c r="B11" s="106"/>
      <c r="C11" s="107"/>
    </row>
    <row r="12" spans="1:6" ht="15.75">
      <c r="A12" s="91"/>
      <c r="B12" s="56" t="s">
        <v>321</v>
      </c>
      <c r="C12" s="18">
        <f>(11.3357*0.75)*140</f>
        <v>1190.2484999999997</v>
      </c>
    </row>
    <row r="13" spans="1:6" ht="31.5">
      <c r="A13" s="21" t="s">
        <v>32</v>
      </c>
      <c r="B13" s="58" t="s">
        <v>33</v>
      </c>
      <c r="C13" s="23">
        <f>SUM(C12:C12)*0.2359</f>
        <v>280.77962114999991</v>
      </c>
    </row>
    <row r="14" spans="1:6" ht="15.75">
      <c r="A14" s="111" t="s">
        <v>27</v>
      </c>
      <c r="B14" s="112"/>
      <c r="C14" s="24">
        <f>SUM(C12:C13)</f>
        <v>1471.0281211499996</v>
      </c>
      <c r="F14" s="45">
        <f>C14+C17+C18</f>
        <v>2042.0476923646795</v>
      </c>
    </row>
    <row r="15" spans="1:6" ht="16.5" thickBot="1">
      <c r="A15" s="113" t="s">
        <v>28</v>
      </c>
      <c r="B15" s="114"/>
      <c r="C15" s="115"/>
      <c r="F15" s="45">
        <f>C19+C20+C21+C22+C23+C24+C25+C26+C27+C28+C29</f>
        <v>479.3266716</v>
      </c>
    </row>
    <row r="16" spans="1:6" ht="15.75">
      <c r="A16" s="25"/>
      <c r="B16" s="26" t="s">
        <v>34</v>
      </c>
      <c r="C16" s="27">
        <v>3.27E-6</v>
      </c>
      <c r="F16" s="45">
        <f>C30+C31</f>
        <v>331.20502379999999</v>
      </c>
    </row>
    <row r="17" spans="1:3" ht="32.25" thickBot="1">
      <c r="A17" s="28" t="s">
        <v>35</v>
      </c>
      <c r="B17" s="53" t="s">
        <v>36</v>
      </c>
      <c r="C17" s="30">
        <f>1009234*$C$16*140</f>
        <v>462.02732520000001</v>
      </c>
    </row>
    <row r="18" spans="1:3" ht="32.25" thickBot="1">
      <c r="A18" s="31" t="s">
        <v>32</v>
      </c>
      <c r="B18" s="32" t="s">
        <v>33</v>
      </c>
      <c r="C18" s="33">
        <f>C17*0.2359</f>
        <v>108.99224601468001</v>
      </c>
    </row>
    <row r="19" spans="1:3" ht="32.25" thickBot="1">
      <c r="A19" s="31" t="s">
        <v>37</v>
      </c>
      <c r="B19" s="32" t="s">
        <v>38</v>
      </c>
      <c r="C19" s="30">
        <f>93709*$C$16*140</f>
        <v>42.899980200000002</v>
      </c>
    </row>
    <row r="20" spans="1:3" ht="32.25" thickBot="1">
      <c r="A20" s="31" t="s">
        <v>39</v>
      </c>
      <c r="B20" s="32" t="s">
        <v>40</v>
      </c>
      <c r="C20" s="30">
        <f>76039*$C$16*140</f>
        <v>34.810654200000002</v>
      </c>
    </row>
    <row r="21" spans="1:3" ht="32.25" thickBot="1">
      <c r="A21" s="31" t="s">
        <v>41</v>
      </c>
      <c r="B21" s="32" t="s">
        <v>42</v>
      </c>
      <c r="C21" s="30">
        <f>84854*$C$16*140</f>
        <v>38.846161200000004</v>
      </c>
    </row>
    <row r="22" spans="1:3" ht="16.5" thickBot="1">
      <c r="A22" s="31" t="s">
        <v>43</v>
      </c>
      <c r="B22" s="32" t="s">
        <v>247</v>
      </c>
      <c r="C22" s="30">
        <f>127766*$C$16*140</f>
        <v>58.491274799999999</v>
      </c>
    </row>
    <row r="23" spans="1:3" ht="32.25" thickBot="1">
      <c r="A23" s="31" t="s">
        <v>45</v>
      </c>
      <c r="B23" s="32" t="s">
        <v>46</v>
      </c>
      <c r="C23" s="30">
        <f>170156*$C$16*140</f>
        <v>77.897416800000002</v>
      </c>
    </row>
    <row r="24" spans="1:3" ht="32.25" thickBot="1">
      <c r="A24" s="31" t="s">
        <v>47</v>
      </c>
      <c r="B24" s="32" t="s">
        <v>48</v>
      </c>
      <c r="C24" s="30">
        <f>377637*$C$16*140</f>
        <v>172.88221859999999</v>
      </c>
    </row>
    <row r="25" spans="1:3" ht="32.25" thickBot="1">
      <c r="A25" s="31" t="s">
        <v>49</v>
      </c>
      <c r="B25" s="32" t="s">
        <v>50</v>
      </c>
      <c r="C25" s="30">
        <f>51508*$C$16*140</f>
        <v>23.580362399999999</v>
      </c>
    </row>
    <row r="26" spans="1:3" ht="32.25" thickBot="1">
      <c r="A26" s="31" t="s">
        <v>51</v>
      </c>
      <c r="B26" s="32" t="s">
        <v>52</v>
      </c>
      <c r="C26" s="30">
        <f>27437*$C$16*140</f>
        <v>12.5606586</v>
      </c>
    </row>
    <row r="27" spans="1:3" ht="32.25" thickBot="1">
      <c r="A27" s="31" t="s">
        <v>55</v>
      </c>
      <c r="B27" s="32" t="s">
        <v>56</v>
      </c>
      <c r="C27" s="30">
        <f>13237*$C$16*140</f>
        <v>6.0598986000000004</v>
      </c>
    </row>
    <row r="28" spans="1:3" ht="32.25" thickBot="1">
      <c r="A28" s="31" t="s">
        <v>57</v>
      </c>
      <c r="B28" s="32" t="s">
        <v>58</v>
      </c>
      <c r="C28" s="30">
        <f>8480*$C$16*140</f>
        <v>3.8821439999999998</v>
      </c>
    </row>
    <row r="29" spans="1:3" ht="32.25" thickBot="1">
      <c r="A29" s="31" t="s">
        <v>59</v>
      </c>
      <c r="B29" s="32" t="s">
        <v>60</v>
      </c>
      <c r="C29" s="30">
        <f>16199*$C$16*140</f>
        <v>7.4159021999999997</v>
      </c>
    </row>
    <row r="30" spans="1:3" ht="32.25" thickBot="1">
      <c r="A30" s="31" t="s">
        <v>61</v>
      </c>
      <c r="B30" s="32" t="s">
        <v>62</v>
      </c>
      <c r="C30" s="30">
        <f>106687*$C$16*140</f>
        <v>48.841308600000005</v>
      </c>
    </row>
    <row r="31" spans="1:3" ht="32.25" thickBot="1">
      <c r="A31" s="31" t="s">
        <v>63</v>
      </c>
      <c r="B31" s="34" t="s">
        <v>64</v>
      </c>
      <c r="C31" s="30">
        <f>616784*$C$16*140</f>
        <v>282.3637152</v>
      </c>
    </row>
    <row r="32" spans="1:3" ht="15.75">
      <c r="A32" s="116" t="s">
        <v>29</v>
      </c>
      <c r="B32" s="117"/>
      <c r="C32" s="35">
        <f>SUM(C17:C31)</f>
        <v>1381.5512666146797</v>
      </c>
    </row>
    <row r="33" spans="1:3" ht="15.75">
      <c r="A33" s="118" t="s">
        <v>65</v>
      </c>
      <c r="B33" s="119"/>
      <c r="C33" s="36">
        <f>C32+C14</f>
        <v>2852.5793877646793</v>
      </c>
    </row>
    <row r="34" spans="1:3" ht="15.75">
      <c r="A34" s="1"/>
      <c r="B34" s="1"/>
      <c r="C34" s="37"/>
    </row>
    <row r="35" spans="1:3" ht="15.75">
      <c r="A35" s="103" t="s">
        <v>66</v>
      </c>
      <c r="B35" s="104"/>
      <c r="C35" s="38">
        <v>140</v>
      </c>
    </row>
    <row r="36" spans="1:3" ht="15.75">
      <c r="A36" s="103" t="s">
        <v>67</v>
      </c>
      <c r="B36" s="104"/>
      <c r="C36" s="39">
        <f>ROUND(C33/C35,2)</f>
        <v>20.38</v>
      </c>
    </row>
    <row r="42" spans="1:3">
      <c r="C42" s="45"/>
    </row>
  </sheetData>
  <mergeCells count="13">
    <mergeCell ref="A36:B36"/>
    <mergeCell ref="A11:C11"/>
    <mergeCell ref="A14:B14"/>
    <mergeCell ref="A15:C15"/>
    <mergeCell ref="A32:B32"/>
    <mergeCell ref="A33:B33"/>
    <mergeCell ref="A35:B35"/>
    <mergeCell ref="A8:B8"/>
    <mergeCell ref="B1:C1"/>
    <mergeCell ref="A3:C3"/>
    <mergeCell ref="A5:C5"/>
    <mergeCell ref="A6:C6"/>
    <mergeCell ref="A7:C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85</vt:i4>
      </vt:variant>
      <vt:variant>
        <vt:lpstr>Named Ranges</vt:lpstr>
      </vt:variant>
      <vt:variant>
        <vt:i4>4</vt:i4>
      </vt:variant>
    </vt:vector>
  </HeadingPairs>
  <TitlesOfParts>
    <vt:vector size="89" baseType="lpstr">
      <vt:lpstr>4.6.</vt:lpstr>
      <vt:lpstr>5.1.</vt:lpstr>
      <vt:lpstr>15.1.</vt:lpstr>
      <vt:lpstr>15.2.</vt:lpstr>
      <vt:lpstr>35.1</vt:lpstr>
      <vt:lpstr>35.2.</vt:lpstr>
      <vt:lpstr>36.1.</vt:lpstr>
      <vt:lpstr>36.2.</vt:lpstr>
      <vt:lpstr>38.1.</vt:lpstr>
      <vt:lpstr>38.2.</vt:lpstr>
      <vt:lpstr>39.1.</vt:lpstr>
      <vt:lpstr>39.2.</vt:lpstr>
      <vt:lpstr>39.3</vt:lpstr>
      <vt:lpstr>39.4.</vt:lpstr>
      <vt:lpstr>39.5.</vt:lpstr>
      <vt:lpstr>39.6</vt:lpstr>
      <vt:lpstr>39.7.</vt:lpstr>
      <vt:lpstr>39.8.</vt:lpstr>
      <vt:lpstr>39.9.</vt:lpstr>
      <vt:lpstr>39.10.</vt:lpstr>
      <vt:lpstr>40.1.</vt:lpstr>
      <vt:lpstr>40.2.</vt:lpstr>
      <vt:lpstr>40.3.</vt:lpstr>
      <vt:lpstr>43.1</vt:lpstr>
      <vt:lpstr>43.2</vt:lpstr>
      <vt:lpstr>43.3</vt:lpstr>
      <vt:lpstr>43.4</vt:lpstr>
      <vt:lpstr>43.5</vt:lpstr>
      <vt:lpstr>43.6</vt:lpstr>
      <vt:lpstr>43.7</vt:lpstr>
      <vt:lpstr>45.1</vt:lpstr>
      <vt:lpstr>45.2</vt:lpstr>
      <vt:lpstr>45.3</vt:lpstr>
      <vt:lpstr>46.1</vt:lpstr>
      <vt:lpstr>46.2</vt:lpstr>
      <vt:lpstr>47</vt:lpstr>
      <vt:lpstr>48.1.1.</vt:lpstr>
      <vt:lpstr>48.1.2.</vt:lpstr>
      <vt:lpstr>48.2</vt:lpstr>
      <vt:lpstr>48.3</vt:lpstr>
      <vt:lpstr>48.4</vt:lpstr>
      <vt:lpstr>48.5</vt:lpstr>
      <vt:lpstr>48.6</vt:lpstr>
      <vt:lpstr>48.7</vt:lpstr>
      <vt:lpstr>48.8</vt:lpstr>
      <vt:lpstr>48.9</vt:lpstr>
      <vt:lpstr>48.10.1</vt:lpstr>
      <vt:lpstr>48.10.2</vt:lpstr>
      <vt:lpstr>48.11.1</vt:lpstr>
      <vt:lpstr>48.11.2</vt:lpstr>
      <vt:lpstr>48.12</vt:lpstr>
      <vt:lpstr>48.13</vt:lpstr>
      <vt:lpstr>48.14</vt:lpstr>
      <vt:lpstr>48.15</vt:lpstr>
      <vt:lpstr>48.16</vt:lpstr>
      <vt:lpstr>48.17</vt:lpstr>
      <vt:lpstr>48.18</vt:lpstr>
      <vt:lpstr>48.19</vt:lpstr>
      <vt:lpstr>48.20</vt:lpstr>
      <vt:lpstr>48.21</vt:lpstr>
      <vt:lpstr>48.22</vt:lpstr>
      <vt:lpstr>48.23</vt:lpstr>
      <vt:lpstr>48.24</vt:lpstr>
      <vt:lpstr>48.25.1</vt:lpstr>
      <vt:lpstr>48.25.2</vt:lpstr>
      <vt:lpstr>48.25.3</vt:lpstr>
      <vt:lpstr>48.25.4</vt:lpstr>
      <vt:lpstr>48.25.5</vt:lpstr>
      <vt:lpstr>48.26.1</vt:lpstr>
      <vt:lpstr>48.26.2</vt:lpstr>
      <vt:lpstr>48.26.3</vt:lpstr>
      <vt:lpstr>48.26.4</vt:lpstr>
      <vt:lpstr>48.26.5</vt:lpstr>
      <vt:lpstr>48.27</vt:lpstr>
      <vt:lpstr>48.28</vt:lpstr>
      <vt:lpstr>49.</vt:lpstr>
      <vt:lpstr>50.1</vt:lpstr>
      <vt:lpstr>50.2.</vt:lpstr>
      <vt:lpstr>51</vt:lpstr>
      <vt:lpstr>52</vt:lpstr>
      <vt:lpstr>54.</vt:lpstr>
      <vt:lpstr>58.</vt:lpstr>
      <vt:lpstr>59.</vt:lpstr>
      <vt:lpstr>64.1</vt:lpstr>
      <vt:lpstr>64.2</vt:lpstr>
      <vt:lpstr>'48.1.1.'!Print_Area</vt:lpstr>
      <vt:lpstr>'48.19'!Print_Area</vt:lpstr>
      <vt:lpstr>'48.25.1'!Print_Area</vt:lpstr>
      <vt:lpstr>'48.25.2'!Print_Area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Tatjana Berdņikova</dc:creator>
  <cp:lastModifiedBy>Lāsma Zandberga</cp:lastModifiedBy>
  <cp:lastPrinted>2024-08-26T13:40:07Z</cp:lastPrinted>
  <dcterms:created xsi:type="dcterms:W3CDTF">2024-03-13T14:48:46Z</dcterms:created>
  <dcterms:modified xsi:type="dcterms:W3CDTF">2024-12-10T14:39:38Z</dcterms:modified>
</cp:coreProperties>
</file>