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vnozare.pri\vm\Redirect_profiles\VM_Ivita_Lazdina\Desktop\Not_1529\2024_GATAVOTIE_NOTEIKUMI\Ukraiņi_steidzamie\tap\Piejūras_Liepājas_redigeshana\"/>
    </mc:Choice>
  </mc:AlternateContent>
  <xr:revisionPtr revIDLastSave="0" documentId="13_ncr:1_{4D981F80-38DD-41DB-89A8-28D54D5DB334}" xr6:coauthVersionLast="47" xr6:coauthVersionMax="47" xr10:uidLastSave="{00000000-0000-0000-0000-000000000000}"/>
  <bookViews>
    <workbookView xWindow="45" yWindow="0" windowWidth="17010" windowHeight="15600" activeTab="2" xr2:uid="{D1F5A2FA-DC93-4D8D-AFEC-D6557D00DC16}"/>
  </bookViews>
  <sheets>
    <sheet name="1.pielikums" sheetId="8" r:id="rId1"/>
    <sheet name="2.pielikums" sheetId="9" r:id="rId2"/>
    <sheet name="3.pielikums"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7" l="1"/>
  <c r="K11" i="9"/>
  <c r="H11" i="9"/>
  <c r="L11" i="9" s="1"/>
  <c r="F11" i="9"/>
  <c r="K12" i="8" l="1"/>
  <c r="F22" i="8"/>
  <c r="K7" i="8" l="1"/>
  <c r="I5" i="8"/>
  <c r="E5" i="8"/>
  <c r="G5" i="8"/>
  <c r="K5" i="8"/>
  <c r="E6" i="8"/>
  <c r="G6" i="8"/>
  <c r="I6" i="8"/>
  <c r="K6" i="8"/>
  <c r="E7" i="8"/>
  <c r="G7" i="8"/>
  <c r="I7" i="8"/>
  <c r="D8" i="8"/>
  <c r="L8" i="8" s="1"/>
  <c r="F8" i="8"/>
  <c r="H8" i="8"/>
  <c r="E9" i="8"/>
  <c r="G9" i="8"/>
  <c r="I9" i="8"/>
  <c r="K9" i="8"/>
  <c r="E10" i="8"/>
  <c r="G10" i="8"/>
  <c r="I10" i="8"/>
  <c r="K10" i="8"/>
  <c r="E11" i="8"/>
  <c r="G11" i="8"/>
  <c r="I11" i="8"/>
  <c r="K11" i="8"/>
  <c r="D12" i="8"/>
  <c r="L12" i="8" s="1"/>
  <c r="F12" i="8"/>
  <c r="H12" i="8"/>
  <c r="E13" i="8"/>
  <c r="G13" i="8"/>
  <c r="I13" i="8"/>
  <c r="K13" i="8"/>
  <c r="E14" i="8"/>
  <c r="G14" i="8"/>
  <c r="I14" i="8"/>
  <c r="K14" i="8"/>
  <c r="E15" i="8"/>
  <c r="G15" i="8"/>
  <c r="I15" i="8"/>
  <c r="K15" i="8"/>
  <c r="D16" i="8"/>
  <c r="L16" i="8" s="1"/>
  <c r="F16" i="8"/>
  <c r="H16" i="8"/>
  <c r="K16" i="8"/>
  <c r="J17" i="8"/>
  <c r="D37" i="8"/>
  <c r="D38" i="8" s="1"/>
  <c r="D6" i="9"/>
  <c r="G5" i="9"/>
  <c r="F5" i="9"/>
  <c r="E5" i="9"/>
  <c r="G4" i="9"/>
  <c r="F4" i="9"/>
  <c r="E4" i="9"/>
  <c r="C38" i="8"/>
  <c r="D33" i="8"/>
  <c r="B33" i="8"/>
  <c r="E32" i="8"/>
  <c r="C32" i="8"/>
  <c r="F32" i="8" s="1"/>
  <c r="E31" i="8"/>
  <c r="C31" i="8"/>
  <c r="F24" i="8"/>
  <c r="F23" i="8"/>
  <c r="G6" i="9" l="1"/>
  <c r="E6" i="9"/>
  <c r="F6" i="9"/>
  <c r="E16" i="8"/>
  <c r="M16" i="8" s="1"/>
  <c r="F17" i="8"/>
  <c r="E12" i="8"/>
  <c r="M12" i="8" s="1"/>
  <c r="M17" i="8" s="1"/>
  <c r="G8" i="8"/>
  <c r="K8" i="8"/>
  <c r="K17" i="8" s="1"/>
  <c r="E8" i="8"/>
  <c r="L17" i="8"/>
  <c r="D17" i="8"/>
  <c r="G12" i="8"/>
  <c r="I16" i="8"/>
  <c r="H17" i="8"/>
  <c r="G16" i="8"/>
  <c r="C33" i="8"/>
  <c r="I12" i="8"/>
  <c r="I8" i="8"/>
  <c r="F25" i="8"/>
  <c r="E25" i="8"/>
  <c r="E33" i="8"/>
  <c r="D25" i="8"/>
  <c r="G32" i="8"/>
  <c r="G25" i="8" l="1"/>
  <c r="H25" i="8" s="1"/>
  <c r="E17" i="8"/>
  <c r="G17" i="8"/>
  <c r="I17" i="8"/>
  <c r="I25" i="8" l="1"/>
  <c r="F30" i="8" s="1"/>
  <c r="G30" i="8" s="1"/>
  <c r="J25" i="8"/>
  <c r="F31" i="8" l="1"/>
  <c r="G31" i="8" s="1"/>
  <c r="F33" i="8" l="1"/>
  <c r="G33" i="8"/>
  <c r="E4" i="7" l="1"/>
</calcChain>
</file>

<file path=xl/sharedStrings.xml><?xml version="1.0" encoding="utf-8"?>
<sst xmlns="http://schemas.openxmlformats.org/spreadsheetml/2006/main" count="133" uniqueCount="89">
  <si>
    <t>Ārstniecības iestādes nosaukums</t>
  </si>
  <si>
    <t>Manipulācijas kods</t>
  </si>
  <si>
    <t>Manipulācijas nosaukums</t>
  </si>
  <si>
    <t>Daugavpils reģionālā slimnīca</t>
  </si>
  <si>
    <t>50126</t>
  </si>
  <si>
    <t>Endovaskulāra trombektomija no precerebrālām un cerebrālām artērijām</t>
  </si>
  <si>
    <t>50127</t>
  </si>
  <si>
    <t>Piemaksa par atkārtotu etapu- Endovaskulāra trombektomija no precerebrālām un cerebrālām artērijām</t>
  </si>
  <si>
    <t>Paula Stradiņa klīniskā universitātes slimnīca</t>
  </si>
  <si>
    <t>50128</t>
  </si>
  <si>
    <t>Piemaksa par stenta ievietošanu - Endovaskulāra trombektomija no precerebrālām un cerebrālām artērijām</t>
  </si>
  <si>
    <t>Rīgas Austrumu klīniskā universitātes slimnīca</t>
  </si>
  <si>
    <t>KOPĀ</t>
  </si>
  <si>
    <t>Prognozētais pacientu skaits</t>
  </si>
  <si>
    <t>Prognozētais manipulāciju skaits</t>
  </si>
  <si>
    <t>Pakalpojumu programma</t>
  </si>
  <si>
    <t>Plānveida īslaicīgā ķirurģija. Ginekoloģija</t>
  </si>
  <si>
    <t>Kopā:</t>
  </si>
  <si>
    <t>Plānveida īslaicīgā ķirurģija. Vispārējā ķirurģija</t>
  </si>
  <si>
    <t>Pakalpojuma programma</t>
  </si>
  <si>
    <t>Atbilstoši iesniegtajiem rēķiniem apmaksājamie veselības aprūpes pakalpojumi- MK noteikumu Nr.555 7. pielikums- Endovaskulāra trombektomija no precerebrālām un cerebrālām artērijām</t>
  </si>
  <si>
    <t>Narkoloģija</t>
  </si>
  <si>
    <t>Ārstniecības iestāde</t>
  </si>
  <si>
    <t>Resursi izdevumu segšanai:</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</si>
  <si>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</si>
  <si>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</si>
  <si>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2024. gada 4 mēnešu dati</t>
  </si>
  <si>
    <t>Pacientu skaits 2024. gada 4 mēnešos</t>
  </si>
  <si>
    <t>Pacientu skaits 2024. gada 6 mēnešos</t>
  </si>
  <si>
    <t>Manipulāciju skaits 2024. gada 4 mēnešos</t>
  </si>
  <si>
    <t>Manipulāciju skaits 2024. gada 6 mēnešos</t>
  </si>
  <si>
    <t>Summa 2024. gada 4 mēnešos, euro</t>
  </si>
  <si>
    <t>Summa 2024. gada 6 mēnešos, euro</t>
  </si>
  <si>
    <t xml:space="preserve"> Iesniegto rēķinu summa 2024. gada 4 mēnešos, euro</t>
  </si>
  <si>
    <t xml:space="preserve"> Iesniegto rēķinu summa 2024. gada 6 mēnešos, euro</t>
  </si>
  <si>
    <t>Rēķina summa uz vienu pacientu 2024. gada 4 mēnešos, euro</t>
  </si>
  <si>
    <t>Rēķina summa uz vienu pacientu 2024. gada 6 mēnešos, euro</t>
  </si>
  <si>
    <t>Daugavpils reģionālā slimnīca*</t>
  </si>
  <si>
    <t>Prognozētā summa, euro</t>
  </si>
  <si>
    <t>Prognozēto iesniegto rēķinu summa, euro</t>
  </si>
  <si>
    <t>Prognozētā rēķina summa uz vienu pacientu, euro</t>
  </si>
  <si>
    <t>Kopā papildus nepieciešamais finansējums 2024.gada 6 mēnešos, euro</t>
  </si>
  <si>
    <t>Kopā papildus nepieciešamais finansējums 2025.gadā,  euro</t>
  </si>
  <si>
    <t>Ārstniecības iestādes nosaukums (pakalpojumu programma "Endovaskulāra trombektomija no precerebrālām un cerebrālām artērijām")</t>
  </si>
  <si>
    <t>Plāns 2024.gadam, euro</t>
  </si>
  <si>
    <t>Plāns 2024.gada 6 mēnešos (janvāris - jūnijs), euro</t>
  </si>
  <si>
    <t>Izpilde 2024. gada 4 mēnešos (janvāris - aprīlis, euro</t>
  </si>
  <si>
    <t>Izpilde 2024. gada 4 mēnešos (janvāris - aprīlis), %</t>
  </si>
  <si>
    <t>Plāns 2024.gada 6 mēnešos (jūlijs - decembris), euro</t>
  </si>
  <si>
    <t>Plāns 2024.gadam (janvāris - decembris), euro</t>
  </si>
  <si>
    <t xml:space="preserve">Nepieciešamais finansējums SIA "Daugavpils reģionālā slimnīca" no 2024. jūlija </t>
  </si>
  <si>
    <t>SIA "Daugavpils reģionālā slimnīca"</t>
  </si>
  <si>
    <t>VSIA "Paula Stradiņa klīniskā universitātes slimnīca"</t>
  </si>
  <si>
    <t>Ārstniecības iestāžu pakalpojumu programmas finansējuma plāns 2024.gadam (prognozētais finansējuma atlikums VSIA "Paula Stradiņa klīniskā universitātes slimnīca", kuru novirzīs SIA "Daugavpils reģionālā slimnīca")</t>
  </si>
  <si>
    <t>Papildus nepieciešamais finansējums SIA "Daugavpils reģionālā slimnīca" trombektomijas pakalpojumu nodrošināšanai*</t>
  </si>
  <si>
    <t>2.pielikums MK noteikumu projekta "Grozījumi Ministru kabineta 2018.gada 28.augusta noteikumos Nr.555 „Veselības aprūpes pakalpojumu organizēšanas un samaksas kārtība"" anotācijai</t>
  </si>
  <si>
    <t>AS "Latvijas Jūras medicīnas centrs" turpmāk sniegs valsts apmaksātus veselības aprūpes pakalpojumus plānveida īslaicīgās ķirurģijas pakalpojumu programmās (ginekoloģija un vispārīgā ķirurģija)</t>
  </si>
  <si>
    <t>Pacientu skaits 2024.gada 12 mēnešos</t>
  </si>
  <si>
    <t>Papildus nepieciešamais finansējums 2024.gada 12 mēnešos, euro</t>
  </si>
  <si>
    <t>Papildus nepieciešamais finansējums 2025.gadā, euro</t>
  </si>
  <si>
    <t>Pacientu skaits 2025.gadā</t>
  </si>
  <si>
    <t>* AS "Latvijas Jūras medicīnas centrs" DRG bāze un koeficients 2024. gadā</t>
  </si>
  <si>
    <t>* SIA "Jelgavas pilsētas slimnīca" DRG bāze un koeficients 2024. gadā</t>
  </si>
  <si>
    <t>Tarifs 2024.gadā, euro</t>
  </si>
  <si>
    <t>*Nacionālais veselības dienests veiks finanšu līdzekļu pārvirzīšanu no VSIA "Paula Stradiņa klīniskās universitātes slimnīca" uz SIA  "Daugavpils reģionālā slimnīca",  lai nodrošinātu endovaskulāro trombektomiju (insulta ārstēšanas procedūru) pieejamību pacientiem tuvāk viņu dzīvesvietai, kā arī, lai samazināt insulta seku smaguma pakāpi un uzlabotu pacienta atveseļošanās izredzes. Tiks veikta finanšu līdzekļu pārdale vienas pakalpojumu programmas ietvaros. Tieši šāds pats finanšu līdzekļu pārvirzīšanas princips vienas pakalpojumu programmas ietvaros starp stacionārajām ārstniecības iestādēm tiks saglabāts arī 2025.gadā un turpmāk ik gadu.</t>
  </si>
  <si>
    <t>*prognozētie dati uz 6 mēnešiem, balstoties uz 2024.gada 4 mēnešu izpildi</t>
  </si>
  <si>
    <t>Nepieciešamais finansējums 2024.gadā, euro</t>
  </si>
  <si>
    <t>Nepieciešamais finansējums 2025.gadā un turpmāk ik gadu, euro</t>
  </si>
  <si>
    <t>Papildus nepieciešamais finansējums 2024. gada 6 mēnešos, euro</t>
  </si>
  <si>
    <t>SIA "Jelgavas pilsētas slimnīca"</t>
  </si>
  <si>
    <t xml:space="preserve">Prognozētais pacientu skaits 2024.gada 12 mēnešos </t>
  </si>
  <si>
    <t>Prognozētais finansējums 2024.gada 12 mēnešos, euro</t>
  </si>
  <si>
    <t>Prognozētais pacientu skaits 2024.gada 4 mēnešos</t>
  </si>
  <si>
    <t>Prognozētais finansējums 2024.gada 4 mēnešos, euro</t>
  </si>
  <si>
    <t>Izpilde - pacientu skaits 2024. gada 4 mēnešos</t>
  </si>
  <si>
    <t>Izpilde - finansējums 2024.gada 4 mēnešos, euro</t>
  </si>
  <si>
    <t>Pacientu skaita starpība</t>
  </si>
  <si>
    <t>Finansējuma starpība, euro</t>
  </si>
  <si>
    <t xml:space="preserve">Nacionālais veselības dienests veiks finanšu līdzekļu pārvirzīšanu no SIA "Jelgavas pilsētas slimnīca" uz AS "Latvijas Jūras medicīnas centrs",  lai nodrošinātu pakalpojuma programmas "Plānveida īslaicīgā ķirurģijas" pacientu ārstēšanu. Finansējums tiks pārvirzīts no SIA "Jelgavas slimnīca", kurai uz 2024.gada 4 mēnešos datiem bija neizpildes uz ģeogrāfiski tuvāko stacionāro ārstniecības iestādi (AS "Latvijas Jūras medicīnas centrs", kas var nodrošināt šo pakalpojumu (veicot  SIA "Jelgavas pilsētas slimnīca" programmas "Plānveida īslaicīgā ķirurģijas" neapgūtā finansējuma horizontālo pārdali uz AS "Latvijas Jūras medicīnas centrs" 37 469 euro apmērā, atlikusī neapgūtā summa, kas uz doto brīdi sastāda 49 011 euro (86 480 euro - 37 469 euro) tiks pārdalīta programmas ietvaros uz citu ģeogrāfiski tuvāko stacionāru). Tiek prognozēts, ka šāds pats finanšu līdzekļu atlikums un  finanšu līdzekļu pārvirzīšanas princips vienas pakalpojumu programmas ietvaros uz ģeogrāfiski tuvākajām stacionārajām ārstniecības iestādēm tiks saglabāts arī 2025.gadā un turpmāk ik gadu.Pacienti tiek pārvirzīti no citām ģeogrāfiski tuvākajām stacionārajām ārstniecības iestādēm, lai uzlabotu pakalpojuma pieejamību tuvāk pacientu dzīvesvietai un mazinātu plānveida stacionāro pakalpojumu rindas.
</t>
  </si>
  <si>
    <t>Ar diagnozēm saistīto grupu (DRG) bāze*</t>
  </si>
  <si>
    <t>Ar diagnozēm saistīto grupu (DRG) koeficients*</t>
  </si>
  <si>
    <t>Ar diagnozēm saistīto grupu (DRG) fiksētais maksājums</t>
  </si>
  <si>
    <t>Nepieciešamais finansējums 2025.gadam un turpmāk ik gadu, euro</t>
  </si>
  <si>
    <t>Nepieciešamais finansējums 2024.gadam, euro</t>
  </si>
  <si>
    <t>Finansējuma pārvirzīšanas avots (apakšprogrammas 33.17.00 “Neatliekamās medicīniskās palīdzības nodrošināšana stacionārās ārstniecības iestādēs” ietvaros):</t>
  </si>
  <si>
    <t>Prognozētais pacientu skaits 2024.gada 6 mēnešiem</t>
  </si>
  <si>
    <t xml:space="preserve">Valsts apmaksātie veselības aprūpes pakalpojumi narkoloģijas programmā* </t>
  </si>
  <si>
    <t>apakšprogrammas 33.17.00 “Neatliekamās medicīniskās palīdzības nodrošināšana stacionārās ārstniecības iestādēs” ietvaros</t>
  </si>
  <si>
    <t>*SIA "Liepājas reģionālā slimnīca" narkoloģijas profilu nodrošina līdz brīdim, kad šo profilu sāk nodrošināt VSIA "Piejūras slimnīca", saglabājot finansējuma apjomu tādā pašā līmenī, kāds tas ir SIA "Liepājas reģionālās slimnīca".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</si>
</sst>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Aptos Narrow"/>
      <family val="2"/>
      <charset val="186"/>
      <scheme val="minor"/>
    </font>
    <font>
      <sz val="11"/>
      <color theme="1"/>
      <name val="Aptos Narrow"/>
      <family val="2"/>
      <charset val="186"/>
      <scheme val="minor"/>
    </font>
    <font>
      <b/>
      <sz val="10"/>
      <color theme="1"/>
      <name val="Times New Roman"/>
      <family val="1"/>
      <charset val="186"/>
    </font>
    <font>
      <sz val="10"/>
      <color theme="1"/>
      <name val="Times New Roman"/>
      <family val="1"/>
      <charset val="186"/>
    </font>
    <font>
      <b/>
      <sz val="10"/>
      <name val="Times New Roman"/>
      <family val="1"/>
      <charset val="186"/>
    </font>
    <font>
      <sz val="10"/>
      <name val="Times New Roman"/>
      <family val="1"/>
      <charset val="186"/>
    </font>
    <font>
      <sz val="10"/>
      <color rgb="FFFF0000"/>
      <name val="Times New Roman"/>
      <family val="1"/>
      <charset val="186"/>
    </font>
    <font>
      <i/>
      <sz val="10"/>
      <color theme="1"/>
      <name val="Times New Roman"/>
      <family val="1"/>
      <charset val="186"/>
    </font>
    <font>
      <b/>
      <sz val="10"/>
      <color theme="1"/>
      <name val="Times New Roman"/>
      <family val="1"/>
    </font>
    <font>
      <i/>
      <sz val="10"/>
      <color theme="1"/>
      <name val="Times New Roman"/>
      <family val="1"/>
    </font>
    <font>
      <sz val="8"/>
      <name val="Times New Roman"/>
      <family val="1"/>
      <charset val="186"/>
    </font>
    <font>
      <b/>
      <sz val="10"/>
      <name val="Times New Roman"/>
      <family val="1"/>
    </font>
    <font>
      <sz val="10"/>
      <color theme="1"/>
      <name val="Times New Roman"/>
      <family val="1"/>
    </font>
    <font>
      <sz val="10"/>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43" fontId="1" fillId="0" borderId="0" applyFont="0" applyFill="0" applyBorder="0" applyAlignment="0" applyProtection="0"/>
    <xf numFmtId="43" fontId="1" fillId="0" borderId="0" applyFont="0" applyFill="0" applyBorder="0" applyAlignment="0" applyProtection="0"/>
  </cellStyleXfs>
  <cellXfs count="87">
    <xf numFmtId="0" fontId="0" fillId="0" borderId="0" xfId="0"/>
    <xf numFmtId="0" fontId="2" fillId="0" borderId="0" xfId="0" applyFont="1"/>
    <xf numFmtId="0" fontId="3" fillId="0" borderId="0" xfId="0" applyFont="1"/>
    <xf numFmtId="164" fontId="3" fillId="0" borderId="0" xfId="0" applyNumberFormat="1" applyFont="1"/>
    <xf numFmtId="0" fontId="3" fillId="0" borderId="1" xfId="0" applyFont="1" applyBorder="1"/>
    <xf numFmtId="164" fontId="5" fillId="0" borderId="1" xfId="1" applyNumberFormat="1" applyFont="1" applyBorder="1" applyAlignment="1">
      <alignment horizontal="center" vertical="center"/>
    </xf>
    <xf numFmtId="0" fontId="7" fillId="0" borderId="0" xfId="0" applyFont="1"/>
    <xf numFmtId="3" fontId="3" fillId="0" borderId="0" xfId="0" applyNumberFormat="1" applyFont="1"/>
    <xf numFmtId="0" fontId="7" fillId="0" borderId="0" xfId="0" applyFont="1" applyAlignment="1">
      <alignment vertical="top" wrapText="1"/>
    </xf>
    <xf numFmtId="0" fontId="2" fillId="0" borderId="0" xfId="0" applyFont="1" applyAlignment="1">
      <alignment horizontal="center" vertical="center" wrapText="1"/>
    </xf>
    <xf numFmtId="3" fontId="2" fillId="0" borderId="0" xfId="0" applyNumberFormat="1" applyFont="1"/>
    <xf numFmtId="0" fontId="2" fillId="0" borderId="1" xfId="0" applyFont="1" applyBorder="1"/>
    <xf numFmtId="0" fontId="3" fillId="3"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applyAlignment="1">
      <alignment horizontal="left" vertical="center"/>
    </xf>
    <xf numFmtId="3"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8" fillId="0" borderId="0" xfId="0" applyFont="1"/>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9" fillId="0" borderId="0" xfId="0" applyFont="1"/>
    <xf numFmtId="0" fontId="3" fillId="4" borderId="0" xfId="0" applyFont="1" applyFill="1" applyAlignment="1">
      <alignment horizontal="center" vertical="center" wrapText="1"/>
    </xf>
    <xf numFmtId="0" fontId="3" fillId="4" borderId="0" xfId="0" applyFont="1" applyFill="1"/>
    <xf numFmtId="0" fontId="3" fillId="0" borderId="1" xfId="0" applyFont="1" applyBorder="1" applyAlignment="1">
      <alignment horizontal="center"/>
    </xf>
    <xf numFmtId="3" fontId="3" fillId="4" borderId="0" xfId="0" applyNumberFormat="1" applyFont="1" applyFill="1"/>
    <xf numFmtId="9" fontId="10" fillId="4" borderId="0" xfId="0" applyNumberFormat="1" applyFont="1" applyFill="1" applyAlignment="1">
      <alignment horizontal="right"/>
    </xf>
    <xf numFmtId="0" fontId="10" fillId="4" borderId="0" xfId="0" applyFont="1" applyFill="1" applyAlignment="1">
      <alignment horizontal="right"/>
    </xf>
    <xf numFmtId="3" fontId="10" fillId="4" borderId="0" xfId="0" applyNumberFormat="1" applyFont="1" applyFill="1" applyAlignment="1">
      <alignment horizontal="right"/>
    </xf>
    <xf numFmtId="0" fontId="4" fillId="3" borderId="1" xfId="0" applyFont="1" applyFill="1" applyBorder="1" applyAlignment="1">
      <alignment horizontal="center" vertical="center" wrapText="1"/>
    </xf>
    <xf numFmtId="164" fontId="4" fillId="3" borderId="1" xfId="1" applyNumberFormat="1" applyFont="1" applyFill="1" applyBorder="1" applyAlignment="1">
      <alignment horizontal="center" vertical="center" wrapText="1"/>
    </xf>
    <xf numFmtId="0" fontId="2" fillId="4" borderId="0" xfId="0" applyFont="1" applyFill="1"/>
    <xf numFmtId="0" fontId="4" fillId="4" borderId="0" xfId="0" applyFont="1" applyFill="1"/>
    <xf numFmtId="164" fontId="4" fillId="4" borderId="0" xfId="1" applyNumberFormat="1" applyFont="1" applyFill="1" applyBorder="1" applyAlignment="1">
      <alignment horizontal="center" vertical="center"/>
    </xf>
    <xf numFmtId="0" fontId="2" fillId="3" borderId="1" xfId="0" applyFont="1" applyFill="1" applyBorder="1"/>
    <xf numFmtId="164" fontId="4" fillId="3" borderId="1" xfId="1" applyNumberFormat="1" applyFont="1" applyFill="1" applyBorder="1" applyAlignment="1">
      <alignment horizontal="center" vertical="center"/>
    </xf>
    <xf numFmtId="0" fontId="2" fillId="2" borderId="1" xfId="0" applyFont="1" applyFill="1" applyBorder="1"/>
    <xf numFmtId="0" fontId="3" fillId="2" borderId="1" xfId="0" applyFont="1" applyFill="1" applyBorder="1"/>
    <xf numFmtId="164" fontId="5" fillId="2" borderId="1" xfId="1" applyNumberFormat="1" applyFont="1" applyFill="1" applyBorder="1" applyAlignment="1">
      <alignment horizontal="center" vertical="center"/>
    </xf>
    <xf numFmtId="0" fontId="5" fillId="2" borderId="1" xfId="1" applyNumberFormat="1" applyFont="1" applyFill="1" applyBorder="1" applyAlignment="1">
      <alignment horizontal="center" vertical="center"/>
    </xf>
    <xf numFmtId="0" fontId="3" fillId="2" borderId="1" xfId="0" applyFont="1" applyFill="1" applyBorder="1" applyAlignment="1">
      <alignment horizontal="center"/>
    </xf>
    <xf numFmtId="3" fontId="2" fillId="2" borderId="1" xfId="0" applyNumberFormat="1" applyFont="1" applyFill="1" applyBorder="1" applyAlignment="1">
      <alignment horizontal="center"/>
    </xf>
    <xf numFmtId="3" fontId="11" fillId="3" borderId="1" xfId="0" applyNumberFormat="1" applyFont="1" applyFill="1" applyBorder="1" applyAlignment="1">
      <alignment horizontal="center"/>
    </xf>
    <xf numFmtId="3" fontId="4" fillId="3" borderId="1" xfId="0" applyNumberFormat="1" applyFont="1" applyFill="1" applyBorder="1" applyAlignment="1">
      <alignment horizontal="center"/>
    </xf>
    <xf numFmtId="0" fontId="8"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xf>
    <xf numFmtId="0" fontId="12" fillId="0" borderId="0" xfId="0" applyFont="1"/>
    <xf numFmtId="3" fontId="3" fillId="0" borderId="1" xfId="0" applyNumberFormat="1" applyFont="1" applyBorder="1" applyAlignment="1">
      <alignment horizontal="center"/>
    </xf>
    <xf numFmtId="10" fontId="3" fillId="0" borderId="1" xfId="0" applyNumberFormat="1" applyFont="1" applyBorder="1" applyAlignment="1">
      <alignment horizontal="center"/>
    </xf>
    <xf numFmtId="3" fontId="2" fillId="0" borderId="1" xfId="0" applyNumberFormat="1" applyFont="1" applyBorder="1" applyAlignment="1">
      <alignment horizontal="center"/>
    </xf>
    <xf numFmtId="10" fontId="2" fillId="0" borderId="1" xfId="0" applyNumberFormat="1" applyFont="1" applyBorder="1" applyAlignment="1">
      <alignment horizontal="center"/>
    </xf>
    <xf numFmtId="3" fontId="3" fillId="0" borderId="1" xfId="1" applyNumberFormat="1" applyFont="1" applyBorder="1" applyAlignment="1">
      <alignment horizontal="center"/>
    </xf>
    <xf numFmtId="3" fontId="6" fillId="0" borderId="1" xfId="0" applyNumberFormat="1" applyFont="1" applyBorder="1" applyAlignment="1">
      <alignment horizontal="center"/>
    </xf>
    <xf numFmtId="3" fontId="4" fillId="0" borderId="1" xfId="0" applyNumberFormat="1" applyFont="1" applyBorder="1" applyAlignment="1">
      <alignment horizontal="center"/>
    </xf>
    <xf numFmtId="0" fontId="5" fillId="0" borderId="1" xfId="0" applyFont="1" applyBorder="1" applyAlignment="1">
      <alignment horizontal="center"/>
    </xf>
    <xf numFmtId="0" fontId="5" fillId="2" borderId="1" xfId="0" applyFont="1" applyFill="1" applyBorder="1" applyAlignment="1">
      <alignment horizontal="center"/>
    </xf>
    <xf numFmtId="0" fontId="4" fillId="3" borderId="1" xfId="0" applyFont="1" applyFill="1" applyBorder="1" applyAlignment="1">
      <alignment horizontal="center"/>
    </xf>
    <xf numFmtId="164" fontId="5" fillId="2" borderId="1" xfId="1" applyNumberFormat="1" applyFont="1" applyFill="1" applyBorder="1" applyAlignment="1"/>
    <xf numFmtId="164" fontId="5" fillId="0" borderId="1" xfId="1" applyNumberFormat="1" applyFont="1" applyBorder="1" applyAlignment="1"/>
    <xf numFmtId="164" fontId="4" fillId="3" borderId="1" xfId="1" applyNumberFormat="1" applyFont="1" applyFill="1" applyBorder="1" applyAlignment="1"/>
    <xf numFmtId="0" fontId="3" fillId="3" borderId="1"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2" fillId="0" borderId="1" xfId="0" applyFont="1" applyBorder="1" applyAlignment="1">
      <alignment horizontal="left" vertical="center"/>
    </xf>
    <xf numFmtId="164" fontId="5" fillId="0" borderId="1" xfId="1" applyNumberFormat="1" applyFont="1" applyBorder="1" applyAlignment="1">
      <alignment horizontal="center"/>
    </xf>
    <xf numFmtId="0" fontId="12" fillId="4" borderId="0" xfId="0" applyFont="1" applyFill="1"/>
    <xf numFmtId="3" fontId="8" fillId="5" borderId="1" xfId="0" applyNumberFormat="1" applyFont="1" applyFill="1" applyBorder="1" applyAlignment="1">
      <alignment horizontal="center" vertical="center"/>
    </xf>
    <xf numFmtId="3" fontId="8" fillId="5" borderId="1" xfId="0" applyNumberFormat="1" applyFont="1" applyFill="1" applyBorder="1" applyAlignment="1">
      <alignment horizontal="center"/>
    </xf>
    <xf numFmtId="2" fontId="3" fillId="0" borderId="1" xfId="0" applyNumberFormat="1" applyFont="1" applyBorder="1" applyAlignment="1">
      <alignment horizontal="center" vertical="center"/>
    </xf>
    <xf numFmtId="3" fontId="5" fillId="3" borderId="1" xfId="0" applyNumberFormat="1" applyFont="1" applyFill="1" applyBorder="1" applyAlignment="1">
      <alignment horizontal="center" vertical="center"/>
    </xf>
    <xf numFmtId="0" fontId="12" fillId="0" borderId="1" xfId="0" applyFont="1" applyBorder="1" applyAlignment="1">
      <alignment horizontal="center" vertical="center"/>
    </xf>
    <xf numFmtId="2" fontId="12" fillId="0" borderId="1" xfId="0" applyNumberFormat="1" applyFont="1" applyBorder="1" applyAlignment="1">
      <alignment horizontal="center" vertical="center"/>
    </xf>
    <xf numFmtId="164" fontId="12" fillId="0" borderId="1" xfId="1" applyNumberFormat="1" applyFont="1" applyBorder="1" applyAlignment="1">
      <alignment horizontal="center" vertical="center"/>
    </xf>
    <xf numFmtId="164" fontId="13" fillId="0" borderId="1" xfId="1" applyNumberFormat="1" applyFont="1" applyBorder="1" applyAlignment="1">
      <alignment horizontal="center" vertical="center"/>
    </xf>
    <xf numFmtId="0" fontId="2" fillId="0" borderId="1" xfId="0" applyFont="1" applyBorder="1" applyAlignment="1">
      <alignment horizontal="center"/>
    </xf>
    <xf numFmtId="0" fontId="12" fillId="0" borderId="1" xfId="0" applyFont="1" applyBorder="1" applyAlignment="1">
      <alignment horizontal="center"/>
    </xf>
    <xf numFmtId="164" fontId="12" fillId="0" borderId="1" xfId="0" applyNumberFormat="1" applyFont="1" applyBorder="1" applyAlignment="1">
      <alignment horizontal="center"/>
    </xf>
    <xf numFmtId="164" fontId="13" fillId="0" borderId="1" xfId="0" applyNumberFormat="1" applyFont="1" applyBorder="1" applyAlignment="1">
      <alignment horizontal="center"/>
    </xf>
    <xf numFmtId="164" fontId="4" fillId="3" borderId="1" xfId="0" applyNumberFormat="1" applyFont="1" applyFill="1" applyBorder="1" applyAlignment="1">
      <alignment horizontal="center"/>
    </xf>
    <xf numFmtId="164" fontId="2" fillId="3" borderId="1" xfId="0" applyNumberFormat="1" applyFont="1" applyFill="1" applyBorder="1" applyAlignment="1">
      <alignment horizontal="center"/>
    </xf>
    <xf numFmtId="0" fontId="3" fillId="0" borderId="1" xfId="0" applyFont="1" applyBorder="1" applyAlignment="1">
      <alignment horizontal="center"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9" fillId="0" borderId="2" xfId="0" applyFont="1" applyBorder="1" applyAlignment="1">
      <alignment horizontal="left"/>
    </xf>
    <xf numFmtId="0" fontId="3" fillId="0" borderId="0" xfId="0" applyFont="1" applyAlignment="1">
      <alignment horizontal="left" wrapText="1"/>
    </xf>
    <xf numFmtId="0" fontId="8" fillId="0" borderId="0" xfId="0" applyFont="1" applyAlignment="1">
      <alignment horizontal="left" vertical="center" wrapText="1"/>
    </xf>
    <xf numFmtId="0" fontId="3" fillId="0" borderId="0" xfId="0" applyFont="1" applyAlignment="1">
      <alignment vertical="center" wrapText="1"/>
    </xf>
  </cellXfs>
  <cellStyles count="3">
    <cellStyle name="Comma" xfId="1" builtinId="3"/>
    <cellStyle name="Comma 2" xfId="2" xr:uid="{9D711242-5CE1-4007-8506-C4AC4061FE3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85281-36DF-4457-9838-23C8014E9FBC}">
  <sheetPr>
    <tabColor theme="9" tint="0.79998168889431442"/>
  </sheetPr>
  <dimension ref="A1:N49"/>
  <sheetViews>
    <sheetView zoomScale="66" zoomScaleNormal="66" workbookViewId="0">
      <selection activeCell="A39" sqref="A39:L39"/>
    </sheetView>
  </sheetViews>
  <sheetFormatPr defaultColWidth="8.85546875" defaultRowHeight="12.75" x14ac:dyDescent="0.2"/>
  <cols>
    <col min="1" max="1" width="44.28515625" style="2" customWidth="1"/>
    <col min="2" max="2" width="31.5703125" style="2" customWidth="1"/>
    <col min="3" max="3" width="47.28515625" style="2" customWidth="1"/>
    <col min="4" max="4" width="29.42578125" style="2" customWidth="1"/>
    <col min="5" max="5" width="18.85546875" style="2" customWidth="1"/>
    <col min="6" max="6" width="17.7109375" style="2" customWidth="1"/>
    <col min="7" max="7" width="21.28515625" style="2" customWidth="1"/>
    <col min="8" max="8" width="16.7109375" style="2" customWidth="1"/>
    <col min="9" max="9" width="21.5703125" style="2" customWidth="1"/>
    <col min="10" max="10" width="25.140625" style="2" customWidth="1"/>
    <col min="11" max="11" width="17.5703125" style="2" customWidth="1"/>
    <col min="12" max="12" width="17.42578125" style="2" customWidth="1"/>
    <col min="13" max="13" width="17.85546875" style="2" customWidth="1"/>
    <col min="14" max="14" width="13.7109375" style="2" customWidth="1"/>
    <col min="15" max="15" width="12.28515625" style="2" customWidth="1"/>
    <col min="16" max="16" width="13.140625" style="2" customWidth="1"/>
    <col min="17" max="17" width="11.7109375" style="2" customWidth="1"/>
    <col min="18" max="16384" width="8.85546875" style="2"/>
  </cols>
  <sheetData>
    <row r="1" spans="1:14" ht="43.5" customHeight="1" x14ac:dyDescent="0.2">
      <c r="J1" s="81" t="s">
        <v>24</v>
      </c>
      <c r="K1" s="81"/>
      <c r="L1" s="81"/>
      <c r="M1" s="81"/>
    </row>
    <row r="2" spans="1:14" x14ac:dyDescent="0.2">
      <c r="A2" s="1" t="s">
        <v>54</v>
      </c>
    </row>
    <row r="3" spans="1:14" x14ac:dyDescent="0.2">
      <c r="A3" s="2" t="s">
        <v>26</v>
      </c>
    </row>
    <row r="4" spans="1:14" ht="51" x14ac:dyDescent="0.2">
      <c r="A4" s="18" t="s">
        <v>0</v>
      </c>
      <c r="B4" s="19" t="s">
        <v>1</v>
      </c>
      <c r="C4" s="19" t="s">
        <v>2</v>
      </c>
      <c r="D4" s="28" t="s">
        <v>27</v>
      </c>
      <c r="E4" s="28" t="s">
        <v>28</v>
      </c>
      <c r="F4" s="29" t="s">
        <v>29</v>
      </c>
      <c r="G4" s="29" t="s">
        <v>30</v>
      </c>
      <c r="H4" s="29" t="s">
        <v>31</v>
      </c>
      <c r="I4" s="29" t="s">
        <v>32</v>
      </c>
      <c r="J4" s="29" t="s">
        <v>33</v>
      </c>
      <c r="K4" s="29" t="s">
        <v>34</v>
      </c>
      <c r="L4" s="29" t="s">
        <v>35</v>
      </c>
      <c r="M4" s="29" t="s">
        <v>36</v>
      </c>
    </row>
    <row r="5" spans="1:14" x14ac:dyDescent="0.2">
      <c r="A5" s="4" t="s">
        <v>37</v>
      </c>
      <c r="B5" s="23" t="s">
        <v>4</v>
      </c>
      <c r="C5" s="4" t="s">
        <v>5</v>
      </c>
      <c r="D5" s="53">
        <v>17</v>
      </c>
      <c r="E5" s="53">
        <f>ROUND(D5/4*6,0)</f>
        <v>26</v>
      </c>
      <c r="F5" s="53">
        <v>17</v>
      </c>
      <c r="G5" s="53">
        <f>ROUND(F5/4*6,0)</f>
        <v>26</v>
      </c>
      <c r="H5" s="64">
        <v>13742</v>
      </c>
      <c r="I5" s="64">
        <f>ROUND(H5/4*6,0)</f>
        <v>20613</v>
      </c>
      <c r="J5" s="53"/>
      <c r="K5" s="5">
        <f>ROUND(J5/4*6,0)</f>
        <v>0</v>
      </c>
      <c r="L5" s="5"/>
      <c r="M5" s="5"/>
      <c r="N5" s="3"/>
    </row>
    <row r="6" spans="1:14" x14ac:dyDescent="0.2">
      <c r="A6" s="4" t="s">
        <v>37</v>
      </c>
      <c r="B6" s="23" t="s">
        <v>6</v>
      </c>
      <c r="C6" s="4" t="s">
        <v>7</v>
      </c>
      <c r="D6" s="53">
        <v>16</v>
      </c>
      <c r="E6" s="53">
        <f t="shared" ref="E6:E7" si="0">ROUND(D6/4*6,0)</f>
        <v>24</v>
      </c>
      <c r="F6" s="53">
        <v>16</v>
      </c>
      <c r="G6" s="53">
        <f>ROUND(F6/4*6,0)</f>
        <v>24</v>
      </c>
      <c r="H6" s="64">
        <v>1672</v>
      </c>
      <c r="I6" s="64">
        <f t="shared" ref="I6:K7" si="1">ROUND(H6/4*6,0)</f>
        <v>2508</v>
      </c>
      <c r="J6" s="53"/>
      <c r="K6" s="5">
        <f t="shared" si="1"/>
        <v>0</v>
      </c>
      <c r="L6" s="5"/>
      <c r="M6" s="5"/>
      <c r="N6" s="3"/>
    </row>
    <row r="7" spans="1:14" x14ac:dyDescent="0.2">
      <c r="A7" s="4" t="s">
        <v>37</v>
      </c>
      <c r="B7" s="23" t="s">
        <v>9</v>
      </c>
      <c r="C7" s="4" t="s">
        <v>10</v>
      </c>
      <c r="D7" s="53">
        <v>5</v>
      </c>
      <c r="E7" s="53">
        <f t="shared" si="0"/>
        <v>8</v>
      </c>
      <c r="F7" s="53">
        <v>5</v>
      </c>
      <c r="G7" s="53">
        <f>ROUND(F7/4*6,0)</f>
        <v>8</v>
      </c>
      <c r="H7" s="53">
        <v>304</v>
      </c>
      <c r="I7" s="53">
        <f t="shared" si="1"/>
        <v>456</v>
      </c>
      <c r="J7" s="53"/>
      <c r="K7" s="5">
        <f t="shared" si="1"/>
        <v>0</v>
      </c>
      <c r="L7" s="53"/>
      <c r="M7" s="53"/>
      <c r="N7" s="3"/>
    </row>
    <row r="8" spans="1:14" x14ac:dyDescent="0.2">
      <c r="A8" s="35" t="s">
        <v>3</v>
      </c>
      <c r="B8" s="39"/>
      <c r="C8" s="36"/>
      <c r="D8" s="54">
        <f>SUM(D5:D7)</f>
        <v>38</v>
      </c>
      <c r="E8" s="54">
        <f t="shared" ref="E8:I8" si="2">SUM(E5:E7)</f>
        <v>58</v>
      </c>
      <c r="F8" s="37">
        <f t="shared" si="2"/>
        <v>38</v>
      </c>
      <c r="G8" s="37">
        <f t="shared" si="2"/>
        <v>58</v>
      </c>
      <c r="H8" s="37">
        <f t="shared" si="2"/>
        <v>15718</v>
      </c>
      <c r="I8" s="37">
        <f t="shared" si="2"/>
        <v>23577</v>
      </c>
      <c r="J8" s="38">
        <v>0</v>
      </c>
      <c r="K8" s="38">
        <f>SUM(K5:K7)</f>
        <v>0</v>
      </c>
      <c r="L8" s="38">
        <f>J8/D8</f>
        <v>0</v>
      </c>
      <c r="M8" s="38">
        <v>0</v>
      </c>
      <c r="N8" s="3"/>
    </row>
    <row r="9" spans="1:14" x14ac:dyDescent="0.2">
      <c r="A9" s="4" t="s">
        <v>8</v>
      </c>
      <c r="B9" s="23" t="s">
        <v>4</v>
      </c>
      <c r="C9" s="4" t="s">
        <v>5</v>
      </c>
      <c r="D9" s="53">
        <v>44</v>
      </c>
      <c r="E9" s="53">
        <f t="shared" ref="E9:G11" si="3">ROUND(D9/4*6,0)</f>
        <v>66</v>
      </c>
      <c r="F9" s="5">
        <v>49</v>
      </c>
      <c r="G9" s="5">
        <f t="shared" si="3"/>
        <v>74</v>
      </c>
      <c r="H9" s="5">
        <v>39711</v>
      </c>
      <c r="I9" s="5">
        <f t="shared" ref="I9:K11" si="4">ROUND(H9/4*6,0)</f>
        <v>59567</v>
      </c>
      <c r="J9" s="5"/>
      <c r="K9" s="5">
        <f t="shared" si="4"/>
        <v>0</v>
      </c>
      <c r="L9" s="5"/>
      <c r="M9" s="5"/>
      <c r="N9" s="3"/>
    </row>
    <row r="10" spans="1:14" x14ac:dyDescent="0.2">
      <c r="A10" s="4" t="s">
        <v>8</v>
      </c>
      <c r="B10" s="23" t="s">
        <v>6</v>
      </c>
      <c r="C10" s="4" t="s">
        <v>7</v>
      </c>
      <c r="D10" s="53">
        <v>43</v>
      </c>
      <c r="E10" s="53">
        <f t="shared" si="3"/>
        <v>65</v>
      </c>
      <c r="F10" s="5">
        <v>144</v>
      </c>
      <c r="G10" s="5">
        <f t="shared" si="3"/>
        <v>216</v>
      </c>
      <c r="H10" s="5">
        <v>15144</v>
      </c>
      <c r="I10" s="5">
        <f t="shared" si="4"/>
        <v>22716</v>
      </c>
      <c r="J10" s="5"/>
      <c r="K10" s="5">
        <f t="shared" si="4"/>
        <v>0</v>
      </c>
      <c r="L10" s="5"/>
      <c r="M10" s="5"/>
      <c r="N10" s="3"/>
    </row>
    <row r="11" spans="1:14" x14ac:dyDescent="0.2">
      <c r="A11" s="4" t="s">
        <v>8</v>
      </c>
      <c r="B11" s="23" t="s">
        <v>9</v>
      </c>
      <c r="C11" s="4" t="s">
        <v>10</v>
      </c>
      <c r="D11" s="53">
        <v>39</v>
      </c>
      <c r="E11" s="53">
        <f t="shared" si="3"/>
        <v>59</v>
      </c>
      <c r="F11" s="5">
        <v>45</v>
      </c>
      <c r="G11" s="5">
        <f t="shared" si="3"/>
        <v>68</v>
      </c>
      <c r="H11" s="5">
        <v>2774</v>
      </c>
      <c r="I11" s="5">
        <f t="shared" si="4"/>
        <v>4161</v>
      </c>
      <c r="J11" s="5"/>
      <c r="K11" s="5">
        <f t="shared" si="4"/>
        <v>0</v>
      </c>
      <c r="L11" s="5"/>
      <c r="M11" s="5"/>
      <c r="N11" s="3"/>
    </row>
    <row r="12" spans="1:14" x14ac:dyDescent="0.2">
      <c r="A12" s="35" t="s">
        <v>8</v>
      </c>
      <c r="B12" s="39"/>
      <c r="C12" s="36"/>
      <c r="D12" s="54">
        <f t="shared" ref="D12:I12" si="5">SUM(D9:D11)</f>
        <v>126</v>
      </c>
      <c r="E12" s="54">
        <f t="shared" si="5"/>
        <v>190</v>
      </c>
      <c r="F12" s="37">
        <f t="shared" si="5"/>
        <v>238</v>
      </c>
      <c r="G12" s="37">
        <f t="shared" si="5"/>
        <v>358</v>
      </c>
      <c r="H12" s="37">
        <f t="shared" si="5"/>
        <v>57629</v>
      </c>
      <c r="I12" s="37">
        <f t="shared" si="5"/>
        <v>86444</v>
      </c>
      <c r="J12" s="56">
        <v>275155</v>
      </c>
      <c r="K12" s="56">
        <f>J12/4*6</f>
        <v>412732.5</v>
      </c>
      <c r="L12" s="56">
        <f>J12/D12</f>
        <v>2183.7698412698414</v>
      </c>
      <c r="M12" s="56">
        <f>ROUND(K12/E12,0)</f>
        <v>2172</v>
      </c>
      <c r="N12" s="3"/>
    </row>
    <row r="13" spans="1:14" x14ac:dyDescent="0.2">
      <c r="A13" s="4" t="s">
        <v>11</v>
      </c>
      <c r="B13" s="23" t="s">
        <v>4</v>
      </c>
      <c r="C13" s="4" t="s">
        <v>5</v>
      </c>
      <c r="D13" s="53">
        <v>6</v>
      </c>
      <c r="E13" s="53">
        <f t="shared" ref="E13:G15" si="6">ROUND(D13/4*6,0)</f>
        <v>9</v>
      </c>
      <c r="F13" s="5">
        <v>6</v>
      </c>
      <c r="G13" s="5">
        <f t="shared" si="6"/>
        <v>9</v>
      </c>
      <c r="H13" s="5">
        <v>4856</v>
      </c>
      <c r="I13" s="5">
        <f t="shared" ref="I13:K15" si="7">ROUND(H13/4*6,0)</f>
        <v>7284</v>
      </c>
      <c r="J13" s="57"/>
      <c r="K13" s="57">
        <f t="shared" si="7"/>
        <v>0</v>
      </c>
      <c r="L13" s="57"/>
      <c r="M13" s="57"/>
      <c r="N13" s="3"/>
    </row>
    <row r="14" spans="1:14" x14ac:dyDescent="0.2">
      <c r="A14" s="4" t="s">
        <v>11</v>
      </c>
      <c r="B14" s="23" t="s">
        <v>6</v>
      </c>
      <c r="C14" s="4" t="s">
        <v>7</v>
      </c>
      <c r="D14" s="53">
        <v>4</v>
      </c>
      <c r="E14" s="53">
        <f t="shared" si="6"/>
        <v>6</v>
      </c>
      <c r="F14" s="5">
        <v>11</v>
      </c>
      <c r="G14" s="5">
        <f t="shared" si="6"/>
        <v>17</v>
      </c>
      <c r="H14" s="5">
        <v>1143</v>
      </c>
      <c r="I14" s="5">
        <f t="shared" si="7"/>
        <v>1715</v>
      </c>
      <c r="J14" s="57"/>
      <c r="K14" s="57">
        <f t="shared" si="7"/>
        <v>0</v>
      </c>
      <c r="L14" s="57"/>
      <c r="M14" s="57"/>
      <c r="N14" s="3"/>
    </row>
    <row r="15" spans="1:14" x14ac:dyDescent="0.2">
      <c r="A15" s="4" t="s">
        <v>11</v>
      </c>
      <c r="B15" s="23" t="s">
        <v>9</v>
      </c>
      <c r="C15" s="4" t="s">
        <v>10</v>
      </c>
      <c r="D15" s="53">
        <v>6</v>
      </c>
      <c r="E15" s="53">
        <f t="shared" si="6"/>
        <v>9</v>
      </c>
      <c r="F15" s="5">
        <v>9</v>
      </c>
      <c r="G15" s="5">
        <f t="shared" si="6"/>
        <v>14</v>
      </c>
      <c r="H15" s="5">
        <v>552</v>
      </c>
      <c r="I15" s="5">
        <f t="shared" si="7"/>
        <v>828</v>
      </c>
      <c r="J15" s="57"/>
      <c r="K15" s="57">
        <f t="shared" si="7"/>
        <v>0</v>
      </c>
      <c r="L15" s="57"/>
      <c r="M15" s="57"/>
      <c r="N15" s="3"/>
    </row>
    <row r="16" spans="1:14" x14ac:dyDescent="0.2">
      <c r="A16" s="35" t="s">
        <v>11</v>
      </c>
      <c r="B16" s="36"/>
      <c r="C16" s="36"/>
      <c r="D16" s="54">
        <f t="shared" ref="D16:I16" si="8">SUM(D13:D15)</f>
        <v>16</v>
      </c>
      <c r="E16" s="54">
        <f t="shared" si="8"/>
        <v>24</v>
      </c>
      <c r="F16" s="37">
        <f t="shared" si="8"/>
        <v>26</v>
      </c>
      <c r="G16" s="37">
        <f t="shared" si="8"/>
        <v>40</v>
      </c>
      <c r="H16" s="37">
        <f t="shared" si="8"/>
        <v>6551</v>
      </c>
      <c r="I16" s="37">
        <f t="shared" si="8"/>
        <v>9827</v>
      </c>
      <c r="J16" s="56">
        <v>28283</v>
      </c>
      <c r="K16" s="56">
        <f>J16/4*6</f>
        <v>42424.5</v>
      </c>
      <c r="L16" s="56">
        <f>J16/D16</f>
        <v>1767.6875</v>
      </c>
      <c r="M16" s="56">
        <f>ROUND(K16/E16,0)</f>
        <v>1768</v>
      </c>
      <c r="N16" s="3"/>
    </row>
    <row r="17" spans="1:14" s="1" customFormat="1" x14ac:dyDescent="0.2">
      <c r="A17" s="33" t="s">
        <v>12</v>
      </c>
      <c r="B17" s="33"/>
      <c r="C17" s="33"/>
      <c r="D17" s="55">
        <f>D8+D12+D16</f>
        <v>180</v>
      </c>
      <c r="E17" s="55">
        <f>E8+E12+E16</f>
        <v>272</v>
      </c>
      <c r="F17" s="34">
        <f t="shared" ref="F17:H17" si="9">F8+F12+F16</f>
        <v>302</v>
      </c>
      <c r="G17" s="34">
        <f>G8+G12+G16</f>
        <v>456</v>
      </c>
      <c r="H17" s="34">
        <f t="shared" si="9"/>
        <v>79898</v>
      </c>
      <c r="I17" s="34">
        <f>I8+I12+I16</f>
        <v>119848</v>
      </c>
      <c r="J17" s="58">
        <f>J8+J12+J16</f>
        <v>303438</v>
      </c>
      <c r="K17" s="58">
        <f>K8+K12+K16</f>
        <v>455157</v>
      </c>
      <c r="L17" s="58">
        <f>ROUND((L12+L16)/2,0)</f>
        <v>1976</v>
      </c>
      <c r="M17" s="58">
        <f>(M8+M12+M16)/3</f>
        <v>1313.3333333333333</v>
      </c>
      <c r="N17" s="3"/>
    </row>
    <row r="18" spans="1:14" s="1" customFormat="1" x14ac:dyDescent="0.2">
      <c r="A18" s="65" t="s">
        <v>65</v>
      </c>
      <c r="B18" s="30"/>
      <c r="C18" s="30"/>
      <c r="D18" s="31"/>
      <c r="E18" s="31"/>
      <c r="F18" s="32"/>
      <c r="G18" s="32"/>
      <c r="H18" s="32"/>
      <c r="I18" s="32"/>
      <c r="J18" s="32"/>
      <c r="K18" s="32"/>
      <c r="L18" s="32"/>
      <c r="M18" s="32"/>
      <c r="N18" s="3"/>
    </row>
    <row r="20" spans="1:14" x14ac:dyDescent="0.2">
      <c r="A20" s="45" t="s">
        <v>50</v>
      </c>
    </row>
    <row r="21" spans="1:14" ht="51" x14ac:dyDescent="0.2">
      <c r="A21" s="19" t="s">
        <v>0</v>
      </c>
      <c r="B21" s="19" t="s">
        <v>1</v>
      </c>
      <c r="C21" s="19" t="s">
        <v>2</v>
      </c>
      <c r="D21" s="19" t="s">
        <v>13</v>
      </c>
      <c r="E21" s="19" t="s">
        <v>14</v>
      </c>
      <c r="F21" s="19" t="s">
        <v>38</v>
      </c>
      <c r="G21" s="19" t="s">
        <v>39</v>
      </c>
      <c r="H21" s="19" t="s">
        <v>40</v>
      </c>
      <c r="I21" s="28" t="s">
        <v>41</v>
      </c>
      <c r="J21" s="28" t="s">
        <v>42</v>
      </c>
      <c r="K21" s="9"/>
    </row>
    <row r="22" spans="1:14" x14ac:dyDescent="0.2">
      <c r="A22" s="4" t="s">
        <v>3</v>
      </c>
      <c r="B22" s="23" t="s">
        <v>4</v>
      </c>
      <c r="C22" s="4" t="s">
        <v>5</v>
      </c>
      <c r="D22" s="46">
        <v>26</v>
      </c>
      <c r="E22" s="46">
        <v>26</v>
      </c>
      <c r="F22" s="50">
        <f>ROUND(H5/4*6,0)</f>
        <v>20613</v>
      </c>
      <c r="G22" s="46"/>
      <c r="H22" s="46"/>
      <c r="I22" s="51"/>
      <c r="J22" s="52"/>
      <c r="K22" s="7"/>
    </row>
    <row r="23" spans="1:14" x14ac:dyDescent="0.2">
      <c r="A23" s="4" t="s">
        <v>3</v>
      </c>
      <c r="B23" s="23" t="s">
        <v>6</v>
      </c>
      <c r="C23" s="4" t="s">
        <v>7</v>
      </c>
      <c r="D23" s="46">
        <v>24</v>
      </c>
      <c r="E23" s="46">
        <v>24</v>
      </c>
      <c r="F23" s="50">
        <f>ROUND(H6/4*6,0)</f>
        <v>2508</v>
      </c>
      <c r="G23" s="46"/>
      <c r="H23" s="46"/>
      <c r="I23" s="51"/>
      <c r="J23" s="52"/>
      <c r="K23" s="7"/>
    </row>
    <row r="24" spans="1:14" x14ac:dyDescent="0.2">
      <c r="A24" s="4" t="s">
        <v>3</v>
      </c>
      <c r="B24" s="23" t="s">
        <v>9</v>
      </c>
      <c r="C24" s="4" t="s">
        <v>10</v>
      </c>
      <c r="D24" s="46">
        <v>8</v>
      </c>
      <c r="E24" s="46">
        <v>8</v>
      </c>
      <c r="F24" s="50">
        <f>ROUND(H7/4*6,0)</f>
        <v>456</v>
      </c>
      <c r="G24" s="46"/>
      <c r="H24" s="46"/>
      <c r="I24" s="51"/>
      <c r="J24" s="52"/>
      <c r="K24" s="7"/>
    </row>
    <row r="25" spans="1:14" x14ac:dyDescent="0.2">
      <c r="A25" s="35" t="s">
        <v>3</v>
      </c>
      <c r="B25" s="35"/>
      <c r="C25" s="35"/>
      <c r="D25" s="40">
        <f>SUM(D22:D24)</f>
        <v>58</v>
      </c>
      <c r="E25" s="40">
        <f>SUM(E22:E24)</f>
        <v>58</v>
      </c>
      <c r="F25" s="40">
        <f>SUM(F22:F24)</f>
        <v>23577</v>
      </c>
      <c r="G25" s="40">
        <f>ROUND(D25*M17,0)</f>
        <v>76173</v>
      </c>
      <c r="H25" s="40">
        <f>G25/D25</f>
        <v>1313.3275862068965</v>
      </c>
      <c r="I25" s="41">
        <f>G25</f>
        <v>76173</v>
      </c>
      <c r="J25" s="42">
        <f>I25*2</f>
        <v>152346</v>
      </c>
      <c r="K25" s="10"/>
    </row>
    <row r="27" spans="1:14" x14ac:dyDescent="0.2">
      <c r="A27" s="1"/>
    </row>
    <row r="28" spans="1:14" ht="12.75" customHeight="1" x14ac:dyDescent="0.2">
      <c r="A28" s="82" t="s">
        <v>53</v>
      </c>
      <c r="B28" s="82"/>
      <c r="C28" s="82"/>
      <c r="D28" s="82"/>
      <c r="E28" s="82"/>
      <c r="F28" s="82"/>
      <c r="G28" s="82"/>
      <c r="K28" s="3"/>
    </row>
    <row r="29" spans="1:14" ht="38.25" x14ac:dyDescent="0.2">
      <c r="A29" s="19" t="s">
        <v>43</v>
      </c>
      <c r="B29" s="19" t="s">
        <v>44</v>
      </c>
      <c r="C29" s="19" t="s">
        <v>45</v>
      </c>
      <c r="D29" s="19" t="s">
        <v>46</v>
      </c>
      <c r="E29" s="19" t="s">
        <v>47</v>
      </c>
      <c r="F29" s="19" t="s">
        <v>48</v>
      </c>
      <c r="G29" s="19" t="s">
        <v>49</v>
      </c>
      <c r="K29" s="3"/>
    </row>
    <row r="30" spans="1:14" x14ac:dyDescent="0.2">
      <c r="A30" s="4" t="s">
        <v>3</v>
      </c>
      <c r="B30" s="46">
        <v>0</v>
      </c>
      <c r="C30" s="46">
        <v>0</v>
      </c>
      <c r="D30" s="46">
        <v>0</v>
      </c>
      <c r="E30" s="47">
        <v>0</v>
      </c>
      <c r="F30" s="46">
        <f>I25</f>
        <v>76173</v>
      </c>
      <c r="G30" s="46">
        <f>ROUND(C30+F30,0)</f>
        <v>76173</v>
      </c>
      <c r="K30" s="3"/>
    </row>
    <row r="31" spans="1:14" x14ac:dyDescent="0.2">
      <c r="A31" s="4" t="s">
        <v>8</v>
      </c>
      <c r="B31" s="46">
        <v>986086</v>
      </c>
      <c r="C31" s="46">
        <f>ROUND(B31/2,0)</f>
        <v>493043</v>
      </c>
      <c r="D31" s="46">
        <v>275155</v>
      </c>
      <c r="E31" s="47">
        <f>D31/(B31/12*4)</f>
        <v>0.83711258450074344</v>
      </c>
      <c r="F31" s="46">
        <f>C31-F30</f>
        <v>416870</v>
      </c>
      <c r="G31" s="46">
        <f t="shared" ref="G31:G32" si="10">ROUND(C31+F31,0)</f>
        <v>909913</v>
      </c>
      <c r="K31" s="3"/>
    </row>
    <row r="32" spans="1:14" x14ac:dyDescent="0.2">
      <c r="A32" s="4" t="s">
        <v>11</v>
      </c>
      <c r="B32" s="46">
        <v>104272</v>
      </c>
      <c r="C32" s="46">
        <f>ROUND(B32/2,0)</f>
        <v>52136</v>
      </c>
      <c r="D32" s="46">
        <v>28283</v>
      </c>
      <c r="E32" s="47">
        <f>D32/(B32/12*4)</f>
        <v>0.8137275586926499</v>
      </c>
      <c r="F32" s="46">
        <f>C32</f>
        <v>52136</v>
      </c>
      <c r="G32" s="46">
        <f t="shared" si="10"/>
        <v>104272</v>
      </c>
      <c r="K32" s="3"/>
    </row>
    <row r="33" spans="1:12" x14ac:dyDescent="0.2">
      <c r="A33" s="11" t="s">
        <v>17</v>
      </c>
      <c r="B33" s="48">
        <f>SUM(B30:B32)</f>
        <v>1090358</v>
      </c>
      <c r="C33" s="48">
        <f>SUM(C31:C32)</f>
        <v>545179</v>
      </c>
      <c r="D33" s="48">
        <f>SUM(D31:D32)</f>
        <v>303438</v>
      </c>
      <c r="E33" s="49">
        <f>D33/(B33/12*4)</f>
        <v>0.83487625165312673</v>
      </c>
      <c r="F33" s="48">
        <f>SUM(F30:F32)</f>
        <v>545179</v>
      </c>
      <c r="G33" s="48">
        <f>SUM(G30:G32)</f>
        <v>1090358</v>
      </c>
      <c r="K33" s="3"/>
    </row>
    <row r="34" spans="1:12" x14ac:dyDescent="0.2">
      <c r="K34" s="3"/>
    </row>
    <row r="35" spans="1:12" x14ac:dyDescent="0.2">
      <c r="A35" s="45" t="s">
        <v>84</v>
      </c>
      <c r="K35" s="3"/>
    </row>
    <row r="36" spans="1:12" ht="38.25" customHeight="1" x14ac:dyDescent="0.2">
      <c r="A36" s="18" t="s">
        <v>0</v>
      </c>
      <c r="B36" s="18" t="s">
        <v>19</v>
      </c>
      <c r="C36" s="19" t="s">
        <v>83</v>
      </c>
      <c r="D36" s="43" t="s">
        <v>82</v>
      </c>
    </row>
    <row r="37" spans="1:12" ht="76.5" customHeight="1" x14ac:dyDescent="0.2">
      <c r="A37" s="14" t="s">
        <v>51</v>
      </c>
      <c r="B37" s="13" t="s">
        <v>20</v>
      </c>
      <c r="C37" s="15">
        <v>76173</v>
      </c>
      <c r="D37" s="44">
        <f>C37*2</f>
        <v>152346</v>
      </c>
    </row>
    <row r="38" spans="1:12" ht="76.5" x14ac:dyDescent="0.2">
      <c r="A38" s="14" t="s">
        <v>52</v>
      </c>
      <c r="B38" s="13" t="s">
        <v>20</v>
      </c>
      <c r="C38" s="15">
        <f>-C37</f>
        <v>-76173</v>
      </c>
      <c r="D38" s="44">
        <f>-D37</f>
        <v>-152346</v>
      </c>
    </row>
    <row r="39" spans="1:12" ht="44.25" customHeight="1" x14ac:dyDescent="0.2">
      <c r="A39" s="81" t="s">
        <v>64</v>
      </c>
      <c r="B39" s="81"/>
      <c r="C39" s="81"/>
      <c r="D39" s="81"/>
      <c r="E39" s="81"/>
      <c r="F39" s="81"/>
      <c r="G39" s="81"/>
      <c r="H39" s="81"/>
      <c r="I39" s="81"/>
      <c r="J39" s="81"/>
      <c r="K39" s="81"/>
      <c r="L39" s="81"/>
    </row>
    <row r="41" spans="1:12" x14ac:dyDescent="0.2">
      <c r="A41" s="8"/>
      <c r="B41" s="8"/>
      <c r="C41" s="8"/>
      <c r="D41" s="8"/>
      <c r="E41" s="8"/>
      <c r="F41" s="8"/>
      <c r="G41" s="8"/>
      <c r="H41" s="8"/>
      <c r="I41" s="8"/>
      <c r="J41" s="8"/>
      <c r="K41" s="8"/>
    </row>
    <row r="42" spans="1:12" x14ac:dyDescent="0.2">
      <c r="B42" s="8"/>
      <c r="C42" s="8"/>
      <c r="D42" s="8"/>
      <c r="E42" s="8"/>
      <c r="F42" s="8"/>
      <c r="G42" s="8"/>
      <c r="H42" s="8"/>
      <c r="I42" s="8"/>
      <c r="J42" s="8"/>
      <c r="K42" s="8"/>
    </row>
    <row r="43" spans="1:12" x14ac:dyDescent="0.2">
      <c r="B43" s="8"/>
      <c r="C43" s="8"/>
      <c r="D43" s="8"/>
      <c r="E43" s="8"/>
      <c r="F43" s="8"/>
      <c r="G43" s="8"/>
      <c r="H43" s="8"/>
      <c r="I43" s="8"/>
      <c r="J43" s="8"/>
      <c r="K43" s="8"/>
    </row>
    <row r="44" spans="1:12" x14ac:dyDescent="0.2">
      <c r="A44" s="8"/>
      <c r="B44" s="8"/>
      <c r="C44" s="8"/>
      <c r="D44" s="8"/>
      <c r="E44" s="8"/>
      <c r="F44" s="8"/>
      <c r="G44" s="8"/>
      <c r="H44" s="8"/>
      <c r="I44" s="8"/>
      <c r="J44" s="8"/>
      <c r="K44" s="8"/>
    </row>
    <row r="45" spans="1:12" x14ac:dyDescent="0.2">
      <c r="A45" s="8"/>
      <c r="B45" s="8"/>
      <c r="C45" s="8"/>
      <c r="D45" s="8"/>
      <c r="E45" s="8"/>
      <c r="F45" s="8"/>
      <c r="G45" s="8"/>
      <c r="H45" s="8"/>
      <c r="I45" s="8"/>
      <c r="J45" s="8"/>
      <c r="K45" s="8"/>
    </row>
    <row r="47" spans="1:12" x14ac:dyDescent="0.2">
      <c r="B47" s="7"/>
      <c r="F47" s="7"/>
      <c r="G47" s="7"/>
      <c r="J47" s="7"/>
    </row>
    <row r="48" spans="1:12" x14ac:dyDescent="0.2">
      <c r="B48" s="7"/>
      <c r="F48" s="7"/>
      <c r="G48" s="7"/>
      <c r="J48" s="7"/>
    </row>
    <row r="49" spans="2:10" x14ac:dyDescent="0.2">
      <c r="B49" s="7"/>
      <c r="F49" s="7"/>
      <c r="G49" s="7"/>
      <c r="J49" s="7"/>
    </row>
  </sheetData>
  <mergeCells count="3">
    <mergeCell ref="J1:M1"/>
    <mergeCell ref="A39:L39"/>
    <mergeCell ref="A28:G2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640A-C6F8-48A4-98D0-DAA027E74C7D}">
  <sheetPr>
    <tabColor theme="9" tint="0.79998168889431442"/>
  </sheetPr>
  <dimension ref="A1:AA16"/>
  <sheetViews>
    <sheetView zoomScale="82" zoomScaleNormal="82" workbookViewId="0">
      <selection activeCell="B11" sqref="B11"/>
    </sheetView>
  </sheetViews>
  <sheetFormatPr defaultColWidth="8.85546875" defaultRowHeight="12.75" x14ac:dyDescent="0.2"/>
  <cols>
    <col min="1" max="1" width="39" style="2" customWidth="1"/>
    <col min="2" max="2" width="27.28515625" style="2" bestFit="1" customWidth="1"/>
    <col min="3" max="3" width="15.5703125" style="2" customWidth="1"/>
    <col min="4" max="4" width="12.7109375" style="2" customWidth="1"/>
    <col min="5" max="27" width="13.7109375" style="2" customWidth="1"/>
    <col min="28" max="16384" width="8.85546875" style="2"/>
  </cols>
  <sheetData>
    <row r="1" spans="1:27" ht="45" customHeight="1" x14ac:dyDescent="0.2">
      <c r="G1" s="81" t="s">
        <v>55</v>
      </c>
      <c r="H1" s="81"/>
      <c r="I1" s="81"/>
      <c r="J1" s="81"/>
    </row>
    <row r="2" spans="1:27" ht="34.5" customHeight="1" x14ac:dyDescent="0.2">
      <c r="A2" s="85" t="s">
        <v>56</v>
      </c>
      <c r="B2" s="85"/>
      <c r="C2" s="85"/>
      <c r="D2" s="85"/>
      <c r="E2" s="85"/>
      <c r="F2" s="85"/>
      <c r="G2" s="85"/>
      <c r="H2" s="85"/>
      <c r="I2" s="85"/>
      <c r="J2" s="85"/>
    </row>
    <row r="3" spans="1:27" ht="63.75" x14ac:dyDescent="0.2">
      <c r="A3" s="60" t="s">
        <v>15</v>
      </c>
      <c r="B3" s="61" t="s">
        <v>79</v>
      </c>
      <c r="C3" s="61" t="s">
        <v>80</v>
      </c>
      <c r="D3" s="61" t="s">
        <v>57</v>
      </c>
      <c r="E3" s="61" t="s">
        <v>58</v>
      </c>
      <c r="F3" s="62" t="s">
        <v>28</v>
      </c>
      <c r="G3" s="62" t="s">
        <v>68</v>
      </c>
      <c r="H3" s="61" t="s">
        <v>59</v>
      </c>
      <c r="I3" s="61" t="s">
        <v>60</v>
      </c>
    </row>
    <row r="4" spans="1:27" x14ac:dyDescent="0.2">
      <c r="A4" s="63" t="s">
        <v>16</v>
      </c>
      <c r="B4" s="70">
        <v>1265.2</v>
      </c>
      <c r="C4" s="71">
        <v>0.66549999999999998</v>
      </c>
      <c r="D4" s="70">
        <v>44</v>
      </c>
      <c r="E4" s="72">
        <f>ROUND(B4*C4*D4,0)</f>
        <v>37048</v>
      </c>
      <c r="F4" s="73">
        <f>ROUND(D4/2,0)</f>
        <v>22</v>
      </c>
      <c r="G4" s="73">
        <f>ROUND(B4*C4*D4,0)/2</f>
        <v>18524</v>
      </c>
      <c r="H4" s="72">
        <v>37048</v>
      </c>
      <c r="I4" s="72">
        <v>44</v>
      </c>
    </row>
    <row r="5" spans="1:27" x14ac:dyDescent="0.2">
      <c r="A5" s="63" t="s">
        <v>18</v>
      </c>
      <c r="B5" s="70">
        <v>1265.2</v>
      </c>
      <c r="C5" s="71">
        <v>0.66549999999999998</v>
      </c>
      <c r="D5" s="70">
        <v>45</v>
      </c>
      <c r="E5" s="72">
        <f>ROUND(B5*C5*D5,0)</f>
        <v>37890</v>
      </c>
      <c r="F5" s="73">
        <f>ROUND(D5/2,0)</f>
        <v>23</v>
      </c>
      <c r="G5" s="73">
        <f>ROUND(B5*C5*D5,0)/2</f>
        <v>18945</v>
      </c>
      <c r="H5" s="72">
        <v>37890</v>
      </c>
      <c r="I5" s="72">
        <v>45</v>
      </c>
    </row>
    <row r="6" spans="1:27" x14ac:dyDescent="0.2">
      <c r="A6" s="11" t="s">
        <v>17</v>
      </c>
      <c r="B6" s="74"/>
      <c r="C6" s="74"/>
      <c r="D6" s="75">
        <f>SUM(D4:D5)</f>
        <v>89</v>
      </c>
      <c r="E6" s="76">
        <f>SUM(E4:E5)</f>
        <v>74938</v>
      </c>
      <c r="F6" s="77">
        <f>SUM(F4:F5)</f>
        <v>45</v>
      </c>
      <c r="G6" s="78">
        <f>SUM(G4:G5)</f>
        <v>37469</v>
      </c>
      <c r="H6" s="79">
        <v>74938</v>
      </c>
      <c r="I6" s="76">
        <v>89</v>
      </c>
    </row>
    <row r="7" spans="1:27" x14ac:dyDescent="0.2">
      <c r="A7" s="6" t="s">
        <v>61</v>
      </c>
    </row>
    <row r="9" spans="1:27" x14ac:dyDescent="0.2">
      <c r="A9" s="1" t="s">
        <v>23</v>
      </c>
    </row>
    <row r="10" spans="1:27" ht="51" x14ac:dyDescent="0.2">
      <c r="A10" s="59" t="s">
        <v>22</v>
      </c>
      <c r="B10" s="59" t="s">
        <v>19</v>
      </c>
      <c r="C10" s="61" t="s">
        <v>79</v>
      </c>
      <c r="D10" s="61" t="s">
        <v>80</v>
      </c>
      <c r="E10" s="12" t="s">
        <v>70</v>
      </c>
      <c r="F10" s="12" t="s">
        <v>71</v>
      </c>
      <c r="G10" s="12" t="s">
        <v>72</v>
      </c>
      <c r="H10" s="12" t="s">
        <v>73</v>
      </c>
      <c r="I10" s="12" t="s">
        <v>74</v>
      </c>
      <c r="J10" s="12" t="s">
        <v>75</v>
      </c>
      <c r="K10" s="12" t="s">
        <v>76</v>
      </c>
      <c r="L10" s="12" t="s">
        <v>77</v>
      </c>
      <c r="M10" s="21"/>
      <c r="N10" s="21"/>
      <c r="O10" s="22"/>
      <c r="P10" s="21"/>
      <c r="Q10" s="21"/>
      <c r="R10" s="22"/>
      <c r="S10" s="21"/>
      <c r="T10" s="21"/>
      <c r="U10" s="22"/>
      <c r="V10" s="21"/>
      <c r="W10" s="21"/>
      <c r="X10" s="21"/>
      <c r="Y10" s="21"/>
      <c r="Z10" s="21"/>
      <c r="AA10" s="21"/>
    </row>
    <row r="11" spans="1:27" ht="25.5" x14ac:dyDescent="0.2">
      <c r="A11" s="14" t="s">
        <v>69</v>
      </c>
      <c r="B11" s="80" t="s">
        <v>81</v>
      </c>
      <c r="C11" s="16">
        <v>1265.2</v>
      </c>
      <c r="D11" s="68">
        <v>0.71950000000000003</v>
      </c>
      <c r="E11" s="15">
        <v>797</v>
      </c>
      <c r="F11" s="15">
        <f>ROUND(C11*D11*E11,0)</f>
        <v>725518</v>
      </c>
      <c r="G11" s="15">
        <v>266</v>
      </c>
      <c r="H11" s="15">
        <f>ROUND(C11*D11*G11,0)</f>
        <v>242143</v>
      </c>
      <c r="I11" s="15">
        <v>171</v>
      </c>
      <c r="J11" s="15">
        <v>155663</v>
      </c>
      <c r="K11" s="69">
        <f>I11-G11</f>
        <v>-95</v>
      </c>
      <c r="L11" s="69">
        <f>J11-H11</f>
        <v>-86480</v>
      </c>
      <c r="M11" s="24"/>
      <c r="N11" s="24"/>
      <c r="O11" s="22"/>
      <c r="P11" s="24"/>
      <c r="Q11" s="24"/>
      <c r="R11" s="22"/>
      <c r="S11" s="24"/>
      <c r="T11" s="24"/>
      <c r="U11" s="22"/>
      <c r="V11" s="25"/>
      <c r="W11" s="25"/>
      <c r="X11" s="26"/>
      <c r="Y11" s="27"/>
      <c r="Z11" s="27"/>
      <c r="AA11" s="27"/>
    </row>
    <row r="12" spans="1:27" x14ac:dyDescent="0.2">
      <c r="A12" s="83" t="s">
        <v>62</v>
      </c>
      <c r="B12" s="83"/>
      <c r="C12" s="83"/>
    </row>
    <row r="14" spans="1:27" ht="9.75" customHeight="1" x14ac:dyDescent="0.2">
      <c r="A14" s="84" t="s">
        <v>78</v>
      </c>
      <c r="B14" s="84"/>
      <c r="C14" s="84"/>
      <c r="D14" s="84"/>
      <c r="E14" s="84"/>
      <c r="F14" s="84"/>
      <c r="G14" s="84"/>
      <c r="H14" s="84"/>
      <c r="I14" s="84"/>
      <c r="J14" s="84"/>
      <c r="K14" s="84"/>
      <c r="L14" s="84"/>
    </row>
    <row r="15" spans="1:27" ht="28.5" customHeight="1" x14ac:dyDescent="0.2">
      <c r="A15" s="84"/>
      <c r="B15" s="84"/>
      <c r="C15" s="84"/>
      <c r="D15" s="84"/>
      <c r="E15" s="84"/>
      <c r="F15" s="84"/>
      <c r="G15" s="84"/>
      <c r="H15" s="84"/>
      <c r="I15" s="84"/>
      <c r="J15" s="84"/>
      <c r="K15" s="84"/>
      <c r="L15" s="84"/>
    </row>
    <row r="16" spans="1:27" ht="51.75" customHeight="1" x14ac:dyDescent="0.2">
      <c r="A16" s="84"/>
      <c r="B16" s="84"/>
      <c r="C16" s="84"/>
      <c r="D16" s="84"/>
      <c r="E16" s="84"/>
      <c r="F16" s="84"/>
      <c r="G16" s="84"/>
      <c r="H16" s="84"/>
      <c r="I16" s="84"/>
      <c r="J16" s="84"/>
      <c r="K16" s="84"/>
      <c r="L16" s="84"/>
    </row>
  </sheetData>
  <mergeCells count="4">
    <mergeCell ref="A12:C12"/>
    <mergeCell ref="A14:L16"/>
    <mergeCell ref="A2:J2"/>
    <mergeCell ref="G1:J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F6E8B-B9A7-4E5E-BE13-76D6BFB5CE88}">
  <sheetPr>
    <tabColor theme="9" tint="0.79998168889431442"/>
  </sheetPr>
  <dimension ref="A1:I7"/>
  <sheetViews>
    <sheetView tabSelected="1" zoomScale="82" zoomScaleNormal="82" workbookViewId="0">
      <selection activeCell="B10" sqref="B10"/>
    </sheetView>
  </sheetViews>
  <sheetFormatPr defaultColWidth="8.85546875" defaultRowHeight="12.75" x14ac:dyDescent="0.2"/>
  <cols>
    <col min="1" max="1" width="26.85546875" style="2" customWidth="1"/>
    <col min="2" max="2" width="29.7109375" style="2" customWidth="1"/>
    <col min="3" max="3" width="20.28515625" style="2" customWidth="1"/>
    <col min="4" max="4" width="22.85546875" style="2" customWidth="1"/>
    <col min="5" max="5" width="24.28515625" style="2" customWidth="1"/>
    <col min="6" max="16384" width="8.85546875" style="2"/>
  </cols>
  <sheetData>
    <row r="1" spans="1:9" ht="51.75" customHeight="1" x14ac:dyDescent="0.2">
      <c r="C1" s="81" t="s">
        <v>25</v>
      </c>
      <c r="D1" s="81"/>
      <c r="E1" s="81"/>
    </row>
    <row r="2" spans="1:9" x14ac:dyDescent="0.2">
      <c r="A2" s="17" t="s">
        <v>86</v>
      </c>
    </row>
    <row r="3" spans="1:9" ht="50.25" customHeight="1" x14ac:dyDescent="0.2">
      <c r="A3" s="18" t="s">
        <v>15</v>
      </c>
      <c r="B3" s="19" t="s">
        <v>63</v>
      </c>
      <c r="C3" s="19" t="s">
        <v>85</v>
      </c>
      <c r="D3" s="19" t="s">
        <v>66</v>
      </c>
      <c r="E3" s="43" t="s">
        <v>67</v>
      </c>
    </row>
    <row r="4" spans="1:9" x14ac:dyDescent="0.2">
      <c r="A4" s="4" t="s">
        <v>21</v>
      </c>
      <c r="B4" s="16">
        <v>659.23</v>
      </c>
      <c r="C4" s="16">
        <v>245</v>
      </c>
      <c r="D4" s="66">
        <f>ROUND(B4*C4,0)</f>
        <v>161511</v>
      </c>
      <c r="E4" s="67">
        <f>D4*2</f>
        <v>323022</v>
      </c>
    </row>
    <row r="5" spans="1:9" x14ac:dyDescent="0.2">
      <c r="A5" s="20" t="s">
        <v>87</v>
      </c>
    </row>
    <row r="6" spans="1:9" x14ac:dyDescent="0.2">
      <c r="A6" s="20"/>
    </row>
    <row r="7" spans="1:9" ht="34.5" customHeight="1" x14ac:dyDescent="0.2">
      <c r="A7" s="81" t="s">
        <v>88</v>
      </c>
      <c r="B7" s="81"/>
      <c r="C7" s="81"/>
      <c r="D7" s="81"/>
      <c r="E7" s="81"/>
      <c r="F7" s="86"/>
      <c r="G7" s="86"/>
      <c r="H7" s="86"/>
      <c r="I7" s="86"/>
    </row>
  </sheetData>
  <mergeCells count="2">
    <mergeCell ref="C1:E1"/>
    <mergeCell ref="A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1.pielikums</vt:lpstr>
      <vt:lpstr>2.pielikums</vt: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Lazdiņa</cp:lastModifiedBy>
  <dcterms:created xsi:type="dcterms:W3CDTF">2024-05-29T11:42:25Z</dcterms:created>
  <dcterms:modified xsi:type="dcterms:W3CDTF">2024-06-10T12:37:42Z</dcterms:modified>
</cp:coreProperties>
</file>