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inga.osina\Desktop\LNG PIEPRASĪJUMI\Covid piemaksas un virsstundu apmaksa\PAŠVALDĪBAS\Ārkārtas situāc_11.10.2021-11.01.2022\LNG_2022_jan\Uz FM\"/>
    </mc:Choice>
  </mc:AlternateContent>
  <bookViews>
    <workbookView xWindow="0" yWindow="0" windowWidth="23040" windowHeight="7752"/>
  </bookViews>
  <sheets>
    <sheet name="2.pielikums" sheetId="7" r:id="rId1"/>
  </sheets>
  <definedNames>
    <definedName name="_xlnm.Print_Titles" localSheetId="0">'2.pielikums'!$8:$8</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564" i="7" l="1"/>
  <c r="H563" i="7"/>
  <c r="J563" i="7" s="1"/>
  <c r="H562" i="7"/>
  <c r="J562" i="7" s="1"/>
  <c r="H561" i="7"/>
  <c r="J561" i="7" s="1"/>
  <c r="H560" i="7"/>
  <c r="J560" i="7" s="1"/>
  <c r="K560" i="7" s="1"/>
  <c r="J559" i="7"/>
  <c r="K559" i="7" s="1"/>
  <c r="H559" i="7"/>
  <c r="H558" i="7"/>
  <c r="J558" i="7" s="1"/>
  <c r="H557" i="7"/>
  <c r="J557" i="7" s="1"/>
  <c r="H556" i="7"/>
  <c r="J556" i="7" s="1"/>
  <c r="H555" i="7"/>
  <c r="J555" i="7" s="1"/>
  <c r="H554" i="7"/>
  <c r="J554" i="7" s="1"/>
  <c r="H553" i="7"/>
  <c r="J553" i="7" s="1"/>
  <c r="H552" i="7"/>
  <c r="J552" i="7" s="1"/>
  <c r="K552" i="7" s="1"/>
  <c r="H551" i="7"/>
  <c r="J551" i="7" s="1"/>
  <c r="K551" i="7" s="1"/>
  <c r="L551" i="7" s="1"/>
  <c r="H550" i="7"/>
  <c r="J550" i="7" s="1"/>
  <c r="J549" i="7"/>
  <c r="H549" i="7"/>
  <c r="H548" i="7"/>
  <c r="J548" i="7" s="1"/>
  <c r="H547" i="7"/>
  <c r="J547" i="7" s="1"/>
  <c r="K547" i="7" s="1"/>
  <c r="H546" i="7"/>
  <c r="J546" i="7" s="1"/>
  <c r="H545" i="7"/>
  <c r="J545" i="7" s="1"/>
  <c r="H544" i="7"/>
  <c r="J544" i="7" s="1"/>
  <c r="H543" i="7"/>
  <c r="J543" i="7" s="1"/>
  <c r="K543" i="7" s="1"/>
  <c r="L543" i="7" s="1"/>
  <c r="H542" i="7"/>
  <c r="J542" i="7" s="1"/>
  <c r="K542" i="7" s="1"/>
  <c r="L542" i="7" s="1"/>
  <c r="H541" i="7"/>
  <c r="J541" i="7" s="1"/>
  <c r="K541" i="7" s="1"/>
  <c r="H540" i="7"/>
  <c r="J540" i="7" s="1"/>
  <c r="H539" i="7"/>
  <c r="J539" i="7" s="1"/>
  <c r="H538" i="7"/>
  <c r="J538" i="7" s="1"/>
  <c r="H537" i="7"/>
  <c r="J537" i="7" s="1"/>
  <c r="H536" i="7"/>
  <c r="J536" i="7" s="1"/>
  <c r="K536" i="7" s="1"/>
  <c r="J535" i="7"/>
  <c r="K535" i="7" s="1"/>
  <c r="H535" i="7"/>
  <c r="H534" i="7"/>
  <c r="J534" i="7" s="1"/>
  <c r="H533" i="7"/>
  <c r="J533" i="7" s="1"/>
  <c r="H532" i="7"/>
  <c r="J532" i="7" s="1"/>
  <c r="K532" i="7" s="1"/>
  <c r="H531" i="7"/>
  <c r="J531" i="7" s="1"/>
  <c r="H530" i="7"/>
  <c r="J530" i="7" s="1"/>
  <c r="H529" i="7"/>
  <c r="J529" i="7" s="1"/>
  <c r="H528" i="7"/>
  <c r="J528" i="7" s="1"/>
  <c r="K528" i="7" s="1"/>
  <c r="J527" i="7"/>
  <c r="K527" i="7" s="1"/>
  <c r="H527" i="7"/>
  <c r="H526" i="7"/>
  <c r="J526" i="7" s="1"/>
  <c r="H525" i="7"/>
  <c r="J525" i="7" s="1"/>
  <c r="H524" i="7"/>
  <c r="J524" i="7" s="1"/>
  <c r="H523" i="7"/>
  <c r="J523" i="7" s="1"/>
  <c r="J522" i="7"/>
  <c r="H522" i="7"/>
  <c r="H521" i="7"/>
  <c r="J521" i="7" s="1"/>
  <c r="H520" i="7"/>
  <c r="J520" i="7" s="1"/>
  <c r="K520" i="7" s="1"/>
  <c r="J519" i="7"/>
  <c r="K519" i="7" s="1"/>
  <c r="L519" i="7" s="1"/>
  <c r="H519" i="7"/>
  <c r="J518" i="7"/>
  <c r="K518" i="7" s="1"/>
  <c r="H518" i="7"/>
  <c r="H517" i="7"/>
  <c r="J517" i="7" s="1"/>
  <c r="H516" i="7"/>
  <c r="J516" i="7" s="1"/>
  <c r="K515" i="7"/>
  <c r="H515" i="7"/>
  <c r="J515" i="7" s="1"/>
  <c r="H514" i="7"/>
  <c r="J514" i="7" s="1"/>
  <c r="H513" i="7"/>
  <c r="J513" i="7" s="1"/>
  <c r="H512" i="7"/>
  <c r="J512" i="7" s="1"/>
  <c r="H511" i="7"/>
  <c r="J511" i="7" s="1"/>
  <c r="H510" i="7"/>
  <c r="J510" i="7" s="1"/>
  <c r="K510" i="7" s="1"/>
  <c r="L510" i="7" s="1"/>
  <c r="H509" i="7"/>
  <c r="J509" i="7" s="1"/>
  <c r="H508" i="7"/>
  <c r="J508" i="7" s="1"/>
  <c r="L505" i="7"/>
  <c r="K505" i="7"/>
  <c r="J505" i="7"/>
  <c r="I505" i="7"/>
  <c r="K471" i="7"/>
  <c r="J471" i="7"/>
  <c r="I471" i="7"/>
  <c r="L470" i="7"/>
  <c r="L469" i="7"/>
  <c r="I467" i="7"/>
  <c r="J466" i="7"/>
  <c r="G466" i="7"/>
  <c r="H466" i="7" s="1"/>
  <c r="H465" i="7"/>
  <c r="J465" i="7" s="1"/>
  <c r="H464" i="7"/>
  <c r="J464" i="7" s="1"/>
  <c r="H463" i="7"/>
  <c r="J463" i="7" s="1"/>
  <c r="H462" i="7"/>
  <c r="J462" i="7" s="1"/>
  <c r="H461" i="7"/>
  <c r="J461" i="7" s="1"/>
  <c r="H460" i="7"/>
  <c r="J460" i="7" s="1"/>
  <c r="I458" i="7"/>
  <c r="J457" i="7"/>
  <c r="K457" i="7" s="1"/>
  <c r="H457" i="7"/>
  <c r="H456" i="7"/>
  <c r="J456" i="7" s="1"/>
  <c r="J455" i="7"/>
  <c r="H455" i="7"/>
  <c r="H454" i="7"/>
  <c r="J454" i="7" s="1"/>
  <c r="H453" i="7"/>
  <c r="J453" i="7" s="1"/>
  <c r="K453" i="7" s="1"/>
  <c r="H452" i="7"/>
  <c r="J452" i="7" s="1"/>
  <c r="K452" i="7" s="1"/>
  <c r="H451" i="7"/>
  <c r="J451" i="7" s="1"/>
  <c r="J458" i="7" s="1"/>
  <c r="H450" i="7"/>
  <c r="J450" i="7" s="1"/>
  <c r="K450" i="7" s="1"/>
  <c r="I448" i="7"/>
  <c r="K447" i="7"/>
  <c r="L447" i="7" s="1"/>
  <c r="J447" i="7"/>
  <c r="J446" i="7"/>
  <c r="K446" i="7" s="1"/>
  <c r="J445" i="7"/>
  <c r="J444" i="7"/>
  <c r="J443" i="7"/>
  <c r="K443" i="7" s="1"/>
  <c r="J442" i="7"/>
  <c r="J441" i="7"/>
  <c r="I438" i="7"/>
  <c r="L437" i="7"/>
  <c r="K437" i="7"/>
  <c r="J436" i="7"/>
  <c r="K436" i="7" s="1"/>
  <c r="J435" i="7"/>
  <c r="K435" i="7" s="1"/>
  <c r="G435" i="7"/>
  <c r="J434" i="7"/>
  <c r="K434" i="7" s="1"/>
  <c r="L433" i="7"/>
  <c r="J433" i="7"/>
  <c r="K433" i="7" s="1"/>
  <c r="J432" i="7"/>
  <c r="L432" i="7" s="1"/>
  <c r="K431" i="7"/>
  <c r="J431" i="7"/>
  <c r="L431" i="7" s="1"/>
  <c r="L430" i="7"/>
  <c r="K430" i="7"/>
  <c r="J430" i="7"/>
  <c r="J429" i="7"/>
  <c r="J428" i="7"/>
  <c r="J427" i="7"/>
  <c r="L426" i="7"/>
  <c r="J426" i="7"/>
  <c r="J425" i="7"/>
  <c r="K425" i="7" s="1"/>
  <c r="L424" i="7"/>
  <c r="K424" i="7"/>
  <c r="J423" i="7"/>
  <c r="G423" i="7"/>
  <c r="K422" i="7"/>
  <c r="L422" i="7" s="1"/>
  <c r="J422" i="7"/>
  <c r="G422" i="7"/>
  <c r="L421" i="7"/>
  <c r="K421" i="7"/>
  <c r="G421" i="7"/>
  <c r="J420" i="7"/>
  <c r="L420" i="7" s="1"/>
  <c r="G420" i="7"/>
  <c r="J419" i="7"/>
  <c r="K419" i="7" s="1"/>
  <c r="G419" i="7"/>
  <c r="L418" i="7"/>
  <c r="K418" i="7"/>
  <c r="G418" i="7"/>
  <c r="J416" i="7"/>
  <c r="I416" i="7"/>
  <c r="K415" i="7"/>
  <c r="L415" i="7" s="1"/>
  <c r="K414" i="7"/>
  <c r="L414" i="7" s="1"/>
  <c r="K413" i="7"/>
  <c r="L413" i="7" s="1"/>
  <c r="K412" i="7"/>
  <c r="L412" i="7" s="1"/>
  <c r="K411" i="7"/>
  <c r="K410" i="7"/>
  <c r="L410" i="7" s="1"/>
  <c r="L409" i="7"/>
  <c r="K409" i="7"/>
  <c r="K408" i="7"/>
  <c r="L407" i="7"/>
  <c r="K407" i="7"/>
  <c r="K406" i="7"/>
  <c r="L406" i="7" s="1"/>
  <c r="K405" i="7"/>
  <c r="L405" i="7" s="1"/>
  <c r="L404" i="7"/>
  <c r="K404" i="7"/>
  <c r="I402" i="7"/>
  <c r="L401" i="7"/>
  <c r="L400" i="7"/>
  <c r="L399" i="7"/>
  <c r="H399" i="7"/>
  <c r="L398" i="7"/>
  <c r="H398" i="7"/>
  <c r="L397" i="7"/>
  <c r="H397" i="7"/>
  <c r="L396" i="7"/>
  <c r="H396" i="7"/>
  <c r="L395" i="7"/>
  <c r="H395" i="7"/>
  <c r="L394" i="7"/>
  <c r="H394" i="7"/>
  <c r="L393" i="7"/>
  <c r="H393" i="7"/>
  <c r="K392" i="7"/>
  <c r="K402" i="7" s="1"/>
  <c r="H392" i="7"/>
  <c r="L391" i="7"/>
  <c r="H391" i="7"/>
  <c r="L390" i="7"/>
  <c r="H390" i="7"/>
  <c r="L389" i="7"/>
  <c r="H389" i="7"/>
  <c r="J388" i="7"/>
  <c r="J402" i="7" s="1"/>
  <c r="I386" i="7"/>
  <c r="J385" i="7"/>
  <c r="H385" i="7"/>
  <c r="H384" i="7"/>
  <c r="J384" i="7" s="1"/>
  <c r="K383" i="7"/>
  <c r="H383" i="7"/>
  <c r="J383" i="7" s="1"/>
  <c r="H382" i="7"/>
  <c r="J382" i="7" s="1"/>
  <c r="I380" i="7"/>
  <c r="H379" i="7"/>
  <c r="J379" i="7" s="1"/>
  <c r="H378" i="7"/>
  <c r="J378" i="7" s="1"/>
  <c r="H377" i="7"/>
  <c r="J377" i="7" s="1"/>
  <c r="H376" i="7"/>
  <c r="J376" i="7" s="1"/>
  <c r="H375" i="7"/>
  <c r="J375" i="7" s="1"/>
  <c r="H374" i="7"/>
  <c r="J374" i="7" s="1"/>
  <c r="H373" i="7"/>
  <c r="J373" i="7" s="1"/>
  <c r="H372" i="7"/>
  <c r="J372" i="7" s="1"/>
  <c r="H371" i="7"/>
  <c r="J371" i="7" s="1"/>
  <c r="H370" i="7"/>
  <c r="J370" i="7" s="1"/>
  <c r="H369" i="7"/>
  <c r="J369" i="7" s="1"/>
  <c r="H368" i="7"/>
  <c r="J368" i="7" s="1"/>
  <c r="K368" i="7" s="1"/>
  <c r="H367" i="7"/>
  <c r="J367" i="7" s="1"/>
  <c r="J366" i="7"/>
  <c r="H366" i="7"/>
  <c r="H365" i="7"/>
  <c r="J365" i="7" s="1"/>
  <c r="H364" i="7"/>
  <c r="J364" i="7" s="1"/>
  <c r="H363" i="7"/>
  <c r="J363" i="7" s="1"/>
  <c r="H362" i="7"/>
  <c r="J362" i="7" s="1"/>
  <c r="H361" i="7"/>
  <c r="J361" i="7" s="1"/>
  <c r="H360" i="7"/>
  <c r="J360" i="7" s="1"/>
  <c r="K360" i="7" s="1"/>
  <c r="H359" i="7"/>
  <c r="J359" i="7" s="1"/>
  <c r="K359" i="7" s="1"/>
  <c r="H358" i="7"/>
  <c r="J358" i="7" s="1"/>
  <c r="H357" i="7"/>
  <c r="J357" i="7" s="1"/>
  <c r="H356" i="7"/>
  <c r="J356" i="7" s="1"/>
  <c r="H355" i="7"/>
  <c r="J355" i="7" s="1"/>
  <c r="H354" i="7"/>
  <c r="J354" i="7" s="1"/>
  <c r="K353" i="7"/>
  <c r="H353" i="7"/>
  <c r="J353" i="7" s="1"/>
  <c r="H352" i="7"/>
  <c r="J352" i="7" s="1"/>
  <c r="K352" i="7" s="1"/>
  <c r="H351" i="7"/>
  <c r="J351" i="7" s="1"/>
  <c r="H350" i="7"/>
  <c r="J350" i="7" s="1"/>
  <c r="H349" i="7"/>
  <c r="J349" i="7" s="1"/>
  <c r="H348" i="7"/>
  <c r="J348" i="7" s="1"/>
  <c r="H347" i="7"/>
  <c r="J347" i="7" s="1"/>
  <c r="H346" i="7"/>
  <c r="J346" i="7" s="1"/>
  <c r="H345" i="7"/>
  <c r="J345" i="7" s="1"/>
  <c r="H344" i="7"/>
  <c r="J344" i="7" s="1"/>
  <c r="H343" i="7"/>
  <c r="J343" i="7" s="1"/>
  <c r="H342" i="7"/>
  <c r="J342" i="7" s="1"/>
  <c r="H341" i="7"/>
  <c r="J341" i="7" s="1"/>
  <c r="L337" i="7"/>
  <c r="K337" i="7"/>
  <c r="J337" i="7"/>
  <c r="I337" i="7"/>
  <c r="L336" i="7"/>
  <c r="L335" i="7"/>
  <c r="L334" i="7"/>
  <c r="L333" i="7"/>
  <c r="L332" i="7"/>
  <c r="L331" i="7"/>
  <c r="L330" i="7"/>
  <c r="L329" i="7"/>
  <c r="L328" i="7"/>
  <c r="L327" i="7"/>
  <c r="L326" i="7"/>
  <c r="L325" i="7"/>
  <c r="L324" i="7"/>
  <c r="L323" i="7"/>
  <c r="L322" i="7"/>
  <c r="H322" i="7"/>
  <c r="K319" i="7"/>
  <c r="I319" i="7"/>
  <c r="J318" i="7"/>
  <c r="L318" i="7" s="1"/>
  <c r="H318" i="7"/>
  <c r="H317" i="7"/>
  <c r="J317" i="7" s="1"/>
  <c r="J316" i="7"/>
  <c r="H316" i="7"/>
  <c r="H315" i="7"/>
  <c r="J315" i="7" s="1"/>
  <c r="L315" i="7" s="1"/>
  <c r="J314" i="7"/>
  <c r="L314" i="7" s="1"/>
  <c r="H314" i="7"/>
  <c r="H313" i="7"/>
  <c r="J313" i="7" s="1"/>
  <c r="H312" i="7"/>
  <c r="J312" i="7" s="1"/>
  <c r="I310" i="7"/>
  <c r="I320" i="7" s="1"/>
  <c r="I9" i="7" s="1"/>
  <c r="H309" i="7"/>
  <c r="J309" i="7" s="1"/>
  <c r="K309" i="7" s="1"/>
  <c r="G309" i="7"/>
  <c r="G308" i="7"/>
  <c r="H308" i="7" s="1"/>
  <c r="J308" i="7" s="1"/>
  <c r="G307" i="7"/>
  <c r="G306" i="7"/>
  <c r="H306" i="7" s="1"/>
  <c r="J306" i="7" s="1"/>
  <c r="K306" i="7" s="1"/>
  <c r="G305" i="7"/>
  <c r="H305" i="7" s="1"/>
  <c r="J305" i="7" s="1"/>
  <c r="K305" i="7" s="1"/>
  <c r="G304" i="7"/>
  <c r="H304" i="7" s="1"/>
  <c r="J304" i="7" s="1"/>
  <c r="G303" i="7"/>
  <c r="G302" i="7"/>
  <c r="H302" i="7" s="1"/>
  <c r="J302" i="7" s="1"/>
  <c r="G301" i="7"/>
  <c r="H301" i="7" s="1"/>
  <c r="J301" i="7" s="1"/>
  <c r="K301" i="7" s="1"/>
  <c r="G300" i="7"/>
  <c r="G299" i="7"/>
  <c r="G298" i="7"/>
  <c r="H298" i="7" s="1"/>
  <c r="J298" i="7" s="1"/>
  <c r="K298" i="7" s="1"/>
  <c r="G297" i="7"/>
  <c r="H297" i="7" s="1"/>
  <c r="J297" i="7" s="1"/>
  <c r="K297" i="7" s="1"/>
  <c r="L297" i="7" s="1"/>
  <c r="G296" i="7"/>
  <c r="G295" i="7"/>
  <c r="G294" i="7"/>
  <c r="H294" i="7" s="1"/>
  <c r="J294" i="7" s="1"/>
  <c r="K294" i="7" s="1"/>
  <c r="H293" i="7"/>
  <c r="J293" i="7" s="1"/>
  <c r="K293" i="7" s="1"/>
  <c r="G293" i="7"/>
  <c r="G292" i="7"/>
  <c r="H292" i="7" s="1"/>
  <c r="J292" i="7" s="1"/>
  <c r="G291" i="7"/>
  <c r="H291" i="7" s="1"/>
  <c r="J291" i="7" s="1"/>
  <c r="H290" i="7"/>
  <c r="J290" i="7" s="1"/>
  <c r="G290" i="7"/>
  <c r="G289" i="7"/>
  <c r="H289" i="7" s="1"/>
  <c r="J289" i="7" s="1"/>
  <c r="H288" i="7"/>
  <c r="J288" i="7" s="1"/>
  <c r="G288" i="7"/>
  <c r="H287" i="7"/>
  <c r="J287" i="7" s="1"/>
  <c r="G287" i="7"/>
  <c r="G286" i="7"/>
  <c r="H286" i="7" s="1"/>
  <c r="J286" i="7" s="1"/>
  <c r="L283" i="7"/>
  <c r="K283" i="7"/>
  <c r="J283" i="7"/>
  <c r="I283" i="7"/>
  <c r="I233" i="7"/>
  <c r="H232" i="7"/>
  <c r="J232" i="7" s="1"/>
  <c r="H231" i="7"/>
  <c r="J231" i="7" s="1"/>
  <c r="H230" i="7"/>
  <c r="J230" i="7" s="1"/>
  <c r="H229" i="7"/>
  <c r="J229" i="7" s="1"/>
  <c r="J228" i="7"/>
  <c r="K228" i="7" s="1"/>
  <c r="L228" i="7" s="1"/>
  <c r="H228" i="7"/>
  <c r="H227" i="7"/>
  <c r="J227" i="7" s="1"/>
  <c r="H226" i="7"/>
  <c r="J226" i="7" s="1"/>
  <c r="K226" i="7" s="1"/>
  <c r="H225" i="7"/>
  <c r="J225" i="7" s="1"/>
  <c r="H224" i="7"/>
  <c r="J224" i="7" s="1"/>
  <c r="H223" i="7"/>
  <c r="J223" i="7" s="1"/>
  <c r="H222" i="7"/>
  <c r="J222" i="7" s="1"/>
  <c r="K222" i="7" s="1"/>
  <c r="H221" i="7"/>
  <c r="J221" i="7" s="1"/>
  <c r="H220" i="7"/>
  <c r="J220" i="7" s="1"/>
  <c r="K220" i="7" s="1"/>
  <c r="H219" i="7"/>
  <c r="J219" i="7" s="1"/>
  <c r="K219" i="7" s="1"/>
  <c r="H218" i="7"/>
  <c r="J218" i="7" s="1"/>
  <c r="H217" i="7"/>
  <c r="J217" i="7" s="1"/>
  <c r="K217" i="7" s="1"/>
  <c r="H216" i="7"/>
  <c r="J216" i="7" s="1"/>
  <c r="K216" i="7" s="1"/>
  <c r="L216" i="7" s="1"/>
  <c r="H215" i="7"/>
  <c r="J215" i="7" s="1"/>
  <c r="J214" i="7"/>
  <c r="K214" i="7" s="1"/>
  <c r="H214" i="7"/>
  <c r="H213" i="7"/>
  <c r="J213" i="7" s="1"/>
  <c r="H212" i="7"/>
  <c r="J212" i="7" s="1"/>
  <c r="H211" i="7"/>
  <c r="J211" i="7" s="1"/>
  <c r="K211" i="7" s="1"/>
  <c r="J210" i="7"/>
  <c r="H210" i="7"/>
  <c r="H209" i="7"/>
  <c r="J209" i="7" s="1"/>
  <c r="H208" i="7"/>
  <c r="J208" i="7" s="1"/>
  <c r="K208" i="7" s="1"/>
  <c r="H207" i="7"/>
  <c r="J207" i="7" s="1"/>
  <c r="K207" i="7" s="1"/>
  <c r="H206" i="7"/>
  <c r="J206" i="7" s="1"/>
  <c r="I204" i="7"/>
  <c r="G203" i="7"/>
  <c r="H203" i="7" s="1"/>
  <c r="J203" i="7" s="1"/>
  <c r="G202" i="7"/>
  <c r="H202" i="7" s="1"/>
  <c r="J202" i="7" s="1"/>
  <c r="G201" i="7"/>
  <c r="H201" i="7" s="1"/>
  <c r="J201" i="7" s="1"/>
  <c r="G200" i="7"/>
  <c r="H200" i="7" s="1"/>
  <c r="J200" i="7" s="1"/>
  <c r="G199" i="7"/>
  <c r="H199" i="7" s="1"/>
  <c r="J199" i="7" s="1"/>
  <c r="G198" i="7"/>
  <c r="H198" i="7" s="1"/>
  <c r="J198" i="7" s="1"/>
  <c r="G197" i="7"/>
  <c r="H197" i="7" s="1"/>
  <c r="J197" i="7" s="1"/>
  <c r="G196" i="7"/>
  <c r="H196" i="7" s="1"/>
  <c r="J196" i="7" s="1"/>
  <c r="K196" i="7" s="1"/>
  <c r="G195" i="7"/>
  <c r="H195" i="7" s="1"/>
  <c r="J195" i="7" s="1"/>
  <c r="G194" i="7"/>
  <c r="G193" i="7"/>
  <c r="H193" i="7" s="1"/>
  <c r="J193" i="7" s="1"/>
  <c r="G192" i="7"/>
  <c r="G191" i="7"/>
  <c r="I189" i="7"/>
  <c r="H188" i="7"/>
  <c r="J188" i="7" s="1"/>
  <c r="H187" i="7"/>
  <c r="J187" i="7" s="1"/>
  <c r="H186" i="7"/>
  <c r="J186" i="7" s="1"/>
  <c r="H185" i="7"/>
  <c r="J185" i="7" s="1"/>
  <c r="H184" i="7"/>
  <c r="J184" i="7" s="1"/>
  <c r="K184" i="7" s="1"/>
  <c r="H183" i="7"/>
  <c r="J183" i="7" s="1"/>
  <c r="H182" i="7"/>
  <c r="J182" i="7" s="1"/>
  <c r="H181" i="7"/>
  <c r="J181" i="7" s="1"/>
  <c r="J180" i="7"/>
  <c r="K180" i="7" s="1"/>
  <c r="H180" i="7"/>
  <c r="H179" i="7"/>
  <c r="J179" i="7" s="1"/>
  <c r="K179" i="7" s="1"/>
  <c r="H178" i="7"/>
  <c r="J178" i="7" s="1"/>
  <c r="H177" i="7"/>
  <c r="J177" i="7" s="1"/>
  <c r="H176" i="7"/>
  <c r="J176" i="7" s="1"/>
  <c r="J175" i="7"/>
  <c r="H175" i="7"/>
  <c r="H174" i="7"/>
  <c r="J174" i="7" s="1"/>
  <c r="H173" i="7"/>
  <c r="J173" i="7" s="1"/>
  <c r="H172" i="7"/>
  <c r="J172" i="7" s="1"/>
  <c r="K172" i="7" s="1"/>
  <c r="H171" i="7"/>
  <c r="J171" i="7" s="1"/>
  <c r="H170" i="7"/>
  <c r="J170" i="7" s="1"/>
  <c r="H169" i="7"/>
  <c r="J169" i="7" s="1"/>
  <c r="H168" i="7"/>
  <c r="J168" i="7" s="1"/>
  <c r="K168" i="7" s="1"/>
  <c r="H167" i="7"/>
  <c r="J167" i="7" s="1"/>
  <c r="H166" i="7"/>
  <c r="J166" i="7" s="1"/>
  <c r="H165" i="7"/>
  <c r="J165" i="7" s="1"/>
  <c r="H164" i="7"/>
  <c r="J164" i="7" s="1"/>
  <c r="H163" i="7"/>
  <c r="J163" i="7" s="1"/>
  <c r="H162" i="7"/>
  <c r="J162" i="7" s="1"/>
  <c r="K162" i="7" s="1"/>
  <c r="H161" i="7"/>
  <c r="J161" i="7" s="1"/>
  <c r="K161" i="7" s="1"/>
  <c r="J160" i="7"/>
  <c r="K160" i="7" s="1"/>
  <c r="H160" i="7"/>
  <c r="H159" i="7"/>
  <c r="J159" i="7" s="1"/>
  <c r="H158" i="7"/>
  <c r="J158" i="7" s="1"/>
  <c r="H157" i="7"/>
  <c r="J157" i="7" s="1"/>
  <c r="H156" i="7"/>
  <c r="J156" i="7" s="1"/>
  <c r="H155" i="7"/>
  <c r="J155" i="7" s="1"/>
  <c r="H154" i="7"/>
  <c r="J154" i="7" s="1"/>
  <c r="K154" i="7" s="1"/>
  <c r="H153" i="7"/>
  <c r="J153" i="7" s="1"/>
  <c r="K153" i="7" s="1"/>
  <c r="H152" i="7"/>
  <c r="J152" i="7" s="1"/>
  <c r="H151" i="7"/>
  <c r="J151" i="7" s="1"/>
  <c r="H150" i="7"/>
  <c r="J150" i="7" s="1"/>
  <c r="H149" i="7"/>
  <c r="J149" i="7" s="1"/>
  <c r="H148" i="7"/>
  <c r="J148" i="7" s="1"/>
  <c r="H147" i="7"/>
  <c r="J147" i="7" s="1"/>
  <c r="H146" i="7"/>
  <c r="J146" i="7" s="1"/>
  <c r="K146" i="7" s="1"/>
  <c r="H145" i="7"/>
  <c r="J145" i="7" s="1"/>
  <c r="H144" i="7"/>
  <c r="J144" i="7" s="1"/>
  <c r="H143" i="7"/>
  <c r="J143" i="7" s="1"/>
  <c r="H142" i="7"/>
  <c r="J142" i="7" s="1"/>
  <c r="K142" i="7" s="1"/>
  <c r="H141" i="7"/>
  <c r="J141" i="7" s="1"/>
  <c r="H140" i="7"/>
  <c r="J140" i="7" s="1"/>
  <c r="H139" i="7"/>
  <c r="J139" i="7" s="1"/>
  <c r="H138" i="7"/>
  <c r="J138" i="7" s="1"/>
  <c r="K138" i="7" s="1"/>
  <c r="H137" i="7"/>
  <c r="J137" i="7" s="1"/>
  <c r="K137" i="7" s="1"/>
  <c r="H136" i="7"/>
  <c r="J136" i="7" s="1"/>
  <c r="H135" i="7"/>
  <c r="J135" i="7" s="1"/>
  <c r="H134" i="7"/>
  <c r="J134" i="7" s="1"/>
  <c r="H133" i="7"/>
  <c r="J133" i="7" s="1"/>
  <c r="H132" i="7"/>
  <c r="J132" i="7" s="1"/>
  <c r="H131" i="7"/>
  <c r="J131" i="7" s="1"/>
  <c r="H130" i="7"/>
  <c r="J130" i="7" s="1"/>
  <c r="K130" i="7" s="1"/>
  <c r="H129" i="7"/>
  <c r="J129" i="7" s="1"/>
  <c r="K129" i="7" s="1"/>
  <c r="L129" i="7" s="1"/>
  <c r="H128" i="7"/>
  <c r="J128" i="7" s="1"/>
  <c r="H127" i="7"/>
  <c r="J127" i="7" s="1"/>
  <c r="H126" i="7"/>
  <c r="J126" i="7" s="1"/>
  <c r="H125" i="7"/>
  <c r="J125" i="7" s="1"/>
  <c r="H124" i="7"/>
  <c r="J124" i="7" s="1"/>
  <c r="H123" i="7"/>
  <c r="J123" i="7" s="1"/>
  <c r="H122" i="7"/>
  <c r="J122" i="7" s="1"/>
  <c r="K122" i="7" s="1"/>
  <c r="G121" i="7"/>
  <c r="H121" i="7" s="1"/>
  <c r="J121" i="7" s="1"/>
  <c r="K121" i="7" s="1"/>
  <c r="L121" i="7" s="1"/>
  <c r="G120" i="7"/>
  <c r="H120" i="7" s="1"/>
  <c r="J120" i="7" s="1"/>
  <c r="G119" i="7"/>
  <c r="H119" i="7" s="1"/>
  <c r="J119" i="7" s="1"/>
  <c r="G118" i="7"/>
  <c r="H118" i="7" s="1"/>
  <c r="J118" i="7" s="1"/>
  <c r="K118" i="7" s="1"/>
  <c r="G117" i="7"/>
  <c r="H117" i="7" s="1"/>
  <c r="J117" i="7" s="1"/>
  <c r="K117" i="7" s="1"/>
  <c r="G116" i="7"/>
  <c r="H116" i="7" s="1"/>
  <c r="J116" i="7" s="1"/>
  <c r="H115" i="7"/>
  <c r="J115" i="7" s="1"/>
  <c r="K115" i="7" s="1"/>
  <c r="H114" i="7"/>
  <c r="J114" i="7" s="1"/>
  <c r="H113" i="7"/>
  <c r="J113" i="7" s="1"/>
  <c r="H112" i="7"/>
  <c r="J112" i="7" s="1"/>
  <c r="H111" i="7"/>
  <c r="J111" i="7" s="1"/>
  <c r="H110" i="7"/>
  <c r="J110" i="7" s="1"/>
  <c r="H109" i="7"/>
  <c r="J109" i="7" s="1"/>
  <c r="H108" i="7"/>
  <c r="J108" i="7" s="1"/>
  <c r="K108" i="7" s="1"/>
  <c r="H107" i="7"/>
  <c r="J107" i="7" s="1"/>
  <c r="K107" i="7" s="1"/>
  <c r="L107" i="7" s="1"/>
  <c r="H106" i="7"/>
  <c r="J106" i="7" s="1"/>
  <c r="H105" i="7"/>
  <c r="J105" i="7" s="1"/>
  <c r="H104" i="7"/>
  <c r="J104" i="7" s="1"/>
  <c r="I102" i="7"/>
  <c r="H101" i="7"/>
  <c r="J101" i="7" s="1"/>
  <c r="K101" i="7" s="1"/>
  <c r="H100" i="7"/>
  <c r="J100" i="7" s="1"/>
  <c r="H99" i="7"/>
  <c r="J99" i="7" s="1"/>
  <c r="H98" i="7"/>
  <c r="J98" i="7" s="1"/>
  <c r="H97" i="7"/>
  <c r="J97" i="7" s="1"/>
  <c r="K97" i="7" s="1"/>
  <c r="J96" i="7"/>
  <c r="K96" i="7" s="1"/>
  <c r="H96" i="7"/>
  <c r="H95" i="7"/>
  <c r="J95" i="7" s="1"/>
  <c r="H94" i="7"/>
  <c r="J94" i="7" s="1"/>
  <c r="H93" i="7"/>
  <c r="J93" i="7" s="1"/>
  <c r="H92" i="7"/>
  <c r="J92" i="7" s="1"/>
  <c r="I90" i="7"/>
  <c r="H89" i="7"/>
  <c r="J89" i="7" s="1"/>
  <c r="H88" i="7"/>
  <c r="J88" i="7" s="1"/>
  <c r="H87" i="7"/>
  <c r="J87" i="7" s="1"/>
  <c r="H86" i="7"/>
  <c r="J86" i="7" s="1"/>
  <c r="H85" i="7"/>
  <c r="J85" i="7" s="1"/>
  <c r="H84" i="7"/>
  <c r="J84" i="7" s="1"/>
  <c r="H83" i="7"/>
  <c r="J83" i="7" s="1"/>
  <c r="H82" i="7"/>
  <c r="J82" i="7" s="1"/>
  <c r="K82" i="7" s="1"/>
  <c r="L82" i="7" s="1"/>
  <c r="H81" i="7"/>
  <c r="J81" i="7" s="1"/>
  <c r="K81" i="7" s="1"/>
  <c r="H80" i="7"/>
  <c r="J80" i="7" s="1"/>
  <c r="H79" i="7"/>
  <c r="J79" i="7" s="1"/>
  <c r="H78" i="7"/>
  <c r="J78" i="7" s="1"/>
  <c r="J77" i="7"/>
  <c r="I75" i="7"/>
  <c r="H74" i="7"/>
  <c r="J74" i="7" s="1"/>
  <c r="K74" i="7" s="1"/>
  <c r="L74" i="7" s="1"/>
  <c r="G74" i="7"/>
  <c r="H73" i="7"/>
  <c r="J73" i="7" s="1"/>
  <c r="K73" i="7" s="1"/>
  <c r="L73" i="7" s="1"/>
  <c r="G73" i="7"/>
  <c r="H72" i="7"/>
  <c r="J72" i="7" s="1"/>
  <c r="G72" i="7"/>
  <c r="G71" i="7"/>
  <c r="H71" i="7" s="1"/>
  <c r="J71" i="7" s="1"/>
  <c r="G70" i="7"/>
  <c r="H70" i="7" s="1"/>
  <c r="J70" i="7" s="1"/>
  <c r="K70" i="7" s="1"/>
  <c r="J69" i="7"/>
  <c r="H69" i="7"/>
  <c r="G69" i="7"/>
  <c r="G68" i="7"/>
  <c r="H68" i="7" s="1"/>
  <c r="J68" i="7" s="1"/>
  <c r="G67" i="7"/>
  <c r="H67" i="7" s="1"/>
  <c r="J67" i="7" s="1"/>
  <c r="G66" i="7"/>
  <c r="H66" i="7" s="1"/>
  <c r="J66" i="7" s="1"/>
  <c r="H65" i="7"/>
  <c r="J65" i="7" s="1"/>
  <c r="G65" i="7"/>
  <c r="I63" i="7"/>
  <c r="H62" i="7"/>
  <c r="J62" i="7" s="1"/>
  <c r="G62" i="7"/>
  <c r="G61" i="7"/>
  <c r="H61" i="7" s="1"/>
  <c r="J61" i="7" s="1"/>
  <c r="G60" i="7"/>
  <c r="H60" i="7" s="1"/>
  <c r="J60" i="7" s="1"/>
  <c r="G59" i="7"/>
  <c r="H59" i="7" s="1"/>
  <c r="J59" i="7" s="1"/>
  <c r="G58" i="7"/>
  <c r="H58" i="7" s="1"/>
  <c r="J58" i="7" s="1"/>
  <c r="G57" i="7"/>
  <c r="H57" i="7" s="1"/>
  <c r="J57" i="7" s="1"/>
  <c r="G56" i="7"/>
  <c r="H56" i="7" s="1"/>
  <c r="J56" i="7" s="1"/>
  <c r="G55" i="7"/>
  <c r="H55" i="7" s="1"/>
  <c r="J55" i="7" s="1"/>
  <c r="G54" i="7"/>
  <c r="H54" i="7" s="1"/>
  <c r="J54" i="7" s="1"/>
  <c r="G53" i="7"/>
  <c r="H53" i="7" s="1"/>
  <c r="J53" i="7" s="1"/>
  <c r="G52" i="7"/>
  <c r="H52" i="7" s="1"/>
  <c r="J52" i="7" s="1"/>
  <c r="G51" i="7"/>
  <c r="H51" i="7" s="1"/>
  <c r="J51" i="7" s="1"/>
  <c r="H50" i="7"/>
  <c r="J50" i="7" s="1"/>
  <c r="G50" i="7"/>
  <c r="G49" i="7"/>
  <c r="H49" i="7" s="1"/>
  <c r="J49" i="7" s="1"/>
  <c r="G48" i="7"/>
  <c r="H48" i="7" s="1"/>
  <c r="J48" i="7" s="1"/>
  <c r="G47" i="7"/>
  <c r="H47" i="7" s="1"/>
  <c r="J47" i="7" s="1"/>
  <c r="G46" i="7"/>
  <c r="H46" i="7" s="1"/>
  <c r="J46" i="7" s="1"/>
  <c r="G45" i="7"/>
  <c r="H45" i="7" s="1"/>
  <c r="J45" i="7" s="1"/>
  <c r="K43" i="7"/>
  <c r="J43" i="7"/>
  <c r="I43" i="7"/>
  <c r="L42" i="7"/>
  <c r="L41" i="7"/>
  <c r="L43" i="7" s="1"/>
  <c r="I39" i="7"/>
  <c r="H38" i="7"/>
  <c r="J38" i="7" s="1"/>
  <c r="H37" i="7"/>
  <c r="J37" i="7" s="1"/>
  <c r="H36" i="7"/>
  <c r="J36" i="7" s="1"/>
  <c r="H35" i="7"/>
  <c r="J35" i="7" s="1"/>
  <c r="H34" i="7"/>
  <c r="J34" i="7" s="1"/>
  <c r="H33" i="7"/>
  <c r="J33" i="7" s="1"/>
  <c r="H32" i="7"/>
  <c r="J32" i="7" s="1"/>
  <c r="K32" i="7" s="1"/>
  <c r="H31" i="7"/>
  <c r="J31" i="7" s="1"/>
  <c r="H30" i="7"/>
  <c r="J30" i="7" s="1"/>
  <c r="H29" i="7"/>
  <c r="J29" i="7" s="1"/>
  <c r="J28" i="7"/>
  <c r="H28" i="7"/>
  <c r="H27" i="7"/>
  <c r="J27" i="7" s="1"/>
  <c r="H26" i="7"/>
  <c r="J26" i="7" s="1"/>
  <c r="H25" i="7"/>
  <c r="J25" i="7" s="1"/>
  <c r="K25" i="7" s="1"/>
  <c r="L25" i="7" s="1"/>
  <c r="H24" i="7"/>
  <c r="J24" i="7" s="1"/>
  <c r="K24" i="7" s="1"/>
  <c r="H23" i="7"/>
  <c r="J23" i="7" s="1"/>
  <c r="H22" i="7"/>
  <c r="J22" i="7" s="1"/>
  <c r="H21" i="7"/>
  <c r="J21" i="7" s="1"/>
  <c r="H20" i="7"/>
  <c r="J20" i="7" s="1"/>
  <c r="H19" i="7"/>
  <c r="J19" i="7" s="1"/>
  <c r="H18" i="7"/>
  <c r="J18" i="7" s="1"/>
  <c r="H17" i="7"/>
  <c r="J17" i="7" s="1"/>
  <c r="H16" i="7"/>
  <c r="J16" i="7" s="1"/>
  <c r="K16" i="7" s="1"/>
  <c r="H15" i="7"/>
  <c r="J15" i="7" s="1"/>
  <c r="H14" i="7"/>
  <c r="J14" i="7" s="1"/>
  <c r="H13" i="7"/>
  <c r="J13" i="7" s="1"/>
  <c r="H12" i="7"/>
  <c r="J12" i="7" s="1"/>
  <c r="H11" i="7"/>
  <c r="J11" i="7" s="1"/>
  <c r="K83" i="7" l="1"/>
  <c r="L83" i="7" s="1"/>
  <c r="L176" i="7"/>
  <c r="K176" i="7"/>
  <c r="K145" i="7"/>
  <c r="L145" i="7"/>
  <c r="K229" i="7"/>
  <c r="L229" i="7" s="1"/>
  <c r="K516" i="7"/>
  <c r="L516" i="7"/>
  <c r="K550" i="7"/>
  <c r="L550" i="7" s="1"/>
  <c r="K89" i="7"/>
  <c r="L89" i="7" s="1"/>
  <c r="K128" i="7"/>
  <c r="L128" i="7" s="1"/>
  <c r="K511" i="7"/>
  <c r="L511" i="7" s="1"/>
  <c r="K17" i="7"/>
  <c r="L17" i="7" s="1"/>
  <c r="K21" i="7"/>
  <c r="L21" i="7" s="1"/>
  <c r="K106" i="7"/>
  <c r="L106" i="7"/>
  <c r="K175" i="7"/>
  <c r="L175" i="7" s="1"/>
  <c r="L184" i="7"/>
  <c r="L359" i="7"/>
  <c r="L419" i="7"/>
  <c r="L471" i="7"/>
  <c r="L527" i="7"/>
  <c r="L559" i="7"/>
  <c r="L101" i="7"/>
  <c r="K420" i="7"/>
  <c r="K432" i="7"/>
  <c r="L560" i="7"/>
  <c r="L146" i="7"/>
  <c r="L388" i="7"/>
  <c r="L436" i="7"/>
  <c r="L528" i="7"/>
  <c r="L154" i="7"/>
  <c r="K13" i="7"/>
  <c r="L13" i="7" s="1"/>
  <c r="L180" i="7"/>
  <c r="L425" i="7"/>
  <c r="L446" i="7"/>
  <c r="L518" i="7"/>
  <c r="K59" i="7"/>
  <c r="L59" i="7" s="1"/>
  <c r="K127" i="7"/>
  <c r="L127" i="7" s="1"/>
  <c r="K165" i="7"/>
  <c r="K29" i="7"/>
  <c r="L29" i="7" s="1"/>
  <c r="K51" i="7"/>
  <c r="K112" i="7"/>
  <c r="K157" i="7"/>
  <c r="K80" i="7"/>
  <c r="L80" i="7" s="1"/>
  <c r="K48" i="7"/>
  <c r="L48" i="7" s="1"/>
  <c r="K52" i="7"/>
  <c r="K56" i="7"/>
  <c r="L56" i="7" s="1"/>
  <c r="K60" i="7"/>
  <c r="L60" i="7" s="1"/>
  <c r="J189" i="7"/>
  <c r="K104" i="7"/>
  <c r="K166" i="7"/>
  <c r="L166" i="7" s="1"/>
  <c r="K55" i="7"/>
  <c r="K94" i="7"/>
  <c r="K27" i="7"/>
  <c r="L27" i="7" s="1"/>
  <c r="L30" i="7"/>
  <c r="K30" i="7"/>
  <c r="K14" i="7"/>
  <c r="K23" i="7"/>
  <c r="K33" i="7"/>
  <c r="K113" i="7"/>
  <c r="L113" i="7" s="1"/>
  <c r="K133" i="7"/>
  <c r="K158" i="7"/>
  <c r="L158" i="7" s="1"/>
  <c r="K22" i="7"/>
  <c r="L22" i="7" s="1"/>
  <c r="K47" i="7"/>
  <c r="L47" i="7" s="1"/>
  <c r="K18" i="7"/>
  <c r="K19" i="7"/>
  <c r="K45" i="7"/>
  <c r="L45" i="7" s="1"/>
  <c r="J63" i="7"/>
  <c r="K49" i="7"/>
  <c r="K53" i="7"/>
  <c r="K57" i="7"/>
  <c r="L57" i="7" s="1"/>
  <c r="K61" i="7"/>
  <c r="K71" i="7"/>
  <c r="K78" i="7"/>
  <c r="K88" i="7"/>
  <c r="J102" i="7"/>
  <c r="K92" i="7"/>
  <c r="L92" i="7" s="1"/>
  <c r="K105" i="7"/>
  <c r="K125" i="7"/>
  <c r="L125" i="7" s="1"/>
  <c r="K34" i="7"/>
  <c r="K159" i="7"/>
  <c r="L159" i="7" s="1"/>
  <c r="K37" i="7"/>
  <c r="L37" i="7" s="1"/>
  <c r="K134" i="7"/>
  <c r="L134" i="7" s="1"/>
  <c r="K150" i="7"/>
  <c r="K15" i="7"/>
  <c r="K46" i="7"/>
  <c r="L50" i="7"/>
  <c r="K50" i="7"/>
  <c r="K54" i="7"/>
  <c r="K58" i="7"/>
  <c r="L58" i="7" s="1"/>
  <c r="K62" i="7"/>
  <c r="L62" i="7" s="1"/>
  <c r="K79" i="7"/>
  <c r="L79" i="7" s="1"/>
  <c r="K93" i="7"/>
  <c r="K126" i="7"/>
  <c r="K11" i="7"/>
  <c r="L11" i="7" s="1"/>
  <c r="J39" i="7"/>
  <c r="K26" i="7"/>
  <c r="K35" i="7"/>
  <c r="K38" i="7"/>
  <c r="K86" i="7"/>
  <c r="L86" i="7" s="1"/>
  <c r="K111" i="7"/>
  <c r="L111" i="7" s="1"/>
  <c r="K135" i="7"/>
  <c r="L135" i="7" s="1"/>
  <c r="K149" i="7"/>
  <c r="L142" i="7"/>
  <c r="K147" i="7"/>
  <c r="L147" i="7" s="1"/>
  <c r="L172" i="7"/>
  <c r="K193" i="7"/>
  <c r="K212" i="7"/>
  <c r="L212" i="7" s="1"/>
  <c r="K215" i="7"/>
  <c r="K225" i="7"/>
  <c r="K342" i="7"/>
  <c r="K286" i="7"/>
  <c r="L16" i="7"/>
  <c r="L24" i="7"/>
  <c r="K31" i="7"/>
  <c r="L32" i="7"/>
  <c r="K65" i="7"/>
  <c r="K66" i="7"/>
  <c r="K67" i="7"/>
  <c r="K68" i="7"/>
  <c r="K69" i="7"/>
  <c r="L70" i="7"/>
  <c r="L81" i="7"/>
  <c r="L108" i="7"/>
  <c r="K110" i="7"/>
  <c r="L118" i="7"/>
  <c r="L130" i="7"/>
  <c r="K132" i="7"/>
  <c r="K144" i="7"/>
  <c r="K151" i="7"/>
  <c r="L161" i="7"/>
  <c r="K163" i="7"/>
  <c r="L163" i="7" s="1"/>
  <c r="K174" i="7"/>
  <c r="H194" i="7"/>
  <c r="J194" i="7" s="1"/>
  <c r="K213" i="7"/>
  <c r="K230" i="7"/>
  <c r="L377" i="7"/>
  <c r="K377" i="7"/>
  <c r="K177" i="7"/>
  <c r="H296" i="7"/>
  <c r="J296" i="7" s="1"/>
  <c r="L31" i="7"/>
  <c r="L96" i="7"/>
  <c r="K98" i="7"/>
  <c r="L115" i="7"/>
  <c r="K120" i="7"/>
  <c r="L137" i="7"/>
  <c r="K139" i="7"/>
  <c r="L139" i="7" s="1"/>
  <c r="K169" i="7"/>
  <c r="L169" i="7" s="1"/>
  <c r="L174" i="7"/>
  <c r="K290" i="7"/>
  <c r="K308" i="7"/>
  <c r="K289" i="7"/>
  <c r="K100" i="7"/>
  <c r="L100" i="7" s="1"/>
  <c r="K141" i="7"/>
  <c r="L148" i="7"/>
  <c r="K148" i="7"/>
  <c r="K171" i="7"/>
  <c r="L187" i="7"/>
  <c r="K187" i="7"/>
  <c r="K195" i="7"/>
  <c r="K287" i="7"/>
  <c r="K84" i="7"/>
  <c r="K123" i="7"/>
  <c r="K156" i="7"/>
  <c r="L156" i="7" s="1"/>
  <c r="K12" i="7"/>
  <c r="L12" i="7" s="1"/>
  <c r="K20" i="7"/>
  <c r="K28" i="7"/>
  <c r="K36" i="7"/>
  <c r="K85" i="7"/>
  <c r="L85" i="7" s="1"/>
  <c r="K95" i="7"/>
  <c r="L95" i="7" s="1"/>
  <c r="K114" i="7"/>
  <c r="L117" i="7"/>
  <c r="L122" i="7"/>
  <c r="K124" i="7"/>
  <c r="K136" i="7"/>
  <c r="K143" i="7"/>
  <c r="L153" i="7"/>
  <c r="K155" i="7"/>
  <c r="L155" i="7" s="1"/>
  <c r="L160" i="7"/>
  <c r="K173" i="7"/>
  <c r="L173" i="7" s="1"/>
  <c r="K185" i="7"/>
  <c r="L185" i="7" s="1"/>
  <c r="H191" i="7"/>
  <c r="J191" i="7" s="1"/>
  <c r="K202" i="7"/>
  <c r="J233" i="7"/>
  <c r="L206" i="7"/>
  <c r="K206" i="7"/>
  <c r="K231" i="7"/>
  <c r="L231" i="7" s="1"/>
  <c r="K355" i="7"/>
  <c r="L355" i="7" s="1"/>
  <c r="K358" i="7"/>
  <c r="K366" i="7"/>
  <c r="L366" i="7" s="1"/>
  <c r="J90" i="7"/>
  <c r="K109" i="7"/>
  <c r="K119" i="7"/>
  <c r="L119" i="7" s="1"/>
  <c r="K131" i="7"/>
  <c r="L136" i="7"/>
  <c r="L143" i="7"/>
  <c r="L162" i="7"/>
  <c r="K164" i="7"/>
  <c r="K183" i="7"/>
  <c r="K200" i="7"/>
  <c r="L200" i="7" s="1"/>
  <c r="K224" i="7"/>
  <c r="K227" i="7"/>
  <c r="L227" i="7"/>
  <c r="K288" i="7"/>
  <c r="L298" i="7"/>
  <c r="L301" i="7"/>
  <c r="L305" i="7"/>
  <c r="J75" i="7"/>
  <c r="K292" i="7"/>
  <c r="K72" i="7"/>
  <c r="K87" i="7"/>
  <c r="L97" i="7"/>
  <c r="K99" i="7"/>
  <c r="L99" i="7" s="1"/>
  <c r="K116" i="7"/>
  <c r="L138" i="7"/>
  <c r="K140" i="7"/>
  <c r="L140" i="7" s="1"/>
  <c r="K152" i="7"/>
  <c r="L168" i="7"/>
  <c r="K170" i="7"/>
  <c r="L170" i="7" s="1"/>
  <c r="L179" i="7"/>
  <c r="L196" i="7"/>
  <c r="K198" i="7"/>
  <c r="K232" i="7"/>
  <c r="K302" i="7"/>
  <c r="K181" i="7"/>
  <c r="K218" i="7"/>
  <c r="K77" i="7"/>
  <c r="K188" i="7"/>
  <c r="K197" i="7"/>
  <c r="K199" i="7"/>
  <c r="K201" i="7"/>
  <c r="K203" i="7"/>
  <c r="L208" i="7"/>
  <c r="L220" i="7"/>
  <c r="L306" i="7"/>
  <c r="J319" i="7"/>
  <c r="K462" i="7"/>
  <c r="K525" i="7"/>
  <c r="H192" i="7"/>
  <c r="J192" i="7" s="1"/>
  <c r="L293" i="7"/>
  <c r="H300" i="7"/>
  <c r="J300" i="7" s="1"/>
  <c r="L309" i="7"/>
  <c r="K351" i="7"/>
  <c r="L351" i="7" s="1"/>
  <c r="L353" i="7"/>
  <c r="K373" i="7"/>
  <c r="L373" i="7" s="1"/>
  <c r="K456" i="7"/>
  <c r="K178" i="7"/>
  <c r="K182" i="7"/>
  <c r="L207" i="7"/>
  <c r="K209" i="7"/>
  <c r="L219" i="7"/>
  <c r="K221" i="7"/>
  <c r="K223" i="7"/>
  <c r="L223" i="7" s="1"/>
  <c r="K291" i="7"/>
  <c r="L294" i="7"/>
  <c r="L317" i="7"/>
  <c r="L365" i="7"/>
  <c r="K365" i="7"/>
  <c r="K514" i="7"/>
  <c r="L514" i="7" s="1"/>
  <c r="L555" i="7"/>
  <c r="K555" i="7"/>
  <c r="K563" i="7"/>
  <c r="K304" i="7"/>
  <c r="J380" i="7"/>
  <c r="K349" i="7"/>
  <c r="K362" i="7"/>
  <c r="L362" i="7" s="1"/>
  <c r="L445" i="7"/>
  <c r="K445" i="7"/>
  <c r="K451" i="7"/>
  <c r="K458" i="7" s="1"/>
  <c r="K548" i="7"/>
  <c r="L313" i="7"/>
  <c r="K357" i="7"/>
  <c r="K531" i="7"/>
  <c r="L531" i="7" s="1"/>
  <c r="K538" i="7"/>
  <c r="L541" i="7"/>
  <c r="K364" i="7"/>
  <c r="K371" i="7"/>
  <c r="K385" i="7"/>
  <c r="K465" i="7"/>
  <c r="L465" i="7" s="1"/>
  <c r="J564" i="7"/>
  <c r="K508" i="7"/>
  <c r="K529" i="7"/>
  <c r="L529" i="7" s="1"/>
  <c r="H295" i="7"/>
  <c r="J295" i="7" s="1"/>
  <c r="H299" i="7"/>
  <c r="J299" i="7" s="1"/>
  <c r="H303" i="7"/>
  <c r="J303" i="7" s="1"/>
  <c r="H307" i="7"/>
  <c r="J307" i="7" s="1"/>
  <c r="K344" i="7"/>
  <c r="L344" i="7" s="1"/>
  <c r="K378" i="7"/>
  <c r="L378" i="7" s="1"/>
  <c r="L411" i="7"/>
  <c r="L416" i="7" s="1"/>
  <c r="L443" i="7"/>
  <c r="K454" i="7"/>
  <c r="K512" i="7"/>
  <c r="L515" i="7"/>
  <c r="L532" i="7"/>
  <c r="K558" i="7"/>
  <c r="L348" i="7"/>
  <c r="K350" i="7"/>
  <c r="K369" i="7"/>
  <c r="K463" i="7"/>
  <c r="K517" i="7"/>
  <c r="L523" i="7"/>
  <c r="K523" i="7"/>
  <c r="L530" i="7"/>
  <c r="K530" i="7"/>
  <c r="L546" i="7"/>
  <c r="K546" i="7"/>
  <c r="K549" i="7"/>
  <c r="L549" i="7" s="1"/>
  <c r="K556" i="7"/>
  <c r="L312" i="7"/>
  <c r="L352" i="7"/>
  <c r="L372" i="7"/>
  <c r="K372" i="7"/>
  <c r="K376" i="7"/>
  <c r="L434" i="7"/>
  <c r="L452" i="7"/>
  <c r="K509" i="7"/>
  <c r="K526" i="7"/>
  <c r="L526" i="7" s="1"/>
  <c r="L556" i="7"/>
  <c r="K186" i="7"/>
  <c r="K210" i="7"/>
  <c r="J386" i="7"/>
  <c r="K461" i="7"/>
  <c r="L461" i="7" s="1"/>
  <c r="K466" i="7"/>
  <c r="L509" i="7"/>
  <c r="K524" i="7"/>
  <c r="L535" i="7"/>
  <c r="K540" i="7"/>
  <c r="K544" i="7"/>
  <c r="L547" i="7"/>
  <c r="L316" i="7"/>
  <c r="K341" i="7"/>
  <c r="L341" i="7" s="1"/>
  <c r="K343" i="7"/>
  <c r="L343" i="7" s="1"/>
  <c r="K345" i="7"/>
  <c r="K347" i="7"/>
  <c r="L347" i="7"/>
  <c r="K363" i="7"/>
  <c r="K370" i="7"/>
  <c r="K379" i="7"/>
  <c r="L379" i="7" s="1"/>
  <c r="L382" i="7"/>
  <c r="K384" i="7"/>
  <c r="L402" i="7"/>
  <c r="K416" i="7"/>
  <c r="K455" i="7"/>
  <c r="K464" i="7"/>
  <c r="L464" i="7" s="1"/>
  <c r="L554" i="7"/>
  <c r="K554" i="7"/>
  <c r="K557" i="7"/>
  <c r="K561" i="7"/>
  <c r="L561" i="7" s="1"/>
  <c r="K346" i="7"/>
  <c r="K354" i="7"/>
  <c r="L360" i="7"/>
  <c r="K367" i="7"/>
  <c r="K374" i="7"/>
  <c r="K426" i="7"/>
  <c r="L428" i="7"/>
  <c r="K428" i="7"/>
  <c r="L435" i="7"/>
  <c r="K521" i="7"/>
  <c r="L521" i="7" s="1"/>
  <c r="L536" i="7"/>
  <c r="L553" i="7"/>
  <c r="K553" i="7"/>
  <c r="J438" i="7"/>
  <c r="K423" i="7"/>
  <c r="L423" i="7" s="1"/>
  <c r="K427" i="7"/>
  <c r="K429" i="7"/>
  <c r="K442" i="7"/>
  <c r="L442" i="7" s="1"/>
  <c r="L520" i="7"/>
  <c r="K534" i="7"/>
  <c r="L534" i="7" s="1"/>
  <c r="K537" i="7"/>
  <c r="L537" i="7" s="1"/>
  <c r="L552" i="7"/>
  <c r="K361" i="7"/>
  <c r="L427" i="7"/>
  <c r="L429" i="7"/>
  <c r="K522" i="7"/>
  <c r="K348" i="7"/>
  <c r="K356" i="7"/>
  <c r="L368" i="7"/>
  <c r="K375" i="7"/>
  <c r="J448" i="7"/>
  <c r="K444" i="7"/>
  <c r="L444" i="7" s="1"/>
  <c r="J467" i="7"/>
  <c r="K460" i="7"/>
  <c r="L460" i="7" s="1"/>
  <c r="K513" i="7"/>
  <c r="K545" i="7"/>
  <c r="L545" i="7" s="1"/>
  <c r="L562" i="7"/>
  <c r="K562" i="7"/>
  <c r="L383" i="7"/>
  <c r="L408" i="7"/>
  <c r="K441" i="7"/>
  <c r="L441" i="7" s="1"/>
  <c r="L453" i="7"/>
  <c r="L457" i="7"/>
  <c r="K533" i="7"/>
  <c r="K539" i="7"/>
  <c r="L319" i="7" l="1"/>
  <c r="L451" i="7"/>
  <c r="L448" i="7"/>
  <c r="L438" i="7"/>
  <c r="L356" i="7"/>
  <c r="K307" i="7"/>
  <c r="L374" i="7"/>
  <c r="L524" i="7"/>
  <c r="L540" i="7"/>
  <c r="L376" i="7"/>
  <c r="K303" i="7"/>
  <c r="K564" i="7"/>
  <c r="L538" i="7"/>
  <c r="L209" i="7"/>
  <c r="L178" i="7"/>
  <c r="K300" i="7"/>
  <c r="L203" i="7"/>
  <c r="L116" i="7"/>
  <c r="L292" i="7"/>
  <c r="L288" i="7"/>
  <c r="J204" i="7"/>
  <c r="K191" i="7"/>
  <c r="L290" i="7"/>
  <c r="L98" i="7"/>
  <c r="K194" i="7"/>
  <c r="L132" i="7"/>
  <c r="L69" i="7"/>
  <c r="L225" i="7"/>
  <c r="L193" i="7"/>
  <c r="L35" i="7"/>
  <c r="L54" i="7"/>
  <c r="L34" i="7"/>
  <c r="L88" i="7"/>
  <c r="L61" i="7"/>
  <c r="L55" i="7"/>
  <c r="L52" i="7"/>
  <c r="L165" i="7"/>
  <c r="L291" i="7"/>
  <c r="L152" i="7"/>
  <c r="L72" i="7"/>
  <c r="L367" i="7"/>
  <c r="L557" i="7"/>
  <c r="L384" i="7"/>
  <c r="L363" i="7"/>
  <c r="L370" i="7"/>
  <c r="L350" i="7"/>
  <c r="K299" i="7"/>
  <c r="L508" i="7"/>
  <c r="L385" i="7"/>
  <c r="L349" i="7"/>
  <c r="L456" i="7"/>
  <c r="L462" i="7"/>
  <c r="L188" i="7"/>
  <c r="L181" i="7"/>
  <c r="L198" i="7"/>
  <c r="L164" i="7"/>
  <c r="L131" i="7"/>
  <c r="L358" i="7"/>
  <c r="K233" i="7"/>
  <c r="L124" i="7"/>
  <c r="L287" i="7"/>
  <c r="L141" i="7"/>
  <c r="L144" i="7"/>
  <c r="L68" i="7"/>
  <c r="L286" i="7"/>
  <c r="L149" i="7"/>
  <c r="L26" i="7"/>
  <c r="L126" i="7"/>
  <c r="L15" i="7"/>
  <c r="L105" i="7"/>
  <c r="L49" i="7"/>
  <c r="L19" i="7"/>
  <c r="L133" i="7"/>
  <c r="L23" i="7"/>
  <c r="L20" i="7"/>
  <c r="L51" i="7"/>
  <c r="K467" i="7"/>
  <c r="K380" i="7"/>
  <c r="L466" i="7"/>
  <c r="K295" i="7"/>
  <c r="L371" i="7"/>
  <c r="L77" i="7"/>
  <c r="K90" i="7"/>
  <c r="L201" i="7"/>
  <c r="L87" i="7"/>
  <c r="L210" i="7"/>
  <c r="L67" i="7"/>
  <c r="J310" i="7"/>
  <c r="K448" i="7"/>
  <c r="L354" i="7"/>
  <c r="L512" i="7"/>
  <c r="L558" i="7"/>
  <c r="K192" i="7"/>
  <c r="L192" i="7" s="1"/>
  <c r="L66" i="7"/>
  <c r="L215" i="7"/>
  <c r="L18" i="7"/>
  <c r="L539" i="7"/>
  <c r="K386" i="7"/>
  <c r="L304" i="7"/>
  <c r="L375" i="7"/>
  <c r="K296" i="7"/>
  <c r="L522" i="7"/>
  <c r="L361" i="7"/>
  <c r="L346" i="7"/>
  <c r="L455" i="7"/>
  <c r="L463" i="7"/>
  <c r="L517" i="7"/>
  <c r="L369" i="7"/>
  <c r="L364" i="7"/>
  <c r="L548" i="7"/>
  <c r="L221" i="7"/>
  <c r="L182" i="7"/>
  <c r="L186" i="7"/>
  <c r="L199" i="7"/>
  <c r="L302" i="7"/>
  <c r="L114" i="7"/>
  <c r="L183" i="7"/>
  <c r="L123" i="7"/>
  <c r="L202" i="7"/>
  <c r="L171" i="7"/>
  <c r="L289" i="7"/>
  <c r="L230" i="7"/>
  <c r="L110" i="7"/>
  <c r="K75" i="7"/>
  <c r="L65" i="7"/>
  <c r="L38" i="7"/>
  <c r="L93" i="7"/>
  <c r="L150" i="7"/>
  <c r="L28" i="7"/>
  <c r="K102" i="7"/>
  <c r="L78" i="7"/>
  <c r="K63" i="7"/>
  <c r="L14" i="7"/>
  <c r="L94" i="7"/>
  <c r="L157" i="7"/>
  <c r="K438" i="7"/>
  <c r="L120" i="7"/>
  <c r="L177" i="7"/>
  <c r="L71" i="7"/>
  <c r="K189" i="7"/>
  <c r="L36" i="7"/>
  <c r="L345" i="7"/>
  <c r="L513" i="7"/>
  <c r="L533" i="7"/>
  <c r="L544" i="7"/>
  <c r="L454" i="7"/>
  <c r="L357" i="7"/>
  <c r="L563" i="7"/>
  <c r="L525" i="7"/>
  <c r="L197" i="7"/>
  <c r="L224" i="7"/>
  <c r="L109" i="7"/>
  <c r="L84" i="7"/>
  <c r="L308" i="7"/>
  <c r="L151" i="7"/>
  <c r="L213" i="7"/>
  <c r="L342" i="7"/>
  <c r="K39" i="7"/>
  <c r="L46" i="7"/>
  <c r="L53" i="7"/>
  <c r="L33" i="7"/>
  <c r="L104" i="7"/>
  <c r="L112" i="7"/>
  <c r="L233" i="7" l="1"/>
  <c r="L63" i="7"/>
  <c r="L102" i="7"/>
  <c r="L380" i="7"/>
  <c r="L39" i="7"/>
  <c r="L467" i="7"/>
  <c r="L458" i="7"/>
  <c r="L386" i="7"/>
  <c r="L90" i="7"/>
  <c r="L300" i="7"/>
  <c r="L303" i="7"/>
  <c r="L189" i="7"/>
  <c r="L295" i="7"/>
  <c r="L564" i="7"/>
  <c r="L75" i="7"/>
  <c r="L299" i="7"/>
  <c r="L307" i="7"/>
  <c r="K204" i="7"/>
  <c r="L296" i="7"/>
  <c r="K310" i="7"/>
  <c r="L191" i="7"/>
  <c r="L204" i="7" s="1"/>
  <c r="J320" i="7"/>
  <c r="L310" i="7" l="1"/>
  <c r="L320" i="7" s="1"/>
  <c r="L9" i="7"/>
  <c r="J9" i="7"/>
  <c r="K320" i="7"/>
  <c r="K9" i="7" l="1"/>
</calcChain>
</file>

<file path=xl/sharedStrings.xml><?xml version="1.0" encoding="utf-8"?>
<sst xmlns="http://schemas.openxmlformats.org/spreadsheetml/2006/main" count="1685" uniqueCount="283">
  <si>
    <t>Struktūrvienība</t>
  </si>
  <si>
    <t>Amats</t>
  </si>
  <si>
    <t>Mēnešalga</t>
  </si>
  <si>
    <t xml:space="preserve">Stundas algas  likme </t>
  </si>
  <si>
    <t>Atskaites periodā nostrādāto  stundu skaits</t>
  </si>
  <si>
    <t>Piemaksa</t>
  </si>
  <si>
    <t xml:space="preserve">DD VSAOI </t>
  </si>
  <si>
    <t>Vecākais inspektors</t>
  </si>
  <si>
    <t>Inspektors</t>
  </si>
  <si>
    <t>Kārtībnieks</t>
  </si>
  <si>
    <t>KOPĀ</t>
  </si>
  <si>
    <t>2.pielikums</t>
  </si>
  <si>
    <t>Ministru kabineta rīkojuma projekta</t>
  </si>
  <si>
    <t>“Par finanšu līdzekļu piešķiršanu no valsts budžeta programmas</t>
  </si>
  <si>
    <t xml:space="preserve"> “Līdzekļi neparedzētiem gadījumiem”” sākotnējās ietekmes novērtējuma ziņojumam (anotācijai)</t>
  </si>
  <si>
    <t>Piemakas noteikšanas kritērijs, veiktie pienākumi</t>
  </si>
  <si>
    <t xml:space="preserve">Stundas algas likmes apmērs piemaksas aprēķināšanai (0,75 no stundas algas likmes) </t>
  </si>
  <si>
    <t>1.</t>
  </si>
  <si>
    <t>Ādažu novada pašvaldība</t>
  </si>
  <si>
    <t>Priekšnieka vietnieks</t>
  </si>
  <si>
    <t>Priekšnieks</t>
  </si>
  <si>
    <t>Ādažu novada pašvaldības policija</t>
  </si>
  <si>
    <t>2.</t>
  </si>
  <si>
    <t xml:space="preserve">Balvu novada pašvaldības policija </t>
  </si>
  <si>
    <t xml:space="preserve">Pašvaldības policija </t>
  </si>
  <si>
    <t>vecākais inspektors</t>
  </si>
  <si>
    <t>Covid-19 ierobežojumu kontrole</t>
  </si>
  <si>
    <t>inspektors</t>
  </si>
  <si>
    <t>3.</t>
  </si>
  <si>
    <t>Bauskas novada pašvaldības policija</t>
  </si>
  <si>
    <t>Noteikto ierobežojumu kontrole - vakcinācijas vai pārslimošanas sertifikātu pārbaude, atrodoties saskarsmē tuvāk par 2 metriem, pārvietošanās aizliegumu kontrole, pārbaudes sabiedriskajā transportā un tirdzniecības vietās</t>
  </si>
  <si>
    <t>4.</t>
  </si>
  <si>
    <t xml:space="preserve">KOPĀ </t>
  </si>
  <si>
    <t>5.</t>
  </si>
  <si>
    <t>Pašvaldības policija</t>
  </si>
  <si>
    <t>6.</t>
  </si>
  <si>
    <t>Daugavpils pilsētas pašvaldības policija</t>
  </si>
  <si>
    <t>Operatīvi dežūrējošā nodaļa</t>
  </si>
  <si>
    <t>jaunākais inspektors</t>
  </si>
  <si>
    <t>Darbinieks ir bijis tiešā saskarē ar COVID-19 inficētām vai iespējami inficētām personām</t>
  </si>
  <si>
    <t>vecākais kārtībnieks</t>
  </si>
  <si>
    <t>kārtībnieks</t>
  </si>
  <si>
    <t>7.</t>
  </si>
  <si>
    <t>Jelgavas valstspilsētas pašvaldības iestāde “Jelgavas pašvaldības policija”</t>
  </si>
  <si>
    <t>Patruļpolicijas nodaļa</t>
  </si>
  <si>
    <t>darbus, kuru veikšanas laikā darbinieks ir tiešā saskarsmē ar klientiem, nonāk fiziskā kontaktā vai ilgstoši atrodas tuvāk par 2 metriem no klienta</t>
  </si>
  <si>
    <t>Satiksmes uzraudzības nodaļa</t>
  </si>
  <si>
    <t xml:space="preserve"> inspektors</t>
  </si>
  <si>
    <t>Nepilngadīgo likumpārkāpumu prevencijas grupa</t>
  </si>
  <si>
    <t>Sabiedriskās kārtības nodaļa</t>
  </si>
  <si>
    <t>Medicīniskās atskurbtuves nodaļa</t>
  </si>
  <si>
    <t>Operatīvās vadības nodaļa</t>
  </si>
  <si>
    <t>priekšnieka vietnieks</t>
  </si>
  <si>
    <t>inspektors-glābējs</t>
  </si>
  <si>
    <t>Ārsta palīgs (feldšeris)</t>
  </si>
  <si>
    <t>nodaļas priekšnieks</t>
  </si>
  <si>
    <t xml:space="preserve">  inspektors</t>
  </si>
  <si>
    <t>vecākais inspektors- glābējs</t>
  </si>
  <si>
    <t>priekšnieks</t>
  </si>
  <si>
    <t>8.</t>
  </si>
  <si>
    <t>Jēkabpils pilsētas pašvaldības policija</t>
  </si>
  <si>
    <t>jaunākais kārtībnieks</t>
  </si>
  <si>
    <t>9.</t>
  </si>
  <si>
    <t>Pašvaldības policijas vecākais inspektors</t>
  </si>
  <si>
    <t>Pašvaldības policijas inspektors</t>
  </si>
  <si>
    <t>10.</t>
  </si>
  <si>
    <t>Liepājas pilsētas pašvaldības policija</t>
  </si>
  <si>
    <t>Dežūrnodaļa</t>
  </si>
  <si>
    <t>Transporta kontroles  nodaļa</t>
  </si>
  <si>
    <t>Nepilngadīgo lietu nodaļa</t>
  </si>
  <si>
    <t>Administratīvā nodaļa</t>
  </si>
  <si>
    <t>11.</t>
  </si>
  <si>
    <t>Olaines novada pašvaldības policija</t>
  </si>
  <si>
    <t>policijas inspektors</t>
  </si>
  <si>
    <t>policijas vecākais inspektors</t>
  </si>
  <si>
    <t>12.</t>
  </si>
  <si>
    <t xml:space="preserve">Ogres novada pašvaldība </t>
  </si>
  <si>
    <t>Ogres novada pašvaldības policija</t>
  </si>
  <si>
    <t>Jaunākais inspektors</t>
  </si>
  <si>
    <t>Priekšnieka p.i.</t>
  </si>
  <si>
    <t>KOPĀ 11.1</t>
  </si>
  <si>
    <t>Ogres novada Lielvārdes pašvaldības policija</t>
  </si>
  <si>
    <t xml:space="preserve">Covid 19 kontroles pasākumi VP rīkotās "zibakcijas" laikā tirdzniecības vietās, ēdināšanas iestādēs un sabiedriskajā transportā, personu aizturēšana, nogādāšana uz atskurbšanas telpām, dzīvesvietu,  palidzības sniegšana NMPD darbiniekiem nogadājot personu ārstniecības iestādē, adm.procesu   viekšana epidemioloģiski nedrošajā “Sarkanajā’ vidē/t.sk.pārrunas ar pakalpojuma sniedzēju/dokumentācijas pārbaude/QR koda pārbaude –tiešā saskarē, noteikto iedzīvotāju pārvietošanās ierobežojumu ievērošanas uzraudzību, noteiktajos  laikposmos, apkalpojot izsaukumus ir tiešā saskarsmē ar klientiem vai citiem darbiniekiem, nonāk fiziskā kontaktā vai ilgstoši atrodas tuvāk par 2 metriem no klienta. </t>
  </si>
  <si>
    <t>KOPĀ 11.2.</t>
  </si>
  <si>
    <t>KOPĀ 11.1. un 11.2.</t>
  </si>
  <si>
    <t>13.</t>
  </si>
  <si>
    <t>Rīgas pašvaldības policija (detalizētu aprēķinu skatīt 3. pielikumā)</t>
  </si>
  <si>
    <t>14.</t>
  </si>
  <si>
    <t xml:space="preserve">Ropažu novada pašvaldības policija </t>
  </si>
  <si>
    <t xml:space="preserve">22% sedz pašvaldība, līdz ar to 
aprēķināti 53% no stundas algas likmes </t>
  </si>
  <si>
    <t xml:space="preserve"> - </t>
  </si>
  <si>
    <t xml:space="preserve">inspektors  </t>
  </si>
  <si>
    <t>15.</t>
  </si>
  <si>
    <t>Pašvaldības policijas vecākais kārtībnieks</t>
  </si>
  <si>
    <t>Pašvaldības policijas jaunākais inspektors</t>
  </si>
  <si>
    <t>16.</t>
  </si>
  <si>
    <t>Saulkrastu novada pašvaldības policija</t>
  </si>
  <si>
    <t>Patruļpolicija</t>
  </si>
  <si>
    <t>17.</t>
  </si>
  <si>
    <t>Smiltenes Pašvaldības policija</t>
  </si>
  <si>
    <t>18.</t>
  </si>
  <si>
    <t xml:space="preserve"> Valmieras novada pašvaldības policija</t>
  </si>
  <si>
    <t>Piemaksa %, ko piemēro stundas algas likmei un nostrādāto stundu skaitam*</t>
  </si>
  <si>
    <t>19.</t>
  </si>
  <si>
    <t>20.</t>
  </si>
  <si>
    <t>vecakais inspektors</t>
  </si>
  <si>
    <t>21.</t>
  </si>
  <si>
    <t>22.</t>
  </si>
  <si>
    <t>*Valmieras novada pašvaldības domes 28.10.2021. lēmuma Nr.476 (protokols Nr.14, 45. §) “Par piemaksas noteikšanas kritērijiem un tās piešķiršanas kārtību Valmieras novada pašvaldības policijas darbiniekiem saistībā ar Covid-19 infekcijas slimības uzliesmojumu un tās seku novēršanas laikā” 3.1.punkts, kurš nosaka sekojošus amata pienākumus:   "3.1. darbs klātienē, kad darbinieka pienākumi ir kritiski svarīgi sabiedrībai, kā arī iestādes darbības nepārtrauktības nodrošināšanai, kad darbinieks pienākumu pildīšanas laikā ir tiešā saskarsmē ar klientiem vai citiem darbiniekiem, nonāk fiziskā kontaktā vai ilgstoši atrodas tuvāk par 2 metriem no klienta vai cita darbinieka vai vairāki darbinieki  pienākumus veic ilgstošā savstarpējā saskarsmē (tiek vērtēta atrašanās norādītajos apstākļos proporcionāli nostrādātam darba laikam) – līdz 30 % (pilns darba laiks minētajos apstākļos konkrētajā mēnesī veido 30 % piemaksu)"</t>
  </si>
  <si>
    <t xml:space="preserve"> Ventspils valstspilsētas pašvaldības iestāde "Ventspils Pašvaldības policija"</t>
  </si>
  <si>
    <t>Dežūru nodaļa</t>
  </si>
  <si>
    <t>Vecākā inspektore</t>
  </si>
  <si>
    <t>Inspektors-dežurants</t>
  </si>
  <si>
    <t>Inspektors-autovadītājs</t>
  </si>
  <si>
    <t>Darbs klātienē paaugstināta riska un slodzes apstākļos (saskarsme ar trešajām personām), sabiedriskās kārtības nodrošināšana (izsaukumi, saskarsme ar inficētām vai iespējami inficētām personām), noteikto ierobežojumu kontrole (objektu, personu kontrole, t.sk.iedzīvotāju pārvietošanās aizliegumu kontrole),   darbs paaugstināta riska objektos</t>
  </si>
  <si>
    <t>Ēkas dežurants</t>
  </si>
  <si>
    <t>Darbs klātienē paaugstināta riska un slodzes apstākļos (saskarsme ar trešajām personām)</t>
  </si>
  <si>
    <t>Kopā  piemaksai un DD VSAOI</t>
  </si>
  <si>
    <t>Kontroles pasākumi par saimniecisko, skaistumkopšanas un sabiedriskās ēdināšanas un tirdzniecības pakalpojumu sniegšanai noteikto ierobežojumu ievērošanu;
Procesuālās darbības, pakalpojuma sniegšana vai pārrunas tiešā kontaktā ar pakalpojuma saņēmējiem vai procesa dalībniekiem</t>
  </si>
  <si>
    <t>Gulbenes novada pašvaldības policija</t>
  </si>
  <si>
    <t xml:space="preserve"> priekšnieks</t>
  </si>
  <si>
    <t>skolu inspektors</t>
  </si>
  <si>
    <t>klientu apkalpošanas speciālists</t>
  </si>
  <si>
    <t>Kontroles pasākumi (tiešā saskarē, kontaktā) tirdzniecības vietās, ēdināšanas vietās, degvielas uzpildes stacijās un citviet. Saskare ar personām apkalpojot izsaukumus, pieņemot un strādājot ar apmeklētājiem un likumpārkāpējiem tuvā distancē. Pārvietošanās ierobežojumu ievērošanas kontrole.</t>
  </si>
  <si>
    <t xml:space="preserve"> Ir tiešā saskarsmē ar klientiem; 
 nonāk fiziskā kontaktā vai ilgstoši atrodas tuvāk par diviem metriem no klienta; 
 darba pienākumus veic ilgstošā savstarpējā saskarsmē; 
 ir pakļauti paaugstinātai iespējai inficēties; 
 atrodas tiešā saskarsmē un kontaktējas ar lielu skaitu personu, kuru veselības stāvoklis nav zināms; 
 veic darba pienākumus, kas ir kritiski svarīgi sabiedrībai, kā arī nodrošina iestādes darbības nepārtrauktību. 
</t>
  </si>
  <si>
    <t>Siguldas novada Pašvaldības policija</t>
  </si>
  <si>
    <t>Piemaksa procentos atbilstoši rīkojumā  noteiktajiem kritērijiem no mēneša algas*</t>
  </si>
  <si>
    <t>Amatpersona ir tiešā un uzskaitāmi pierādāmā saskarē ar Covid-19 inficētām vai iespējami inficētām personām vai ir iesaistīta testēšanas procesā;
 amatpersona ir tiešā un uzskaitāmi pierādāmā saskarē ar Covid-19 riska grupas pacientiem, kuriem nav apstiprināta slimība, bet ir jāievēro karantīna vai pašizolācija;
amatpersona piedalās pasākumos, kas saistīti ar sabiedriskās kārtības nodrošināšanu un noteikto Covid-19 ierobežojumu kontroli;
amata pienākumi veikti klātienē un ilgstošā saskarsmē ar klientu (procesuālo dalībnieku) vai citu iestāžu (institūciju) amatpersonām vai darbiniekiem, lai nodrošinātu procesuālo vai izmeklēšanas darbību veikšanu, likumpārkāpumu novēršanu vai pārtraukšanu, kā arī profilaktisko vai kontroles pasākumu īstenošanu;
veikta aizturēto vai aizturamo personu apskate vai aplūkošana, nogādāšana Pašvaldības policijas telpās, dzīves vietā vai uzturēšanās vietā, sociālā pakalpojuma sniegšanas vietā, citā kompetentajā iestādē (institūcijā).</t>
  </si>
  <si>
    <t>Inspektors, lietvedības sekretārs</t>
  </si>
  <si>
    <t>Apgabala inspektors</t>
  </si>
  <si>
    <t>Vecākais apgabala inspektors</t>
  </si>
  <si>
    <t>Talsu novada pašvaldība</t>
  </si>
  <si>
    <t>Pašvaldības policijas  inspektors</t>
  </si>
  <si>
    <t>Saskaņā ar TNP lēmumu Nr. 275 no 28.10.2021. Stundu uzskaite par katra darbinieka tiešo riska kontaktu</t>
  </si>
  <si>
    <t>Pašvaldības policijas priekšnieka vietniece</t>
  </si>
  <si>
    <t>Tukuma novada pašvaldības policija</t>
  </si>
  <si>
    <t>Valkas novada Pašvaldības policija</t>
  </si>
  <si>
    <t>Priekšniece</t>
  </si>
  <si>
    <t>saimnieciskā nodrošinājuma insp.</t>
  </si>
  <si>
    <t>Darbs klātienē paaugstināta riska un slodzes apstākļos ( iestādes darbības nepārtrauktības nodrošināšana, saskarsme ar trešajām personām), darbs paaugstināta riska objektā</t>
  </si>
  <si>
    <t>Darbs klātienē paaugstināta riska un slodzes apstākļos (saskarsme ar trešajām personām, nepilngadīgo likumpārkāpumu prevencija)</t>
  </si>
  <si>
    <t>Galvenais inspektors</t>
  </si>
  <si>
    <t>Dobeles novada Pašvaldības policija</t>
  </si>
  <si>
    <t>Pašvaldības policijas KĀRTĪBNIEKS</t>
  </si>
  <si>
    <t>Tiešā saskare ar klientiem,  un ierobežojumu kontrole: tirdzniecības vietu  sabiedriskā transporta pārbaudes , personu pārbaudes, administratīvā pārkāpuma procesi.</t>
  </si>
  <si>
    <t>galvenais inspektors</t>
  </si>
  <si>
    <t>Iecavas nodaļa</t>
  </si>
  <si>
    <t>Pašvaldības policijas INSPEKTORS</t>
  </si>
  <si>
    <t>Baldones nodaļa</t>
  </si>
  <si>
    <t>Pašvaldības policijas vecākais INSPEKTORS</t>
  </si>
  <si>
    <t xml:space="preserve">Covid 19 kontroles pasākumi sabiedriskājā transportā ( pārbaudīti 5 autobusi), TC (1 objekts ) p adm.procesu   viekšana  ( 4 procesi) epidemioloģiski nedrošajā “Sarkanajā’ vidē/t.sk.pārrunas ar pakalpojuma sniedzēju, noteikto iedzīvotāju pārvietošanās ierobežojumu ievērošanas uzraudzību, noteiktajos  laikposmos ( 24 personas), pienākumu pildīšanas laikā ir tiešā saskarsmē ar klientiem vai citiem darbiniekiem, nonāk fiziskā kontaktā vai ilgstoši atrodas tuvāk par 2 metriem no klienta vai cita darbinieka vai vairāki darbinieki pienākumus veic ilgstošā savstarpējā saskarsmē (  3 d. dienas) </t>
  </si>
  <si>
    <t>Vec.kārtībnieks</t>
  </si>
  <si>
    <t>inspektors maiņas vecākais</t>
  </si>
  <si>
    <r>
      <t>Kopā</t>
    </r>
    <r>
      <rPr>
        <sz val="11"/>
        <color theme="1"/>
        <rFont val="Times New Roman"/>
        <family val="1"/>
        <charset val="186"/>
      </rPr>
      <t xml:space="preserve">  </t>
    </r>
    <r>
      <rPr>
        <sz val="11"/>
        <color rgb="FF000000"/>
        <rFont val="Times New Roman"/>
        <family val="1"/>
        <charset val="186"/>
      </rPr>
      <t>piemaksai un DD VSAOI</t>
    </r>
  </si>
  <si>
    <t>Apgabala vecākais inspektors</t>
  </si>
  <si>
    <t>*Piemaksas apmēru nosaka saskaņā ar Siguldas novada Pašvaldības policijas 2021.gada 6.decembra rīkojumu Nr.122.1-2/24 "Par speciālās piemaksas noteikšanas kārtību un kritērijiem" un Siguldas novada Pašvaldības policijas dokumentu pārvaldībā reģistrētu ziņojumu Nr.122.5-3/3 "Ziņojums par Siguldas novada Pašvaldības policijas amatpersonu darba rezultātiem ārkārtējās situācijas laikā nosakāmajām speciālajām piemaksām."</t>
  </si>
  <si>
    <t>Rīkojums Nr.TND/1-12.2/22. Kontroles pasākumi (tiešā saskarē) par komersantu pienākumu izpildīšanu objektos, sabiedrībai publiski pieejamās telpās, pasākumos, sabiedriskās kārtības un drošības pasākumu nodrošināšana analīžu pieņemšanas punktos, atbalsta pasākumi veselības aizsardzības iestādēm, izsaukumu apkalpošana, procesuālās darbības, personu azturēšana.</t>
  </si>
  <si>
    <t>23.</t>
  </si>
  <si>
    <t>24.</t>
  </si>
  <si>
    <t>Nr. p.k.</t>
  </si>
  <si>
    <t>Kontroles pasākumi par saimniecisko, skaistumkopšanas un sabiedriskās ēdināšanas un tirdzniecības pakalpojumu sniegšanai noteikto ierobežojumu ievērošanu;
Procesuālās darbības, pakalpojuma sniegšana vai pārrunas tiešā kontaktā ar pakalpojuma saņēmējiem vai procesa dalībniekiem;
Personu aizturēšana, nogādāšana (tiešās saskares laikā), kā arī personu pārvadāšana pašvaldības uzdevumā Covid-19 infekcijas izplatības ierobežojumu izpildei (piemēram, vakcinēšanas pakalpojuma saņemšanai)</t>
  </si>
  <si>
    <t>Procesuālās darbības, pakalpojuma sniegšana vai pārrunas tiešā kontaktā ar pakalpojuma saņēmējiem vai procesa dalībniekiem;
Personu aizturēšana, nogādāšana (tiešās saskares laikā), kā arī personu pārvadāšana pašvaldības uzdevumā Covid-19 infekcijas izplatības ierobežojumu izpildei (piemēram, vakcinēšanas pakalpojuma saņemšanai)</t>
  </si>
  <si>
    <t xml:space="preserve">Bauskas novada pašvaldības policija </t>
  </si>
  <si>
    <t>Darbinieks ir bijis tiešā saskarē ar COVID-19 inficētām vai iespējami inficētām personām(strādā detoksikācijas palātā)</t>
  </si>
  <si>
    <t>Pašvaldības policijas priekšnieks</t>
  </si>
  <si>
    <t>Darbs klātienē, kad darbinieka pienākumi ir kritiski svarīgi sabiedrībai, kā arī iestādes darbības nepārtrauktības nodrošināšanai, kad pienākumu pildīšanas laikā ir tiešā saskarsmē ar klientiem.Piedalījās notikumā, kurā bija saskarsme ar trešajām personām.</t>
  </si>
  <si>
    <t>Pašvaldības policijas priekšnieka vietnieks</t>
  </si>
  <si>
    <t>Patrulēšana ap augsta riska objektiem, sabiedriskās kārtības nodrošināsana,  dežurmaiņas laikā saņemto izsaukumu apkalpošana, piedalījās notikumos, kuros bija saskarsme ar trešajām personām. Tika veiktas Tirdzniecības vietu, ēdināšanas pakalpojumu sniedzēju un skaistumkopšanas pakalpojumu  vietu pārbaudes, nolūkā kontrolēt, kā tiek ievēroti valstī noteiktie COVID 19 noteiktie robežojumi. Pēc Dobeles novada sociālā dienesta iesniegtā saraksta apsekotas riska ģimenes.</t>
  </si>
  <si>
    <t xml:space="preserve">Patrulēšana ap augsta riska objektiem, sabiedriskās kārtības nodrošināsana,  dežurmaiņas laikā saņemto izsaukumu apkalpošana, piedalījās notikumos, kuros bija saskarsme ar trešajām personām. Tika veiktas Tirdzniecības vietu, ēdināšanas pakalpojumu sniedzēju un skaistumkopšanas pakalpojumu  vietu pārbaudes, nolūkā kontrolēt, kā tiek ievēroti valstī noteiktie COVID 19 noteiktie robežojumi. </t>
  </si>
  <si>
    <t>Kārtibnieks</t>
  </si>
  <si>
    <t xml:space="preserve">2022.gada janvāra mēnesis.
Apkalpotie izsaukumi saskarē ar Covid-19 inficētām vai iespējami inficētām personām – 66.
Preventīvo reidu veikšana sociālā riska ģimenēs saskarē ar Covid-19 inficētām vai iespējami inficētām personām  – 6.
Procesuālo darbību veikšana (iesniegumu izskatīšana, paskaidrojumu pieņemšana, pratināšanas protokolu sastādīšana) saskarē ar Covid-19 inficētām vai iespējami inficētām personām – 5.
Personu aizturēšana un nogādāšana mājvietā vai atskurbtuvē saskarē ar Covid-19 inficētām vai iespējami inficētām personām – 14.
</t>
  </si>
  <si>
    <t xml:space="preserve">2.5.tiešie darba pienākumi tiek pildīti epidemioloģiski daļēji drošā vai epidemioloģiski nedrošā vidē tiešā saskarsmē ar Covid-19 inficētām vai iespējami inficētām personām, vai personām, kurām nav nosakāms esošo personu vakcinācijas, pārslimošanas vai testēšanas fakts. Personu alkohola reibumā pārbaude, izsaukta NMPD brigāde, sniegts atbalsts. Procesuālās darbības.  Sniegts atbalsts NMPD brigādei, veikta Radžu ūdenskrātuves apsekošana – licencētās makšķerēšanas noteikumu ievērošanas pārbaude. Pārbaudītas 5 personas. Persona nogādāta JNPP atskurbšanai. Paskaidrojumu pieņemšana. </t>
  </si>
  <si>
    <r>
      <t xml:space="preserve">2.1.        tiešie darba pienākumi tiek pildīti </t>
    </r>
    <r>
      <rPr>
        <sz val="9"/>
        <color rgb="FF000000"/>
        <rFont val="Times New Roman"/>
        <family val="1"/>
        <charset val="186"/>
      </rPr>
      <t xml:space="preserve">epidemioloģiski daļēji drošā vai epidemioloģiski nedrošā vidē tiešā saskarsmē ar </t>
    </r>
    <r>
      <rPr>
        <sz val="9"/>
        <color theme="1"/>
        <rFont val="Times New Roman"/>
        <family val="1"/>
        <charset val="186"/>
      </rPr>
      <t>Covid-19 inficētām vai iespējami inficētām personām, vai personām, kurām nav nosakāms</t>
    </r>
    <r>
      <rPr>
        <sz val="9"/>
        <color rgb="FF414142"/>
        <rFont val="Times New Roman"/>
        <family val="1"/>
        <charset val="186"/>
      </rPr>
      <t xml:space="preserve"> </t>
    </r>
    <r>
      <rPr>
        <sz val="9"/>
        <color rgb="FF000000"/>
        <rFont val="Times New Roman"/>
        <family val="1"/>
        <charset val="186"/>
      </rPr>
      <t>esošo personu vakcinācijas, pārslimošanas vai testēšanas fakts. Personas nodošana NMPD, apsargāšana līdz nogādāšanai ārstniecības iestādē. P</t>
    </r>
    <r>
      <rPr>
        <sz val="9"/>
        <color theme="1"/>
        <rFont val="Times New Roman"/>
        <family val="1"/>
        <charset val="186"/>
      </rPr>
      <t>rocesuālas darbības , makšķerēšanas noteikumu ievērošanas pārbaude Radžu ūdenskrātuve.</t>
    </r>
  </si>
  <si>
    <t xml:space="preserve">2.5.	tiešie darba pienākumi tiek pildīti epidemioloģiski daļēji drošā vai epidemioloģiski nedrošā vidē tiešā saskarsmē ar Covid-19 inficētām vai iespējami inficētām personām, vai personām, kurām nav nosakāms esošo personu vakcinācijas, pārslimošanas vai testēšanas fakts. Personas nodošana NMPD, apsargāšana līdz nogādāšanai ārstniecības iestāde Procesuālas darbības, makšķerēšanas noteikumu ievērošanas pārbaudei Radžu ūdenskrātuve. </t>
  </si>
  <si>
    <t>2.5.tiešie darba pienākumi tiek pildīti epidemioloģiski daļēji drošā vai epidemioloģiski nedrošā vidē tiešā saskarsmē ar Covid-19 inficētām vai iespējami inficētām personām, vai personām, kurām nav nosakāms esošo personu vakcinācijas, pārslimošanas vai testēšanas fakts. Personu aizturēšana, nogādāšana JNPP, procesuālo darbību veikšana.</t>
  </si>
  <si>
    <t>2.1.	pildot dienesta pienākumus, amatpersona ir tiešā un uzskaitāmi pierādāmā saskarē ar Covid-19 inficētām vai iespējami inficētām personām vai ir iesaistīta testēšanas procesā; 2.5.tiešie darba pienākumi tiek pildīti epidemioloģiski daļēji drošā vai epidemioloģiski nedrošā vidē tiešā saskarsmē ar Covid-19 inficētām vai iespējami inficētām personām, vai personām, kurām nav nosakāms esošo personu vakcinācijas, pārslimošanas vai testēšanas fakts.   Persona alkohola reibumā pārbaude, nogādāšana JNPP atskurbšanai,veikta makšķerēšanas sezonas karšu pārbaude.</t>
  </si>
  <si>
    <t>2.5.tiešie darba pienākumi tiek pildīti epidemioloģiski daļēji drošā vai epidemioloģiski nedrošā vidē tiešā saskarsmē ar Covid-19 inficētām vai iespējami inficētām personām, vai personām, kurām nav nosakāms esošo personu vakcinācijas, pārslimošanas vai testēšanas fakts. Ppersona bezpalīdzības stāvoklī nodota NMPD,  pieņemts  paskaidrojums no pie atbildības saucamās personas. Sniegts atbalsts NMPD brigādei. .Veikta Radžu ūdenskrātuves apsekošana – licencētās makšķerēšanas noteikumu ievērošanas pārbaude. Pārbaudītas 5 personas. Procesuālās darbības Administratīvā pārkāpuma lietā. Personas nogādāšanai uz JPPP telpām un ievietošana SIT.</t>
  </si>
  <si>
    <t xml:space="preserve">2.5.tiešie darba pienākumi tiek pildīti epidemioloģiski daļēji drošā vai epidemioloģiski nedrošā vidē tiešā saskarsmē ar Covid-19 inficētām vai iespējami inficētām personām, vai personām, kurām nav nosakāms esošo personu vakcinācijas, pārslimošanas vai testēšanas fakts. Notikuma vietas apskate, veikta makšķerēšanas sezonas karšu pārbaude. </t>
  </si>
  <si>
    <t>2.5.tiešie darba pienākumi tiek pildīti epidemioloģiski daļēji drošā vai epidemioloģiski nedrošā vidē tiešā saskarsmē ar Covid-19 inficētām vai iespējami inficētām personām, vai personām, kurām nav nosakāms esošo personu vakcinācijas, pārslimošanas vai testēšanas fakts. Atskurbšanai speciāli ierīkotā telpā ievietoto personu uzraudzība-pārbaude, dokumentu noformēšana.</t>
  </si>
  <si>
    <t xml:space="preserve">2.5.tiešie darba pienākumi tiek pildīti epidemioloģiski daļēji drošā vai epidemioloģiski nedrošā vidē tiešā saskarsmē ar Covid-19 inficētām vai iespējami inficētām personām, vai personām, kurām nav nosakāms esošo personu vakcinācijas, pārslimošanas vai testēšanas fakts.  Sniegts atbalsts VRS DAP darbiniekiem, pārbaudīta: Juridiska persona; 1.SIA BI “Pļaviņu delikatese IB”,  Reids ar mērķi sabiedriskās kārtības nodrošināšana un profilakse Gārsenes pagastā, pārbaudīta makšķernieka karte. </t>
  </si>
  <si>
    <t xml:space="preserve">2.5.tiešie darba pienākumi tiek pildīti epidemioloģiski daļēji drošā vai epidemioloģiski nedrošā vidē tiešā saskarsmē ar Covid-19 inficētām vai iespējami inficētām personām, vai personām, kurām nav nosakāms esošo personu vakcinācijas, pārslimošanas vai testēšanas fakts. Procesuālās darbības, sadarbība ar Jēkabpils novada sociālo dienestu, Valsts policiju un Valsts ātro neatliekamo medicīnas  dienestu, reids ar mērķi sabiedriskās kārtības nodrošināšana un profilakse Gārsenes pagastā, Saukas pagastā, procesuālās darbības.
</t>
  </si>
  <si>
    <t>Ķekavas nodaļa</t>
  </si>
  <si>
    <t>Nodaļas priekšnieks</t>
  </si>
  <si>
    <t>procesuālās darbības, pakalpojuma sniegšanu vai pārrunas tiešā vai ilgstošā kontaktā ar pakalpojuma saņēmējiem vai procesa dalībniekiem,
personu aizturēšanu, nogādāšanu (tiešās saskares laikā).</t>
  </si>
  <si>
    <t>procesuālās darbības, pakalpojuma sniegšanu vai pārrunas tiešā vai ilgstošā kontaktā ar pakalpojuma saņēmējiem vai procesa dalībniekiem.</t>
  </si>
  <si>
    <t>kontroles pasākumus (tiešā saskarsmē) par publisku un privātu pasākumu un aizsargātas miermīlīgas pulcēšanās brīvības izpausmēs (sapulcēs, gājienos un piketos) noteikto ierobežojumu kontroli,
procesuālās darbības, pakalpojuma sniegšanu vai pārrunas tiešā vai ilgstošā kontaktā ar pakalpojuma saņēmējiem vai procesa dalībniekiem,
personu aizturēšanu, nogādāšanu (tiešās saskares laikā).</t>
  </si>
  <si>
    <t>Iedzīvotāju dzīvesvietas dekalrēšanas nodaļa</t>
  </si>
  <si>
    <t>kontroles pasākumus par ierobežojumu kontroli sabiedriskajā transportā,
procesuālās darbības, pakalpojuma sniegšanu vai pārrunas tiešā vai ilgstošā kontaktā ar pakalpojuma saņēmējiem vai procesa dalībniekiem,
personu aizturēšanu, nogādāšanu (tiešās saskares laikā).</t>
  </si>
  <si>
    <t>kontroles pasākumus (tiešā saskarsmē) par saimniecisko pakalpojumu, skaistumkopšanas pakalpojumu un sabiedriskās ēdināšanas pakalpojumu sniegšanai noteikto ierobežojumu ievērošanu,
kontroles pasākumus (tiešā saskarsmē) par tirdzniecības pakalpojumu sniegšanai noteikto ierobežojumu ievērošanu,
kontroles pasākumus par ierobežojumu kontroli sabiedriskajā transportā,
procesuālās darbības, pakalpojuma sniegšanu vai pārrunas tiešā vai ilgstošā kontaktā ar pakalpojuma saņēmējiem vai procesa dalībniekiem.</t>
  </si>
  <si>
    <t>kontroles pasākumus (tiešā saskarsmē) par tirdzniecības pakalpojumu sniegšanai noteikto ierobežojumu ievērošanu,
kontroles pasākumus par ierobežojumu kontroli sabiedriskajā transportā,
procesuālās darbības, pakalpojuma sniegšanu vai pārrunas tiešā vai ilgstošā kontaktā ar pakalpojuma saņēmējiem vai procesa dalībniekiem.</t>
  </si>
  <si>
    <t>kontroles pasākumus par ierobežojumu kontroli sabiedriskajā transportā,
procesuālās darbības, pakalpojuma sniegšanu vai pārrunas tiešā vai ilgstošā kontaktā ar pakalpojuma saņēmējiem vai procesa dalībniekiem.</t>
  </si>
  <si>
    <t>kontroles pasākumus (tiešā saskarsmē) par publisku un privātu pasākumu un aizsargātas miermīlīgas pulcēšanās brīvības izpausmēs (sapulcēs, gājienos un piketos) noteikto ierobežojumu kontroli,
kontroles pasākumus par ierobežojumu kontroli sabiedriskajā transportā,
procesuālās darbības, pakalpojuma sniegšanu vai pārrunas tiešā vai ilgstošā kontaktā ar pakalpojuma saņēmējiem vai procesa dalībniekiem.</t>
  </si>
  <si>
    <t>kontroles pasākumus (tiešā saskarsmē) par tirdzniecības pakalpojumu sniegšanai noteikto ierobežojumu ievērošanu,
kontroles pasākumus (tiešā saskarsmē) par publisku un privātu pasākumu un aizsargātas miermīlīgas pulcēšanās brīvības izpausmēs (sapulcēs, gājienos un piketos) noteikto ierobežojumu kontroli,
procesuālās darbības, pakalpojuma sniegšanu vai pārrunas tiešā vai ilgstošā kontaktā ar pakalpojuma saņēmējiem vai procesa dalībniekiem.</t>
  </si>
  <si>
    <t>kontroles pasākumus (tiešā saskarsmē) par tirdzniecības pakalpojumu sniegšanai noteikto ierobežojumu ievērošanu,
procesuālās darbības, pakalpojuma sniegšanu vai pārrunas tiešā vai ilgstošā kontaktā ar pakalpojuma saņēmējiem vai procesa dalībniekiem.</t>
  </si>
  <si>
    <t>kontroles pasākumus (tiešā saskarsmē) par tirdzniecības pakalpojumu sniegšanai noteikto ierobežojumu ievērošanu,
procesuālās darbības, pakalpojuma sniegšanu vai pārrunas tiešā vai ilgstošā kontaktā ar pakalpojuma saņēmējiem vai procesa dalībniekiem,
personu aizturēšanu, nogādāšanu (tiešās saskares laikā).</t>
  </si>
  <si>
    <t>kontroles pasākumus (tiešā saskarsmē) par saimniecisko pakalpojumu, skaistumkopšanas pakalpojumu un sabiedriskās ēdināšanas pakalpojumu sniegšanai noteikto ierobežojumu ievērošanu,
kontroles pasākumus (tiešā saskarsmē) par tirdzniecības pakalpojumu sniegšanai noteikto ierobežojumu ievērošanu,
procesuālās darbības, pakalpojuma sniegšanu vai pārrunas tiešā vai ilgstošā kontaktā ar pakalpojuma saņēmējiem vai procesa dalībniekiem.</t>
  </si>
  <si>
    <t>11.1.</t>
  </si>
  <si>
    <t xml:space="preserve">Covid 19 kontroles pasākumi TC ( 4 objekti), degvielas uzpildes stacijas, ( 2 obj.), personu aizturēšana, nogādāšana uz atskurbšanas telpām ( 4 personas), uz VP - 4 personas.Procesuālās darbības, pakalpojuma sniegšanu vai pārrunu vedēja pienākums tiešā vai ilgstošā kontaktā ar pakalpojuma saņēmējiem vai procesa dalībniekiem , pienākumu pildīšanas laikā ir tiešā saskarsmē ar klientiem vai citiem darbiniekiem, nonāk fiziskā kontaktā vai ilgstoši atrodas tuvāk par 2 metriem no klienta vai cita darbinieka vai vairāki darbinieki pienākumus veic ilgstošā savstarpējā saskarsmē (8 d. dienas) </t>
  </si>
  <si>
    <t>Jaun.Inspektors</t>
  </si>
  <si>
    <t xml:space="preserve">Covid 19 kontroles pasākumi sabiedriskājā transportā ( pārbaudīti 10 autobusi)  sab.vietas  -autoostas, tirgus, ēdināšanas un tirdzn.vietas -Ogres nvoads - Suntaži, Laubere,Krape, Madliena, Ķeipene, Jugla epidemioloģiski nedrošajā “Sarkanajā’ vidē/t.sk.pārrunas ar pakalpojuma sniedzējiem, apsekota riska ģimene - 1 ģim. 3 reizes mēnesī, pienākumu pildīšanas laikā ir tiešā saskarsmē ar klientiem( 2 izsaukumi)  vai citiem darbiniekiem ( sociālo dienestu) , nonāk fiziskā kontaktā vai ilgstoši atrodas tuvāk par 2 metriem no klienta vai cita darbinieka vai vairāki darbinieki pienākumus veic ilgstošā savstarpējā saskarsmē (24 stundas ) </t>
  </si>
  <si>
    <t xml:space="preserve">Covid 19 kontroles pasākumi TC ( 11 objekti),  personu aizturēšana,  nogādāšana uz atskurbšanas telpām   ( 2 personas), nogādāšana dzīvesvietā ( 2 personas), adm.procesu   veikšana  epidemioloģiski nedrošajā “Sarkanajā’ vidē/t.sk.pārrunas ar pakalpojuma sniedzējiem, pienākumu pildīšanas laikā ir tiešā saskarsmē ar klientiem ( saņemti 31 izsaukumi, izskatiti 3 iesniegumi) vai citiem darbiniekiem, nonāk fiziskā kontaktā vai ilgstoši atrodas tuvāk par 2 metriem no klienta vai cita darbinieka vai vairāki darbinieki pienākumus veic ilgstošā savstarpējā saskarsmē ( 8 d.dienas) </t>
  </si>
  <si>
    <t xml:space="preserve">Covid 19 kontroles pasākumi sabiedriskājā transportā ( pārbaudīti 104 autobusi),  personu  nogādāšana uz atskurbšanas telpām (2 perosnas),dzīvesvietā ( 2 persona)   adm.procesu   veikšana ( 4 procesi)  epidemioloģiski nedrošajā “Sarkanajā" vidē/t.sk.pārrunas ar iedzīvotājiem ( 25 gad. t.s.k. 4 izsk.iesniegumi) un apsekotas soc.riska ģimenes  ( 2 ģim), pienākumu pildīšanas laikā ir tiešā saskarsmē ar klientiem vai citiem darbiniekiem, nonāk fiziskā kontaktā vai ilgstoši atrodas tuvāk par 2 metriem no klienta vai cita darbinieka vai vairāki darbinieki pienākumus veic ilgstošā savstarpējā saskarsmē ( 7 d. dienas) </t>
  </si>
  <si>
    <t>Covid 19 kontroles pasākumi sabiedriskājā transportā ( pārbaudīti 10 autobusi) u.c.sab.vietas  -autoostas, tirgus, ēdināšanas un tirdzn.vietas -Ogres novads - Suntaži, Laubere,Krape, Madliena, Ķeipene pienākumu veikšana epidemioloģiski nedrošajā “Sarkanajā" vidē pienākumu pildīšanas laikā ir tiešā saskarsmē ar klientiem ( 8 izsaukumi - 19 stundas)   vai citiem darbiniekiem, nonāk fiziskā kontaktā vai ilgstoši atrodas tuvāk par 2 metriem no klienta vai cita darbinieka vai vairāki darbinieki pienākumus veic ilgstošā savstarpējā saskarsmē ( 32 stundas )</t>
  </si>
  <si>
    <t>Jaun.inspektors</t>
  </si>
  <si>
    <t xml:space="preserve">Covid 19 kontroles pasākumi  ēdināšanas uzņēmumi (5 objekti ) un tirdzniecības vietas (9 objekti ) personu aizturēšana un procesuālo darbību veikšana nogādāšana uz atskurbšanas telpām ( 2 persona), uz uz medicīnas iestādi ( 1 perosna)   pienākumu pildīšanas laikā ir tiešā saskarsmē ar klientiem vai citiem darbiniekiem, apsekotas riska ģimenes - 2 gab., 22 izsaukumi, izskatīti 2 iesniegumi, nonāk fiziskā kontaktā vai ilgstoši atrodas tuvāk par 2 metriem no klienta vai cita darbinieka vai vairāki darbinieki pienākumus veic ilgstošā savstarpējā saskarsmē ( 8 d. dienas) </t>
  </si>
  <si>
    <t xml:space="preserve">Covid 19 kontroles pasākumi sabiedriskājā transportā ( pārbaudīti 26 autobusi), TC (18 objekti ) personu aizturēšana un procesuālo darbību veikšana  nogādāšana uz atskurbšanas telpām (7 persona) , nogādātas dzīvesvietā (1 persona)  pienākumu pildīšanas laikā ir tiešā saskarsmē ar klientiem ( 5 izsaukumi - apsekotas 4 augsta riska ģimenes,  veikts ad.process - 1) vai citiem darbiniekiem, nonāk fiziskā kontaktā vai ilgstoši atrodas tuvāk par 2 metriem no klienta vai cita darbinieka vai vairāki darbinieki pienākumus veic ilgstošā savstarpējā saskarsmē ( 8 d. dienas) </t>
  </si>
  <si>
    <t xml:space="preserve">Covid 19 kontroles pasākumi sabiedriskājā transportā ( pārbaudīti 81 autobuss), personu aizturēšana un procesuālo darbību veikšana  adm.procesu   viekšana  ( 1 procesi) epidemioloģiski nedrošajā “Sarkanajā’ vidē/t.sk.pārrunas ar pakalpojuma sniedzēju/dokumentācijas pārbaude  ( 12 izsaukumi gad.un 3 izsk.isniegumi) un apsekotas augsta soc.riska ģim.- 2 gab. pienākumu pildīšanas laikā ir tiešā saskarsmē ar klientiem vai citiem darbiniekiem, nonāk fiziskā kontaktā vai ilgstoši atrodas tuvāk par 2 metriem no klienta vai cita darbinieka vai vairāki darbinieki pienākumus veic ilgstošā savstarpējā saskarsmē ( 5 d.dienas) </t>
  </si>
  <si>
    <t xml:space="preserve">Covid 19 kontroles pasākumi TC apsekošana  (3  objekti), deg.uzpildes stacijas ( 3 objekti),  personu aizturēšana un procesuālo darbību veikšana, nogādāšana uz atskurbšanas telpām ( 7 personas), uz VP -  2 personas,  pienākumu pildīšanas laikā ( 7 izsaukumi gad.un 2 izsk.isniegumi), ir tiešā saskarsmē ar klientiem vai citiem darbiniekiem, nonāk fiziskā kontaktā vai ilgstoši atrodas tuvāk par 2 metriem no klienta vai cita darbinieka vai vairāki darbinieki pienākumus veic ilgstošā savstarpējā saskarsmē ( 6 d.d. dienas) </t>
  </si>
  <si>
    <t xml:space="preserve">Covid 19 kontroles pasākumi sabiedriskājā transportā ( pārbaudīti 47 autobusi),  personu aizturēšana,  procesuālo darbību veikšana (6 procesi) personu  nogādāšana uz atskurbšanas telpām ( 3 personas) ,  uz dzīvesvietu ( 3 personas)  epidemioloģiski nedrošajā “Sarkanajā’ vidē/t.sk.pārrunas ar  iedzīvotājiem  ( 20 izsaukumi.un 3 izsk.iesniegumi, apsekotas 4 augsta soc. riska ģimenes), pienākumu pildīšanas laikā ir tiešā saskarsmē ar klientiem vai citiem darbiniekiem, nonāk fiziskā kontaktā vai ilgstoši atrodas tuvāk par 2 metriem no klienta vai cita darbinieka vai vairāki darbinieki pienākumus veic ilgstošā savstarpējā saskarsmē ( 7 d. dienas) </t>
  </si>
  <si>
    <t xml:space="preserve">Covid 19 kontroles pasākumi  -  pienākumu pildīšanas laikā ir tiešā saskarsmē ar klientiem vai citiem darbiniekiem, nonāk fiziskā kontaktā vai ilgstoši atrodas tuvāk par 2 metriem no klienta vai cita darbinieka vai vairāki darbinieki pienākumus veic ilgstošā savstarpējā saskarsmē  Pienākumu pildīšanas laikā bija tiešā saskarsmē ar Ogres ģimnāzijā audzēkņiem, pedagogiem , atbalsta perosnālu vai citiem darbiniekiem, nonāk fiziskā kontaktā vai ilgstoši atrodas tuvāk par 2 metriem no klienta vai cita darbinieka vai vairāki darbinieki pienākumus veic ilgstošā savstarpējā saskarsmē ( 21 dienas pa 3 stundām) </t>
  </si>
  <si>
    <t>Vec.inspektors</t>
  </si>
  <si>
    <t>Procesuālās darbības, pakalpojuma sniegšanu vai pārrunu vedēja pienākums tiešā vai ilgstošā kontaktā ar pakalpojuma saņēmējiem vai procesa dalībniekiem (ilgāk par 10 minūtēm) - ( 8 personas) darbs klātienē, kad darbinieka pienākumi ir kritiski svarīgi sabiedrībai, kā arī iestādes darbības nepārtrauktības nodrošināšanai, kad pienākumu pildīšanas laikā ir tiešā saskarsmē ar klientiem vai citiem darbiniekiem, nonāk fiziskā kontaktā vai ilgstoši atrodas tuvāk par 2 metriem no klienta vai cita darbinieka vai vairāki darbinieki pienākumus veic ilgstošā savstarpējā saskarsmē - ikdienas darbs saskarsmē ar patruļdiensta darbiniekiem  ( 3 st.dienā )</t>
  </si>
  <si>
    <t>Covid 19 kontroles pasākumi sabiedriskājā transportā ( pārbaudīti 8 autobusi) sab.vietas  -autoostas, tirgus, ēdināšanas un tirdzn.vietas -Ogres nvoads - Suntaži, Laubere,Krape, Madliena, Ķeipene, Jugla, epidemioloģiski nedrošajā “Sarkanajā" vidē pienākumu pildīšanas laikā ir tiešā saskarsmē ar klientiem ( 5 izsaukumi - 13 stundas)   vai citiem darbiniekiem, nonāk fiziskā kontaktā vai ilgstoši atrodas tuvāk par 2 metriem no klienta vai cita darbinieka vai vairāki darbinieki pienākumus veic ilgstošā savstarpējā saskarsmē ( 31 stundas )</t>
  </si>
  <si>
    <t xml:space="preserve">Covid 19 kontroles pasākumi  -  pienākumu pildīšanas laikā ir tiešā saskarsmē ar klientiem vai citiem darbiniekiem, nonāk fiziskā kontaktā vai ilgstoši atrodas tuvāk par 2 metriem no klienta vai cita darbinieka vai vairāki darbinieki pienākumus veic ilgstošā savstarpējā saskarsmē  Pienākumu pildīšanas laikā bija tiešā saskarsmē ar Ogres 1.vidusskolā audzēkņiem, pedagogiem , atbalsta perosnālu vai citiem darbiniekiem, nonāk fiziskā kontaktā vai ilgstoši atrodas tuvāk par 2 metriem no klienta vai cita darbinieka vai vairāki darbinieki pienākumus veic ilgstošā savstarpējā saskarsmē ( 21 dienas pa 3 stundām) </t>
  </si>
  <si>
    <t>Procesuālās darbības, pakalpojuma sniegšanu vai pārrunu vedēja pienākums tiešā vai ilgstošā kontaktā ar pakalpojuma saņēmējiem vai procesa dalībniekiem (ilgāk par 10 minūtēm) - ( 5 personas) darbs klātienē, kad darbinieka pienākumi ir kritiski svarīgi sabiedrībai, kā arī iestādes darbības nepārtrauktības nodrošināšanai, kad pienākumu pildīšanas laikā ir tiešā saskarsmē ar klientiem vai citiem darbiniekiem, nonāk fiziskā kontaktā vai ilgstoši atrodas tuvāk par 2 metriem no klienta vai cita darbinieka vai vairāki darbinieki pienākumus veic ilgstošā savstarpējā saskarsmē - ikdienas darbs saskarsmē ar patruļdiensta darbiniekiem  ( 2 st.dienā )</t>
  </si>
  <si>
    <t xml:space="preserve"> Procesuālās darbības, pakalpojuma sniegšanu vai pārrunu vedēja pienākums tiešā vai ilgstošā kontaktā ar pakalpojuma saņēmējiem vai procesa dalībniekiem (ilgāk par 10 minūtēm) - (  3 personas) Darbs klātienē, kad darbinieka pienākumi ir kritiski svarīgi sabiedrībai, kā arī iestādes darbības nepārtrauktības nodrošināšanai, kad pienākumu pildīšanas laikā ir tiešā saskarsmē ar klientiem vai citiem darbiniekiem, nonāk fiziskā kontaktā vai ilgstoši atrodas tuvāk par 2 metriem no klienta vai cita darbinieka vai vairāki darbinieki pienākumus veic ilgstošā savstarpējā saskarsmē - ikdienas darbs saskarsmē ar patruļdiensta darbiniekiem  ( 3 st.dienā )</t>
  </si>
  <si>
    <t xml:space="preserve"> Covid 19 kontroles pasākumi TC ( 11 objekti),  personu aizturēšana,  nogādāšana uz atskurbšanas telpām   ( 2 personas), nogādāšana dzīvesvietā ( 2 personas), adm.procesu   veikšana  epidemioloģiski nedrošajā “Sarkanajā’ vidē/t.sk.pārrunas ar pakalpojuma sniedzējiem, pienākumu pildīšanas laikā ir tiešā saskarsmē ar klientiem ( saņemti 31 izsaukumi, izskatiti 3 iesniegumi) vai citiem darbiniekiem, nonāk fiziskā kontaktā vai ilgstoši atrodas tuvāk par 2 metriem no klienta vai cita darbinieka vai vairāki darbinieki pienākumus veic ilgstošā savstarpējā saskarsmē ( 8 d.dienas) </t>
  </si>
  <si>
    <t>priekšn.vietnieka p.i.</t>
  </si>
  <si>
    <t>Procesuālās darbības, pakalpojuma sniegšanu vai pārrunu vedēja pienākums tiešā vai ilgstošā kontaktā ar pakalpojuma saņēmējiem vai procesa dalībniekiem (ilgāk par 10 minūtēm) - ( 3 personas) darbs klātienē, kad darbinieka pienākumi ir kritiski svarīgi sabiedrībai, kā arī iestādes darbības nepārtrauktības nodrošināšanai, kad pienākumu pildīšanas laikā ir tiešā saskarsmē ar klientiem vai citiem darbiniekiem, nonāk fiziskā kontaktā vai ilgstoši atrodas tuvāk par 2 metriem no klienta vai cita darbinieka vai vairāki darbinieki pienākumus veic ilgstošā savstarpējā saskarsmē - ikdienas darbs saskarsmē ar patruļdienesta darbiniekiem  ( 3 st.dienā )</t>
  </si>
  <si>
    <t xml:space="preserve">Covid 19 kontroles pasākumi TC apsekošana  (3  objekti), deg.uzpildes stacijas ( 3 objekti),  personu aizturēšana un procesuālo darbību veikšana, nogādāšana uz atskurbšanas telpām ( 7 personas), uz VP -  2 personas,  pienākumu pildīšanas laikā ( 7 izsaukumi gad.un 2 izsk.isniegumi), ir tiešā saskarsmē ar klientiem vai citiem darbiniekiem, nonāk fiziskā kontaktā vai ilgstoši atrodas tuvāk par 2 metriem no klienta vai cita darbinieka vai vairāki darbinieki pienākumus veic ilgstošā savstarpējā saskarsmē ( 8 d.d. dienas) </t>
  </si>
  <si>
    <t xml:space="preserve"> Covid 19 kontroles pasākumi sabiedriskājā transportā ( pārbaudīti 47 autobusi),  personu aizturēšana,  procesuālo darbību veikšana (6 procesi) personu  nogādāšana uz atskurbšanas telpām ( 3 personas) ,  uz dzīvesvietu ( 3 personas)  epidemioloģiski nedrošajā “Sarkanajā’ vidē/t.sk.pārrunas ar  iedzīvotājiem  ( 20 izsaukumi.un 3 izsk.iesniegumi, apsekotas 4 augsta soc. riska ģimenes), pienākumu pildīšanas laikā ir tiešā saskarsmē ar klientiem vai citiem darbiniekiem, nonāk fiziskā kontaktā vai ilgstoši atrodas tuvāk par 2 metriem no klienta vai cita darbinieka vai vairāki darbinieki pienākumus veic ilgstošā savstarpējā saskarsmē ( 7 d. dienas) </t>
  </si>
  <si>
    <t>11.2.</t>
  </si>
  <si>
    <t>Covid 19 kontroles pasākumi/pārbaudes tirdzniecības vietās, ēdināšanas iestādēs un sabiedriskajā transportā, epidemioloģiski nedrošajā “Sarkanajā’ vidē/t.sk.pārrunas ar pakalpojuma sniedzēju/dokumentācijas pārbaude/QR koda pārbaude –tiešā saskarē. Procesuālās darbības, pakalpojuma sniegšanu vai pārrunu vedēja pienākums tiešā vai ilgstošā kontaktā ar pakalpojuma saņēmējiem vai procesa dalībniekiem (ilgāk par 10 minūtēm) darbs klātienē, kad darbinieka pienākumi ir kritiski svarīgi sabiedrībai, kā arī iestādes darbības nepārtrauktības nodrošināšanai, kad pienākumu pildīšanas laikā ir tiešā saskarsmē ar klientiem vai citiem darbiniekiem, nonāk fiziskā kontaktā vai ilgstoši atrodas tuvāk par 2 metriem no klienta vai cita darbinieka vai vairāki darbinieki pienākumus veic ilgstošā savstarpējā saskarsmē - ikdienas darbs saskarsmē ar patruļdiensta darbiniekiem.</t>
  </si>
  <si>
    <t>Darba pienākumu pildīšana cieši saistīta ar personām, kas potenciāli ir Covid -19 inficētie, ar darbu pie Covid - 19 ierobežošanas pasākumu neievērojošām personām, pašizolācijas režīma ievērošanas pārbaudi.</t>
  </si>
  <si>
    <t xml:space="preserve">jaunākais inspektors  </t>
  </si>
  <si>
    <t xml:space="preserve"> Salaspils novada dome</t>
  </si>
  <si>
    <t>Saldus novada pašvaldība</t>
  </si>
  <si>
    <t xml:space="preserve"> Kontroles pasākumi, atrodoties saskarsmē tuvāk par 2 metriem</t>
  </si>
  <si>
    <t>inspektore, juriste</t>
  </si>
  <si>
    <t xml:space="preserve">Inspektors </t>
  </si>
  <si>
    <t xml:space="preserve"> Ir tiešā saskarsmē ar klientiem; 
 nonāk fiziskā kontaktā vai ilgstoši atrodas tuvāk par diviem metriem no klienta; izsaukumi:ģimenes konflikts, nogādāšana atskurbtuvē</t>
  </si>
  <si>
    <t>Pašvaldības policijas  inspektors /izdienas pensionārs/</t>
  </si>
  <si>
    <t>Pašvaldības policijas  inspektors /pensionārs/</t>
  </si>
  <si>
    <t>Pašvaldības policijas vecākais inspektors /izdienas pensionārs/</t>
  </si>
  <si>
    <t>Sabiedriskās kārtības nodrošināšana izbraukuma vakcinācijas vietā Valkas pilsētas kultūras namā; procesuālo darbību veikšana notikuma vietā(pārrunas ar personu, notikuma vietas apskate, APAS); dzīves apstākļu pārbaude dzīvesvietā.</t>
  </si>
  <si>
    <t>Pārrunas ar personu, paskaidrojuma pieņemšana sakarā ar iesniegumu (1-6/138);sabiedriskās kārtības nodrošināšana izbraukuma vakcinācijas vietā Valkas pilsētas kultūras namā; pārrunas ar personu, notikuma vietas apskate sakarā ar iesniegumu(1-6/7); iedzīvotāju aptauja un dzīves apstākļu pārbaude dzīvesvietā.</t>
  </si>
  <si>
    <t>Darbs klātienē Valmieras novada administratīvajā teritorijā  - darbinieks pienākumu pildīšanas atradās  tiešā saskarsmē ar klientiem (mutvārdu aizrādījumi-23 ,kim-1,personas pārbaude-8,izsaukumi -11 APAS –7 , uzlīmes 11 iesnieguma pieņemšana 4,paskaidroj.-2 dzīvesvietas 1, objektu apsekošana 30 ,zibakcija -, klientu nogādāšana patversmē, atskurbtuvē-1 NMPD-2 dzīvesvietā - un Valsts policijas iestādē 2 u.c.</t>
  </si>
  <si>
    <t>Darbs klātienē Valmieras novada administratīvajā teritorijā  - darbinieks pienākumu pildīšanas atradās  tiešā saskarsmē ar klientiem (izsaukumi-13,zibakcija-, APAS -2,paskaidrojuma-, iesnieguma pieņemšana-,  mutvārdu aizrādījums -,dzīvesvietas, objektu apsekošana- klientu nogādāšana patversmē, atskurbtuvē-,NMPD -1dzīvesvietā un Valsts policijas iestādē u.c.</t>
  </si>
  <si>
    <t>Darbs klātienē Valmieras novada administratīvajā teritorijā  - darbinieks pienākumu pildīšanas atradās  tiešā saskarsmē ar klientiem (izsaukumi-9 personu pārb-4, paskaidrojuma-9 APAS -7 mutv.aizrād.-15, kim-1, iesnieguma pieņemšana-5 apmeklētāji-9 objektu apsekošana 13, n/g-3, pers.pārb ar soc.d.-6 , dzīvesvietā 2 un Valsts policijas iestādē u.c.</t>
  </si>
  <si>
    <t>Darbs klātienē Valmieras novada administratīvajā teritorijā  - darbinieks pienākumu pildīšanas atradās  tiešā saskarsmē ar klientiem (paskaidrojuma-3 iesnieguma pieņemšana 3 dzīvesvietas, objektu apsekošana 15 , klientu nogādāšana patversmē, atskurbtuvē, dzīvesvietā un Valsts policijas iestādē u.c.</t>
  </si>
  <si>
    <t>Darbs klātienē Valmieras novada administratīvajā teritorijā  - darbinieks pienākumu pildīšanas atradās  tiešā saskarsmē ar klientiem ( APAS-3,izsaukumi-28, mutvārdu aizrādījumi-2, personas pārbaude-1,paskaidrojuma 1, iesnieguma pieņemšana-1, uzlīmes 5, objektu apsekošana-23 klientu nogādāšana patversmē,NMPD- 4 atskurbtuvē-1 dzīvesvietā un Valsts policijas iestādē-1 u.c.</t>
  </si>
  <si>
    <t>Darbs klātienē Valmieras novada administratīvajā teritorijā  - darbinieks pienākumu pildīšanas atradās  tiešā saskarsmē ar klientiem (izsaukumi-3, personas pārbaud.5 mutvārdu aizrādījumi-1,paskaidrojuma 2, iesnieguma pieņemšana, dzīvesvietas, objektu apsekošana 8, klientu nogādāšana NMPD-, pers.pārb.ar soc.d.5, dzīvesvietā 4 un Valsts policijas iestādē 2u.c.</t>
  </si>
  <si>
    <t>Darbs klātienē Valmieras novada administratīvajā teritorijā  - darbinieks pienākumu pildīšanas atradās  tiešā saskarsmē ar klientiem (APAS-1, personas pārbaude-2, izsaukumi-4 ,mutvārdu aizrādījumi-2, paskaidrojuma-2 iesnieguma pieņemšana , dzīvesvietas,c.Valdardze-1 objektu apsekošana-20 klientu nogādāšana patversmē,- atskurbtuvē , dzīvesvietā un Valsts policijas iestādē-1 u.c.</t>
  </si>
  <si>
    <t>Darbs klātienē Valmieras novada administratīvajā teritorijā  - darbinieks pienākumu pildīšanas atradās  tiešā saskarsmē ar klientiem (APAS-1 paskaidrojuma-mutv.aizrādījumi-1 iesnieguma pieņemšana, dzīvesvietas, objektu apsekošana 43 personas pārbaude-40, klientu nogādāšana patversmē, atskurbtuvē, dzīvesvietā un Valsts policijas iestādē u.c.</t>
  </si>
  <si>
    <t>Darbs klātienē Valmieras novada administratīvajā teritorijā  - darbinieks pienākumu pildīšanas atradās  tiešā saskarsmē ar klientiem (APAS 7,uzlīme 1 , izsaukums 7 personu pārbaude 4,mutvārdu aizrādījums7 ,paskaidrojumi 5 , sab,kārt.-2 , iesnieguma pieņemšana 1, dzīvesvietas 1, objektu apsekošana-8, apsekotas aadreses ar soc.d. 3, ūdenstilpnes 1, NMPD 1 atskurbtuvē , dzīvesvietā- un Valsts policijas iestādē-2 u.c.</t>
  </si>
  <si>
    <t>Darbs klātienē Valmieras novada administratīvajā teritorijā  - darbinieks pienākumu pildīšanas atradās  tiešā saskarsmē ar klientiem (sab.kārt.nodroš. 5 izsaukumi 4,paskaidrojuma, pers.pārb 2 mutv.aizrād.2 iesnieguma pieņemšana, dzīvesvietas, objektu apsekošana 3, klientu nogādāšana patversmē, atskurbtuvē 1,NMPD- dzīvesvietā un Valsts policijas iestādē u.c.</t>
  </si>
  <si>
    <t>Darbs klātienē Valmieras novada administratīvajā teritorijā  - darbinieks pienākumu pildīšanas atradās  tiešā saskarsmē ar klientiem (uzlīmes -, pers.pārbaude-, izsaukumi-13 mutvārdu aizrādījumi -2, paskaidrojuma, apas-2, iesnieguma pieņemšana-, dzīvesvietas, objektu apsekošana-15 klientu nogādāšana patversmē, atskurbtuvē-4, NMPD-1, dzīvesvietā - un Valsts policijas iestādē 1 u.c.</t>
  </si>
  <si>
    <t>Darbs klātienē Valmieras novada administratīvajā teritorijā  - darbinieks pienākumu pildīšanas atradās  tiešā saskarsmē ar klientiem (izsaukumi-16, apas 5 , uzlīmes -6 ziņojumi-20paskaidrojuma-8,mutv.aizrādījumi-12 iesnieguma pieņemšana3 apmekl.konsult.4 objektu apsekošana- 467 ūdenstilp.- 2 pers.pārbaude 13 ,klientu nogādāšana patversmē, apmekl.ar soc.d.-1 atskurbtuvē 2, dzīvesvietā 3  un Valsts policijas iestādē u.c.</t>
  </si>
  <si>
    <t>Darbs klātienē Valmieras novada administratīvajā teritorijā  - darbinieks pienākumu pildīšanas atradās  tiešā saskarsmē ar klientiem (uzlīme -4,izsaukumi-10,mutvārdu aizrād.-12 APAS-3,paskaidrojuma-5, pers.pārb-4,MP-, iesnieguma pieņemšana, dzīvesvietas 2, objektu apsekošana 10 klientu nogādāšana patversmē, atskurbtuvē 1, NMPD 2 dzīvesvietā un Valsts policijas iestādē 2 u.c.</t>
  </si>
  <si>
    <t>Darbs klātienē Valmieras novada administratīvajā teritorijā  - darbinieks pienākumu pildīšanas atradās  tiešā saskarsmē ar klientiem (sab.kārtības nodr. 2 Apas-4 izsaukumi -33,paskaidrojuma-1 pers.pārbaude-15 iesnieguma pieņemšana-,uzlīmes 11, mutv,aizrād. 5  ūdenstilpn.-2 objektu apsekoša 40 klientu nogādāšana patversmē, atskurbtuvē-6,NMDP-2 dzīvesvietā  un Valsts policijas iestādē- u.c.</t>
  </si>
  <si>
    <t>Darbs klātienē Valmieras novada administratīvajā teritorijā  - darbinieks pienākumu pildīšanas atradās  tiešā saskarsmē ar klientiem (izsaukumi-25 sab.kārt.nodroš.11 Uzlīmes-12 pers.pārbaude -,,mutv.aizrādījums-13, paskaidrojuma- iesnieguma pieņemšana 1, APAS 1, objektu apsekošana-53 klientu nogādāšana patversmē, atskurbtuvē 2 ,NMPD-4 dzīvesvietā  un Valsts policijas iestādē 1u.c.</t>
  </si>
  <si>
    <t>Darbs klātienē Valmieras novada administratīvajā teritorijā  - darbinieks pienākumu pildīšanas atradās  tiešā saskarsmē ar klientiem (APAS-2,NN- izsaukums 5 ,sabiedr.kārtība-5 ,mutvārda aizrādījums -17, personu apsekojumi 2,personas pārbaude -,paskaidrojuma-2, uzlīmes-,aizturēta persona -,iesnieguma pieņemšana-, dzīvesvietas 2, objektu apsekošana-12 klientu nogādāšana patversmē, atskurbtuvē ,NMPD-, dzīvesvietā un Valsts policijas iestādē u.c.</t>
  </si>
  <si>
    <t>Darbs klātienē Valmieras novada administratīvajā teritorijā  - darbinieks pienākumu pildīšanas atradās  tiešā saskarsmē ar klientiem (kārt.nodroš.-1, zibakcija-, personas pārbaude -5 mutvārdu aizrādījumi-10,izsaukumi-25,uzlīme1  APAS-7 ,paskaidrojuma, iesnieguma pieņemšana , dzīvesvietas 1 objektu apsekošana-35 ,klientu nogādāšana patversmē, atskurbtuvē -2,NMPD-2, dzīvesvietā- un Valsts policijas iestādē u.c.</t>
  </si>
  <si>
    <t>Darbs klātienē Valmieras novada administratīvajā teritorijā  - darbinieks pienākumu pildīšanas atradās  tiešā saskarsmē ar klientiem (izsaukumi-1APAS-2,sab.kārt.nodroš.-paskaidrojuma-, mutvārdu aizrādījums-2,iesnieguma pieņemšana, dzīvesvietas, objektu apsekošana-43 pers.pārbaude-42, klientu nogādāšana patversmē, atskurbtuvē , dzīvesvietā un Valsts policijas iestādē u.c.</t>
  </si>
  <si>
    <t>Darbs klātienē Valmieras novada administratīvajā teritorijā  - darbinieks pienākumu pildīšanas atradās  tiešā saskarsmē ar klientiem (APAS 2,izsaukumi -2 paskaidrojuma-,sab.kārt.nodroš.- iesnieguma pieņemšana, dzīvesvietas, objektu apsekošana-74 personas pārbaude-110,klientu nogādāšana patversmē, atskurbtuvē 1, dzīvesvietā un Valsts policijas iestādē u.c.</t>
  </si>
  <si>
    <t>Darbs klātienē Valmieras novada administratīvajā teritorijā  - darbinieks pienākumu pildīšanas atradās  tiešā saskarsmē ar klientiem (izsaukumi 11 ,aizrādījumi  mutiski 8 -,sab.kārt.nodroš. -2,  paskaidrojum 2, iesnieguma pieņemšana-2, dzīvesvieta-, NMDP-, apmeklējuma pieņemšana11  ,objektu apsekošana-14, klientu nogādāšana patversmē, ūdenst.-1 dzīvesvietā1 un Valsts policijas iestādē u.c.</t>
  </si>
  <si>
    <t>Darbs klātienē Valmieras novada administratīvajā teritorijā  - darbinieks pienākumu pildīšanas atradās  tiešā saskarsmē ar klientiem (uzlīme 1, izsaukumi -20, uzlīme-, APAS-,1 personu pārbaude-1, KIM-, mutv.aizrād.-5,paskaidrojumi - iesnieguma- pieņemšana, dzīvesvietas  objektu apsekošana20    klientu nogādāšana patversmē-, NMPD 1atskurbtuve –2 dzīvesvietā- un Valsts policijas iestādē  u.c.</t>
  </si>
  <si>
    <t>Darbs klātienē Valmieras novada administratīvajā teritorijā  - darbinieks pienākumu pildīšanas atradās  tiešā saskarsmē ar klientiem (sab.kārt,nodr.3, personas pārbaude-15,izsaukumi-23 APAS- 2, mutvārdu aizrādījums-16, KIM-1,paskaidrojuma 1 iesnieguma pieņemšana, uzlīmes 9 , objektu apsekošana-24 klientu nogādāšana NMPD -2-, atskurbtuvē-3, dzīvesvietā1  un Valsts policijas iestādē 3 u.c.</t>
  </si>
  <si>
    <t>Darbs klātienē Valmieras novada administratīvajā teritorijā  - darbinieks pienākumu pildīšanas atradās  tiešā saskarsmē ar klientiem (personas pārbaude-3,sab.kārt.nodroš.-2,APAS - 4, izsaukums-23,aizrādījumi mutvārdu -23,paskaidrojuma 5 iesnieguma pieņemšana -1dzīvesvietas, objektu apsekošana -46 C.Valdardze-1, atskurbtuvē-2, NMPD- 1dzīvesvietā-1 un Valsts policijas iestādē 1 u.c.</t>
  </si>
  <si>
    <t>Darbs klātienē Valmieras novada administratīvajā teritorijā  - darbinieks pienākumu pildīšanas atradās  tiešā saskarsmē ar klientiem (APAS -2, personas pārbaude -15 ,izsaukumi-14,mutvārdu aizrādījumi -,paskaidrojuma 3, iesnieguma pieņemšana 1, dzīvesvietas, objektu apsekošana-19 zibakcija- klientu nogādāšana patversmē, atskurbtuvē-, NMPD-4 dzīvesvietā un Valsts policijas iestādē 2 u.c.</t>
  </si>
  <si>
    <t>Darbs klātienē Valmieras novada administratīvajā teritorijā  - darbinieks pienākumu pildīšanas atradās  tiešā saskarsmē ar klientiem (apsekotas adreses ar soc.d.-3, ūdenst.-1 , izsauk-24 NN-, APAS-9 mutvārdu aizrādījums 9 , uzlīmes-3,iesnieguma 1 pieņemšana ,paskaidrojumi-2 dzīvesvietas-1, objektu apsekošana 43 ,personas pārbaude  klientu nogādāšana patversmē,NMPD-1 atskurbtuvē- dzīvesvietā 1 un Valsts policijas iestādē 1 u.c.</t>
  </si>
  <si>
    <t>Darbs klātienē Valmieras novada administratīvajā teritorijā  - darbinieks pienākumu pildīšanas atradās  tiešā saskarsmē ar klientiem (izsaukumi -25 zibakcija-,APAS-2, MP- Sab.kārtība -3,mutiski aizrādījumi- 6 zibakcija-,paskaidrojuma-4 iesnieguma pieņemšana 12 dzīvesvieta1, uzlīme 3 objektu apsekošana-21, klientu nogādāšana patversmē, atskurbtuvē-6, dzīvesvietā  un Valsts policijas iestādē 2 u.c.</t>
  </si>
  <si>
    <t>Darbs klātienē Valmieras novada administratīvajā teritorijā  - darbinieks pienākumu pildīšanas atradās  tiešā saskarsmē ar klientiem (paskaidrojuma-2 pers.pārb-7 mutvārdu aizrād.-8 , iesnieguma pieņemšana, dzīvesvietas, objektu apsekošana 15 klientu nogādāšana patversmē, atskurbtuvē 2, dzīvesvietā un Valsts policijas iestādē u.c.</t>
  </si>
  <si>
    <t>Darbs klātienē Valmieras novada administratīvajā teritorijā  - darbinieks pienākumu pildīšanas atradās  tiešā saskarsmē ar klientiem (personu pārbaude-,zibakcija-, izsaukums -19 paskaidrojuma / iesnieguma pieņemšana -, mutv.aizrād.2 dzīvesvieta, objektu apsekošana -14, klientu nogādāšana patversmē, atskurbtuvē-2, dzīvesvietā, NMPD -2- un Valsts policijas iestādē u.c.</t>
  </si>
  <si>
    <t>Darbs klātienē Valmieras novada administratīvajā teritorijā  - darbinieks pienākumu pildīšanas atradās  tiešā saskarsmē ar klientiem (zibakcija-,izsaukumi-12, APAS -1, personas pārbaude-10,mutvārdu aizrādījumi-8, sabiedr.kārtība ,  apsekojumi-,paskaidrojuma-4, NN-,iesnieguma pieņemšana-, dzīvesvietas, objektu apsekošana-25, klientu nogādāšana patversmē, atskurbtuvē-1, NMPD-1,dzīvesvietā- un Valsts policijas iestādē 1 u.c.</t>
  </si>
  <si>
    <t>Darbs klātienē Valmieras novada administratīvajā teritorijā  - darbinieks pienākumu pildīšanas atradās  tiešā saskarsmē ar klientiem (personu apmekl.-7, izbraukumi-, mutiski aizrā'dijumi-15,sabiedr.kārt.nodroš.-,paskaidrojuma, iesnieguma pieņemšana-, dzīvesvietas, objektu apsekošana 15,klientu nogādāšana patversmē, atskurbtuvē, dzīvesvietā-1 un Valsts policijas iestādē u.c.</t>
  </si>
  <si>
    <t>Darbs klātienē Valmieras novada administratīvajā teritorijā  - darbinieks pienākumu pildīšanas atradās  tiešā saskarsmē ar klientiem (Zibakcijas , izsaukumi-10, APAS 3 ,paskaidrojums -3, iesnieguma pieņemšana , personu pārbaude -1, dzīvesvietas 2, objektu apsekošana-10, klientu nogādāšana patversmē, aiztur.pers.-,NMPD ,atskurbtuvē -2 dzīvesvietā- un Valsts policijas iestādē- u.c.</t>
  </si>
  <si>
    <t>Darbs klātienē Valmieras novada administratīvajā teritorijā  - darbinieks pienākumu pildīšanas atradās  tiešā saskarsmē ar klientiem (izsaukumi-15, zibakcija-,APAS-, uzlīmes -7 mutvārdu aizrādījumi-12, paskaidrojuma, iesnieguma pieņemšana-, dzīvesvietas, objektu apsekošana-13 personas noskaidrošana 3-, klientu nogādāšana patversmē, atskurbtuvē-, NMPD-1, ūdenstilp.-2- un Valsts policijas iestādē 1 u.c.</t>
  </si>
  <si>
    <r>
      <t>Pašvaldību institūciju izdevumi (</t>
    </r>
    <r>
      <rPr>
        <b/>
        <i/>
        <sz val="14"/>
        <color theme="1"/>
        <rFont val="Times New Roman"/>
        <family val="1"/>
        <charset val="186"/>
      </rPr>
      <t>euro</t>
    </r>
    <r>
      <rPr>
        <b/>
        <sz val="14"/>
        <color theme="1"/>
        <rFont val="Times New Roman"/>
        <family val="1"/>
        <charset val="186"/>
      </rPr>
      <t>) pašvaldības policijas darbinieku piemaksām par darbu paaugstināta riska un slodzes apstākļos  ārkārtas sabiedrības veselības apdraudējumā saistībā ar “Covid-19” uzliesmojumu un seku novēršanu par laika periodu  no 2022.gada 1.janvāra līdz 31.janvārim</t>
    </r>
  </si>
  <si>
    <r>
      <rPr>
        <b/>
        <sz val="8"/>
        <color theme="1"/>
        <rFont val="Times New Roman"/>
        <family val="1"/>
        <charset val="186"/>
      </rPr>
      <t>5.01.2022.</t>
    </r>
    <r>
      <rPr>
        <sz val="8"/>
        <color theme="1"/>
        <rFont val="Times New Roman"/>
        <family val="1"/>
        <charset val="186"/>
      </rPr>
      <t xml:space="preserve"> Epidemioloģisko drošību prasību kontrole Tirdzniecības vietās, pārbaudītas 3 tirdzniecības vietas, pārkāpumi netika konstatēti. Apstiprinātā darba uzdevuma izpilde un izsaukumi.  </t>
    </r>
    <r>
      <rPr>
        <b/>
        <sz val="8"/>
        <color theme="1"/>
        <rFont val="Times New Roman"/>
        <family val="1"/>
        <charset val="186"/>
      </rPr>
      <t xml:space="preserve">17.01.2022. </t>
    </r>
    <r>
      <rPr>
        <sz val="8"/>
        <color theme="1"/>
        <rFont val="Times New Roman"/>
        <family val="1"/>
        <charset val="186"/>
      </rPr>
      <t xml:space="preserve">Epidemioloģisko drošību prasību kontrole Tirdzniecības vietās, pārbaudītas 3 tirdzniecības vietas, pārkāpumi netika konstatēti. Apstiprinātā darba uzdevuma izpilde un izsaukumi  </t>
    </r>
    <r>
      <rPr>
        <b/>
        <sz val="8"/>
        <color theme="1"/>
        <rFont val="Times New Roman"/>
        <family val="1"/>
        <charset val="186"/>
      </rPr>
      <t xml:space="preserve">21.01.2022. </t>
    </r>
    <r>
      <rPr>
        <sz val="8"/>
        <color theme="1"/>
        <rFont val="Times New Roman"/>
        <family val="1"/>
        <charset val="186"/>
      </rPr>
      <t xml:space="preserve">Epidemioloģisko drošību prasību kontrole Tirdzniecības vietās, pārbaudītas 3 tirdzniecības vietas, pārkāpumi netika konstatēti. Apstiprinātā darba uzdevuma izpilde un izsaukumi.  </t>
    </r>
    <r>
      <rPr>
        <b/>
        <sz val="8"/>
        <color theme="1"/>
        <rFont val="Times New Roman"/>
        <family val="1"/>
        <charset val="186"/>
      </rPr>
      <t xml:space="preserve">25.01.2022. </t>
    </r>
    <r>
      <rPr>
        <sz val="8"/>
        <color theme="1"/>
        <rFont val="Times New Roman"/>
        <family val="1"/>
        <charset val="186"/>
      </rPr>
      <t xml:space="preserve">Epidemioloģisko drošību prasību kontrole Tirdzniecības vietās, pārbaudītas 3 tirdzniecības vietas, pārkāpumi netika konstatēti. Apstiprinātā darba uzdevuma izpilde un izsaukumi.  </t>
    </r>
    <r>
      <rPr>
        <b/>
        <sz val="8"/>
        <color theme="1"/>
        <rFont val="Times New Roman"/>
        <family val="1"/>
        <charset val="186"/>
      </rPr>
      <t>29.01.2021.</t>
    </r>
    <r>
      <rPr>
        <sz val="8"/>
        <color theme="1"/>
        <rFont val="Times New Roman"/>
        <family val="1"/>
        <charset val="186"/>
      </rPr>
      <t xml:space="preserve"> Epidemioloģisko drošību prasību kontrole Tirdzniecības vietās, pārbaudītas 5 tirdzniecības vietas, pārkāpumi netika konstatēti. Apstiprinātā darba uzdevuma izpilde un izsaukumi.</t>
    </r>
  </si>
  <si>
    <r>
      <rPr>
        <b/>
        <sz val="8"/>
        <color theme="1"/>
        <rFont val="Times New Roman"/>
        <family val="1"/>
        <charset val="186"/>
      </rPr>
      <t>5.01.2022.</t>
    </r>
    <r>
      <rPr>
        <sz val="8"/>
        <color theme="1"/>
        <rFont val="Times New Roman"/>
        <family val="1"/>
        <charset val="186"/>
      </rPr>
      <t xml:space="preserve"> Epidemioloģisko drošību prasību kontrole Tirdzniecības vietās, pārbaudītas 3 tirdzniecības vietas, pārkāpumi netika konstatēti. Apstiprinātā darba uzdevuma izpilde un izsaukumi. </t>
    </r>
    <r>
      <rPr>
        <b/>
        <sz val="8"/>
        <color theme="1"/>
        <rFont val="Times New Roman"/>
        <family val="1"/>
        <charset val="186"/>
      </rPr>
      <t xml:space="preserve">17.01.2022. </t>
    </r>
    <r>
      <rPr>
        <sz val="8"/>
        <color theme="1"/>
        <rFont val="Times New Roman"/>
        <family val="1"/>
        <charset val="186"/>
      </rPr>
      <t xml:space="preserve">Epidemioloģisko drošību prasību kontrole Tirdzniecības vietās, pārbaudītas 3 tirdzniecības vietas, pārkāpumi netika konstatēti. Apstiprinātā darba uzdevuma izpilde un izsaukumi. </t>
    </r>
    <r>
      <rPr>
        <b/>
        <sz val="8"/>
        <color theme="1"/>
        <rFont val="Times New Roman"/>
        <family val="1"/>
        <charset val="186"/>
      </rPr>
      <t xml:space="preserve">21.01.2022. </t>
    </r>
    <r>
      <rPr>
        <sz val="8"/>
        <color theme="1"/>
        <rFont val="Times New Roman"/>
        <family val="1"/>
        <charset val="186"/>
      </rPr>
      <t xml:space="preserve">Epidemioloģisko drošību prasību kontrole Tirdzniecības vietās, pārbaudītas 3 tirdzniecības vietas, pārkāpumi netika konstatēti. Apstiprinātā darba uzdevuma izpilde un izsaukumi. </t>
    </r>
    <r>
      <rPr>
        <b/>
        <sz val="8"/>
        <color theme="1"/>
        <rFont val="Times New Roman"/>
        <family val="1"/>
        <charset val="186"/>
      </rPr>
      <t>25.01.2022.</t>
    </r>
    <r>
      <rPr>
        <sz val="8"/>
        <color theme="1"/>
        <rFont val="Times New Roman"/>
        <family val="1"/>
        <charset val="186"/>
      </rPr>
      <t xml:space="preserve"> Epidemioloģisko drošību prasību kontrole Tirdzniecības vietās, pārbaudītas 3 tirdzniecības vietas, pārkāpumi netika konstatēti. Apstiprinātā darba uzdevuma izpilde un izsaukumi.</t>
    </r>
  </si>
  <si>
    <r>
      <rPr>
        <b/>
        <sz val="8"/>
        <color theme="1"/>
        <rFont val="Times New Roman"/>
        <family val="1"/>
        <charset val="186"/>
      </rPr>
      <t>17.01.2022.</t>
    </r>
    <r>
      <rPr>
        <sz val="8"/>
        <color theme="1"/>
        <rFont val="Times New Roman"/>
        <family val="1"/>
        <charset val="186"/>
      </rPr>
      <t xml:space="preserve">Epidemioloģisko drošību prasību kontrole Tirdzniecības vietās, pārbaudītas 3 tirdzniecības vietas, pārkāpumi netika konstatēti. Apstiprinātā darba uzdevuma izpilde un izsaukumi . </t>
    </r>
    <r>
      <rPr>
        <b/>
        <sz val="8"/>
        <color theme="1"/>
        <rFont val="Times New Roman"/>
        <family val="1"/>
        <charset val="186"/>
      </rPr>
      <t xml:space="preserve">21.01.2022. </t>
    </r>
    <r>
      <rPr>
        <sz val="8"/>
        <color theme="1"/>
        <rFont val="Times New Roman"/>
        <family val="1"/>
        <charset val="186"/>
      </rPr>
      <t xml:space="preserve">Epidemioloģisko drošību prasību kontrole Tirdzniecības vietās, pārbaudītas 3 tirdzniecības vietas, pārkāpumi netika konstatēti. Apstiprinātā darba uzdevuma izpilde un izsaukumi. </t>
    </r>
    <r>
      <rPr>
        <b/>
        <sz val="8"/>
        <color theme="1"/>
        <rFont val="Times New Roman"/>
        <family val="1"/>
        <charset val="186"/>
      </rPr>
      <t>29.01.2021.</t>
    </r>
    <r>
      <rPr>
        <sz val="8"/>
        <color theme="1"/>
        <rFont val="Times New Roman"/>
        <family val="1"/>
        <charset val="186"/>
      </rPr>
      <t xml:space="preserve"> Epidemioloģisko drošību prasību kontrole Tirdzniecības vietās, pārbaudītas 5 tirdzniecības vietas, pārkāpumi netika konstatēti. Apstiprinātā darba uzdevuma izpilde un izsaukumi.</t>
    </r>
  </si>
  <si>
    <r>
      <t xml:space="preserve">2.01.2022. </t>
    </r>
    <r>
      <rPr>
        <sz val="8"/>
        <color theme="1"/>
        <rFont val="Times New Roman"/>
        <family val="1"/>
        <charset val="186"/>
      </rPr>
      <t>Apstiprinātā darba uzdevuma izpilde un izsaukumi.</t>
    </r>
    <r>
      <rPr>
        <b/>
        <sz val="8"/>
        <color theme="1"/>
        <rFont val="Times New Roman"/>
        <family val="1"/>
        <charset val="186"/>
      </rPr>
      <t>6.01.2022.</t>
    </r>
    <r>
      <rPr>
        <sz val="8"/>
        <color theme="1"/>
        <rFont val="Times New Roman"/>
        <family val="1"/>
        <charset val="186"/>
      </rPr>
      <t xml:space="preserve">Apstiprinātā darba uzdevuma izpilde un izsaukumi. </t>
    </r>
    <r>
      <rPr>
        <b/>
        <sz val="8"/>
        <color theme="1"/>
        <rFont val="Times New Roman"/>
        <family val="1"/>
        <charset val="186"/>
      </rPr>
      <t>10.01.2022</t>
    </r>
    <r>
      <rPr>
        <sz val="8"/>
        <color theme="1"/>
        <rFont val="Times New Roman"/>
        <family val="1"/>
        <charset val="186"/>
      </rPr>
      <t xml:space="preserve">.Epidemioloģisko drošību prasību kontrole Tirdzniecības vietās, pārbaudītas 4 tirdzniecības vietas, pārkāpumi netika konstatēti. Apstiprinātā darba uzdevuma izpilde un izsaukumi. </t>
    </r>
    <r>
      <rPr>
        <b/>
        <sz val="8"/>
        <color theme="1"/>
        <rFont val="Times New Roman"/>
        <family val="1"/>
        <charset val="186"/>
      </rPr>
      <t xml:space="preserve">14.01.2022. </t>
    </r>
    <r>
      <rPr>
        <sz val="8"/>
        <color theme="1"/>
        <rFont val="Times New Roman"/>
        <family val="1"/>
        <charset val="186"/>
      </rPr>
      <t xml:space="preserve">Apstiprinātā darba uzdevuma izpilde un izsaukumi.(Ģimenes konflikts atrisināts uz vietas). </t>
    </r>
    <r>
      <rPr>
        <b/>
        <sz val="8"/>
        <color theme="1"/>
        <rFont val="Times New Roman"/>
        <family val="1"/>
        <charset val="186"/>
      </rPr>
      <t>18.01.2022.</t>
    </r>
    <r>
      <rPr>
        <sz val="8"/>
        <color theme="1"/>
        <rFont val="Times New Roman"/>
        <family val="1"/>
        <charset val="186"/>
      </rPr>
      <t xml:space="preserve">Apstiprinātā darba uzdevuma izpilde un izsaukumi. </t>
    </r>
    <r>
      <rPr>
        <b/>
        <sz val="8"/>
        <color theme="1"/>
        <rFont val="Times New Roman"/>
        <family val="1"/>
        <charset val="186"/>
      </rPr>
      <t>22.01.2022.</t>
    </r>
    <r>
      <rPr>
        <sz val="8"/>
        <color theme="1"/>
        <rFont val="Times New Roman"/>
        <family val="1"/>
        <charset val="186"/>
      </rPr>
      <t xml:space="preserve">Apstiprinātā darba uzdevuma izpilde un izsaukumi (profilakltiskais darbs ar 1 personu). </t>
    </r>
    <r>
      <rPr>
        <b/>
        <sz val="8"/>
        <color theme="1"/>
        <rFont val="Times New Roman"/>
        <family val="1"/>
        <charset val="186"/>
      </rPr>
      <t>26.01.2022.</t>
    </r>
    <r>
      <rPr>
        <sz val="8"/>
        <color theme="1"/>
        <rFont val="Times New Roman"/>
        <family val="1"/>
        <charset val="186"/>
      </rPr>
      <t xml:space="preserve"> Apstiprinātā darba uzdevuma izpilde un izsaukumi(1 persona nogādāta nakts patversmē Gaiziņš).</t>
    </r>
  </si>
  <si>
    <r>
      <rPr>
        <b/>
        <sz val="8"/>
        <color theme="1"/>
        <rFont val="Times New Roman"/>
        <family val="1"/>
        <charset val="186"/>
      </rPr>
      <t>2.01.2022.</t>
    </r>
    <r>
      <rPr>
        <sz val="8"/>
        <color theme="1"/>
        <rFont val="Times New Roman"/>
        <family val="1"/>
        <charset val="186"/>
      </rPr>
      <t xml:space="preserve"> Apstiprinātā darba uzdevuma izpilde un izsaukumi. ENŽ 000003. </t>
    </r>
    <r>
      <rPr>
        <b/>
        <sz val="8"/>
        <color theme="1"/>
        <rFont val="Times New Roman"/>
        <family val="1"/>
        <charset val="186"/>
      </rPr>
      <t>6.01.2022.</t>
    </r>
    <r>
      <rPr>
        <sz val="8"/>
        <color theme="1"/>
        <rFont val="Times New Roman"/>
        <family val="1"/>
        <charset val="186"/>
      </rPr>
      <t xml:space="preserve">Apstiprinātā darba uzdevuma izpilde un izsaukumi. </t>
    </r>
    <r>
      <rPr>
        <b/>
        <sz val="8"/>
        <color theme="1"/>
        <rFont val="Times New Roman"/>
        <family val="1"/>
        <charset val="186"/>
      </rPr>
      <t>10.01.2022</t>
    </r>
    <r>
      <rPr>
        <sz val="8"/>
        <color theme="1"/>
        <rFont val="Times New Roman"/>
        <family val="1"/>
        <charset val="186"/>
      </rPr>
      <t xml:space="preserve">.Epidemioloģisko drošību prasību kontrole Tirdzniecības vietās, pārbaudītas 4 tirdzniecības vietas, pārkāpumi netika konstatēti. Apstiprinātā darba uzdevuma izpilde un izsaukumi. </t>
    </r>
    <r>
      <rPr>
        <b/>
        <sz val="8"/>
        <color theme="1"/>
        <rFont val="Times New Roman"/>
        <family val="1"/>
        <charset val="186"/>
      </rPr>
      <t>14.01.2022.</t>
    </r>
    <r>
      <rPr>
        <sz val="8"/>
        <color theme="1"/>
        <rFont val="Times New Roman"/>
        <family val="1"/>
        <charset val="186"/>
      </rPr>
      <t xml:space="preserve"> Apstiprinātā darba uzdevuma izpilde un izsaukumi.(Ģimenes konflikts atrisināts uz vietas). </t>
    </r>
    <r>
      <rPr>
        <b/>
        <sz val="8"/>
        <color theme="1"/>
        <rFont val="Times New Roman"/>
        <family val="1"/>
        <charset val="186"/>
      </rPr>
      <t>18.01.2022.</t>
    </r>
    <r>
      <rPr>
        <sz val="8"/>
        <color theme="1"/>
        <rFont val="Times New Roman"/>
        <family val="1"/>
        <charset val="186"/>
      </rPr>
      <t xml:space="preserve">Apstiprinātā darba uzdevuma izpilde un izsaukumi. </t>
    </r>
    <r>
      <rPr>
        <b/>
        <sz val="8"/>
        <color theme="1"/>
        <rFont val="Times New Roman"/>
        <family val="1"/>
        <charset val="186"/>
      </rPr>
      <t>22.01.2022.</t>
    </r>
    <r>
      <rPr>
        <sz val="8"/>
        <color theme="1"/>
        <rFont val="Times New Roman"/>
        <family val="1"/>
        <charset val="186"/>
      </rPr>
      <t xml:space="preserve">Apstiprinātā darba uzdevuma izpilde un izsaukumi (profilakltiskais darbs ar 1 personu). </t>
    </r>
    <r>
      <rPr>
        <b/>
        <sz val="8"/>
        <color theme="1"/>
        <rFont val="Times New Roman"/>
        <family val="1"/>
        <charset val="186"/>
      </rPr>
      <t>26.01.2022.</t>
    </r>
    <r>
      <rPr>
        <sz val="8"/>
        <color theme="1"/>
        <rFont val="Times New Roman"/>
        <family val="1"/>
        <charset val="186"/>
      </rPr>
      <t xml:space="preserve"> Apstiprinātā darba uzdevuma izpilde un izsaukumi(1 persona nogādāta nakts patversmē Gaiziņš).</t>
    </r>
  </si>
  <si>
    <r>
      <t xml:space="preserve">2.01.2022. </t>
    </r>
    <r>
      <rPr>
        <sz val="8"/>
        <color theme="1"/>
        <rFont val="Times New Roman"/>
        <family val="1"/>
        <charset val="186"/>
      </rPr>
      <t xml:space="preserve">Apstiprinātā darba uzdevuma izpilde un izsaukumi. </t>
    </r>
    <r>
      <rPr>
        <b/>
        <sz val="8"/>
        <color theme="1"/>
        <rFont val="Times New Roman"/>
        <family val="1"/>
        <charset val="186"/>
      </rPr>
      <t>6.01.2022.</t>
    </r>
    <r>
      <rPr>
        <sz val="8"/>
        <color theme="1"/>
        <rFont val="Times New Roman"/>
        <family val="1"/>
        <charset val="186"/>
      </rPr>
      <t xml:space="preserve">Apstiprinātā darba uzdevuma izpilde un izsaukumi. </t>
    </r>
    <r>
      <rPr>
        <b/>
        <sz val="8"/>
        <color theme="1"/>
        <rFont val="Times New Roman"/>
        <family val="1"/>
        <charset val="186"/>
      </rPr>
      <t>10.01.2022.</t>
    </r>
    <r>
      <rPr>
        <sz val="8"/>
        <color theme="1"/>
        <rFont val="Times New Roman"/>
        <family val="1"/>
        <charset val="186"/>
      </rPr>
      <t xml:space="preserve">Epidemioloģisko drošību prasību kontrole Tirdzniecības vietās, pārbaudītas 4 tirdzniecības vietas, pārkāpumi netika konstatēti. Apstiprinātā darba uzdevuma izpilde un izsaukumi. </t>
    </r>
    <r>
      <rPr>
        <b/>
        <sz val="8"/>
        <color theme="1"/>
        <rFont val="Times New Roman"/>
        <family val="1"/>
        <charset val="186"/>
      </rPr>
      <t xml:space="preserve">14.01.2022. </t>
    </r>
    <r>
      <rPr>
        <sz val="8"/>
        <color theme="1"/>
        <rFont val="Times New Roman"/>
        <family val="1"/>
        <charset val="186"/>
      </rPr>
      <t xml:space="preserve">Apstiprinātā darba uzdevuma izpilde un izsaukumi (Ģimenes konflikts atrisināts uz vietas). </t>
    </r>
    <r>
      <rPr>
        <b/>
        <sz val="8"/>
        <color theme="1"/>
        <rFont val="Times New Roman"/>
        <family val="1"/>
        <charset val="186"/>
      </rPr>
      <t>18.01.2022.</t>
    </r>
    <r>
      <rPr>
        <sz val="8"/>
        <color theme="1"/>
        <rFont val="Times New Roman"/>
        <family val="1"/>
        <charset val="186"/>
      </rPr>
      <t xml:space="preserve">Apstiprinātā darba uzdevuma izpilde un izsaukumi.  </t>
    </r>
    <r>
      <rPr>
        <b/>
        <sz val="8"/>
        <color theme="1"/>
        <rFont val="Times New Roman"/>
        <family val="1"/>
        <charset val="186"/>
      </rPr>
      <t>22.01.2022.</t>
    </r>
    <r>
      <rPr>
        <sz val="8"/>
        <color theme="1"/>
        <rFont val="Times New Roman"/>
        <family val="1"/>
        <charset val="186"/>
      </rPr>
      <t xml:space="preserve">Apstiprinātā darba uzdevuma izpilde un izsaukumi (profilakltiskais darbs ar 1 personu). </t>
    </r>
    <r>
      <rPr>
        <b/>
        <sz val="8"/>
        <color theme="1"/>
        <rFont val="Times New Roman"/>
        <family val="1"/>
        <charset val="186"/>
      </rPr>
      <t>26.01.2022.</t>
    </r>
    <r>
      <rPr>
        <sz val="8"/>
        <color theme="1"/>
        <rFont val="Times New Roman"/>
        <family val="1"/>
        <charset val="186"/>
      </rPr>
      <t xml:space="preserve"> Apstiprinātā darba uzdevuma izpilde un izsaukumi(1 persona nogādāta nakts patversmē Gaiziņš).</t>
    </r>
  </si>
  <si>
    <r>
      <t xml:space="preserve"> </t>
    </r>
    <r>
      <rPr>
        <b/>
        <sz val="8"/>
        <color theme="1"/>
        <rFont val="Times New Roman"/>
        <family val="1"/>
        <charset val="186"/>
      </rPr>
      <t>15.01.2022</t>
    </r>
    <r>
      <rPr>
        <sz val="8"/>
        <color theme="1"/>
        <rFont val="Times New Roman"/>
        <family val="1"/>
        <charset val="186"/>
      </rPr>
      <t xml:space="preserve">.Epidemioloģisko drošību prasību kontrole Tirdzniecības vietās, pārbaudītas 5 tirdzniecības vietas, pārkāpumi netika konstatēti. Apstiprinātā darba uzdevuma izpilde un izsaukumi. </t>
    </r>
    <r>
      <rPr>
        <b/>
        <sz val="8"/>
        <color theme="1"/>
        <rFont val="Times New Roman"/>
        <family val="1"/>
        <charset val="186"/>
      </rPr>
      <t xml:space="preserve">19.01.2022. </t>
    </r>
    <r>
      <rPr>
        <sz val="8"/>
        <color theme="1"/>
        <rFont val="Times New Roman"/>
        <family val="1"/>
        <charset val="186"/>
      </rPr>
      <t xml:space="preserve">Epidemioloģisko drošību prasību kontrole Tirdzniecības vietās, pārbaudītas 6 tirdzniecības vietas, pārkāpumi netika konstatēti. Apstiprinātā darba uzdevuma izpilde un izsaukumi. </t>
    </r>
    <r>
      <rPr>
        <b/>
        <sz val="8"/>
        <color theme="1"/>
        <rFont val="Times New Roman"/>
        <family val="1"/>
        <charset val="186"/>
      </rPr>
      <t xml:space="preserve">23.01.2022. </t>
    </r>
    <r>
      <rPr>
        <sz val="8"/>
        <color theme="1"/>
        <rFont val="Times New Roman"/>
        <family val="1"/>
        <charset val="186"/>
      </rPr>
      <t xml:space="preserve">Epidemioloģisko drošību prasību kontrole Tirdzniecības vietās, pārbaudītas 5 tirdzniecības vietas, pārkāpumi netika konstatēti. Apstiprinātā darba uzdevuma izpilde un izsaukumi. </t>
    </r>
    <r>
      <rPr>
        <b/>
        <sz val="8"/>
        <color theme="1"/>
        <rFont val="Times New Roman"/>
        <family val="1"/>
        <charset val="186"/>
      </rPr>
      <t>27.01.2022.</t>
    </r>
    <r>
      <rPr>
        <sz val="8"/>
        <color theme="1"/>
        <rFont val="Times New Roman"/>
        <family val="1"/>
        <charset val="186"/>
      </rPr>
      <t xml:space="preserve"> Epidemioloģisko drošību prasību kontrole Tirdzniecības vietās, pārbaudītas 6 tirdzniecības vietas, pārkāpumi netika konstatēti. </t>
    </r>
    <r>
      <rPr>
        <b/>
        <sz val="8"/>
        <color theme="1"/>
        <rFont val="Times New Roman"/>
        <family val="1"/>
        <charset val="186"/>
      </rPr>
      <t>31.01.2022.</t>
    </r>
    <r>
      <rPr>
        <sz val="8"/>
        <color theme="1"/>
        <rFont val="Times New Roman"/>
        <family val="1"/>
        <charset val="186"/>
      </rPr>
      <t xml:space="preserve"> Epidemioloģisko drošību prasību kontrole Tirdzniecības vietās, pārbaudītas 5 tirdzniecības vietas, pārkāpumi netika konstatēti. Apstiprinātā darba uzdevuma izpilde un izsaukumi.</t>
    </r>
  </si>
  <si>
    <r>
      <rPr>
        <b/>
        <sz val="8"/>
        <color theme="1"/>
        <rFont val="Times New Roman"/>
        <family val="1"/>
        <charset val="186"/>
      </rPr>
      <t xml:space="preserve">3.01.2022. </t>
    </r>
    <r>
      <rPr>
        <sz val="8"/>
        <color theme="1"/>
        <rFont val="Times New Roman"/>
        <family val="1"/>
        <charset val="186"/>
      </rPr>
      <t xml:space="preserve">Apstiprinātā darba uzdevuma izpilde un izsaukumi.(par naktsmiera traucēšanu adresē... veikta iedzīvotāju aptauja un pieņemti 3 paskaidrojumi). </t>
    </r>
    <r>
      <rPr>
        <b/>
        <sz val="8"/>
        <color theme="1"/>
        <rFont val="Times New Roman"/>
        <family val="1"/>
        <charset val="186"/>
      </rPr>
      <t>7.01.2022.</t>
    </r>
    <r>
      <rPr>
        <sz val="8"/>
        <color theme="1"/>
        <rFont val="Times New Roman"/>
        <family val="1"/>
        <charset val="186"/>
      </rPr>
      <t>Epidemioloģisko drošību prasību kontrole Tirdzniecības vietās, pārbaudītas 3 tirdzniecības vietas, pārkāpumi netika konstatēti.</t>
    </r>
    <r>
      <rPr>
        <b/>
        <sz val="8"/>
        <color theme="1"/>
        <rFont val="Times New Roman"/>
        <family val="1"/>
        <charset val="186"/>
      </rPr>
      <t xml:space="preserve">  11.01.2022.</t>
    </r>
    <r>
      <rPr>
        <sz val="8"/>
        <color theme="1"/>
        <rFont val="Times New Roman"/>
        <family val="1"/>
        <charset val="186"/>
      </rPr>
      <t>Epidemioloģisko drošību prasību kontrole Tirdzniecības vietās, pārbaudītas 5 tirdzniecības vietas, pārkāpumi netika konstatēti. Apstiprinātā darba uzdevuma izpilde un izsaukumi.</t>
    </r>
    <r>
      <rPr>
        <b/>
        <sz val="8"/>
        <color theme="1"/>
        <rFont val="Times New Roman"/>
        <family val="1"/>
        <charset val="186"/>
      </rPr>
      <t xml:space="preserve"> 15.01.2022.</t>
    </r>
    <r>
      <rPr>
        <sz val="8"/>
        <color theme="1"/>
        <rFont val="Times New Roman"/>
        <family val="1"/>
        <charset val="186"/>
      </rPr>
      <t xml:space="preserve">Epidemioloģisko drošību prasību kontrole Tirdzniecības vietās, pārbaudītas 5 tirdzniecības vietas, pārkāpumi netika konstatēti. Apstiprinātā darba uzdevuma izpilde un izsaukumi. 19.01.2022. Epidemioloģisko drošību prasību kontrole Tirdzniecības vietās, pārbaudītas 6 tirdzniecības vietas, pārkāpumi netika konstatēti. Apstiprinātā darba uzdevuma izpilde un izsaukumi..  </t>
    </r>
    <r>
      <rPr>
        <b/>
        <sz val="8"/>
        <color theme="1"/>
        <rFont val="Times New Roman"/>
        <family val="1"/>
        <charset val="186"/>
      </rPr>
      <t>23.01.2022.</t>
    </r>
    <r>
      <rPr>
        <sz val="8"/>
        <color theme="1"/>
        <rFont val="Times New Roman"/>
        <family val="1"/>
        <charset val="186"/>
      </rPr>
      <t xml:space="preserve"> Epidemioloģisko drošību prasību kontrole Tirdzniecības vietās, pārbaudītas 5 tirdzniecības vietas, pārkāpumi netika konstatēti. Apstiprinātā darba uzdevuma izpilde un izsaukumi. </t>
    </r>
    <r>
      <rPr>
        <b/>
        <sz val="8"/>
        <color theme="1"/>
        <rFont val="Times New Roman"/>
        <family val="1"/>
        <charset val="186"/>
      </rPr>
      <t>27.01.2022.</t>
    </r>
    <r>
      <rPr>
        <sz val="8"/>
        <color theme="1"/>
        <rFont val="Times New Roman"/>
        <family val="1"/>
        <charset val="186"/>
      </rPr>
      <t xml:space="preserve"> Epidemioloģisko drošību prasību kontrole Tirdzniecības vietās, pārbaudītas 6 tirdzniecības vietas, pārkāpumi netika konstatēti. </t>
    </r>
    <r>
      <rPr>
        <b/>
        <sz val="8"/>
        <color theme="1"/>
        <rFont val="Times New Roman"/>
        <family val="1"/>
        <charset val="186"/>
      </rPr>
      <t>31.01.2022</t>
    </r>
    <r>
      <rPr>
        <sz val="8"/>
        <color theme="1"/>
        <rFont val="Times New Roman"/>
        <family val="1"/>
        <charset val="186"/>
      </rPr>
      <t>. Epidemioloģisko drošību prasību kontrole Tirdzniecības vietās, pārbaudītas 5 tirdzniecības vietas, pārkāpumi netika konstatēti. Apstiprinātā darba uzdevuma izpilde un izsaukumi.</t>
    </r>
  </si>
  <si>
    <r>
      <rPr>
        <b/>
        <sz val="8"/>
        <color theme="1"/>
        <rFont val="Times New Roman"/>
        <family val="1"/>
        <charset val="186"/>
      </rPr>
      <t xml:space="preserve">3.01.2022. </t>
    </r>
    <r>
      <rPr>
        <sz val="8"/>
        <color theme="1"/>
        <rFont val="Times New Roman"/>
        <family val="1"/>
        <charset val="186"/>
      </rPr>
      <t>Apstiprinātā darba uzdevuma izpilde un izsaukumi.(par naktsmiera traucēšanu adresē... veikta iedzīvotāju aptauja un pieņemti 3 paskaidrojumi)</t>
    </r>
    <r>
      <rPr>
        <b/>
        <sz val="8"/>
        <color theme="1"/>
        <rFont val="Times New Roman"/>
        <family val="1"/>
        <charset val="186"/>
      </rPr>
      <t>. 7.01.2022.</t>
    </r>
    <r>
      <rPr>
        <sz val="8"/>
        <color theme="1"/>
        <rFont val="Times New Roman"/>
        <family val="1"/>
        <charset val="186"/>
      </rPr>
      <t>Epidemioloģisko drošību prasību kontrole Tirdzniecības vietās, pārbaudītas 3 tirdzniecības vietas, pārkāpumi netika konstatēti.</t>
    </r>
    <r>
      <rPr>
        <b/>
        <sz val="8"/>
        <color theme="1"/>
        <rFont val="Times New Roman"/>
        <family val="1"/>
        <charset val="186"/>
      </rPr>
      <t xml:space="preserve"> 11.01.2022.</t>
    </r>
    <r>
      <rPr>
        <sz val="8"/>
        <color theme="1"/>
        <rFont val="Times New Roman"/>
        <family val="1"/>
        <charset val="186"/>
      </rPr>
      <t>Epidemioloģisko drošību prasību kontrole Tirdzniecības vietās, pārbaudītas 5 tirdzniecības vietas, pārkāpumi netika konstatēti. Apstiprinātā darba uzdevuma izpilde un izsaukumi.</t>
    </r>
    <r>
      <rPr>
        <b/>
        <sz val="8"/>
        <color theme="1"/>
        <rFont val="Times New Roman"/>
        <family val="1"/>
        <charset val="186"/>
      </rPr>
      <t xml:space="preserve"> 15.01.2022.</t>
    </r>
    <r>
      <rPr>
        <sz val="8"/>
        <color theme="1"/>
        <rFont val="Times New Roman"/>
        <family val="1"/>
        <charset val="186"/>
      </rPr>
      <t xml:space="preserve">Epidemioloģisko drošību prasību kontrole Tirdzniecības vietās, pārbaudītas 5 tirdzniecības vietas, pārkāpumi netika konstatēti. Apstiprinātā darba uzdevuma izpilde un izsaukumi. </t>
    </r>
    <r>
      <rPr>
        <b/>
        <sz val="8"/>
        <color theme="1"/>
        <rFont val="Times New Roman"/>
        <family val="1"/>
        <charset val="186"/>
      </rPr>
      <t>19.01.2022.</t>
    </r>
    <r>
      <rPr>
        <sz val="8"/>
        <color theme="1"/>
        <rFont val="Times New Roman"/>
        <family val="1"/>
        <charset val="186"/>
      </rPr>
      <t xml:space="preserve"> Epidemioloģisko drošību prasību kontrole Tirdzniecības vietās, pārbaudītas 6 tirdzniecības vietas, pārkāpumi netika konstatēti. Apstiprinātā darba uzdevuma izpilde un izsaukumi.  </t>
    </r>
    <r>
      <rPr>
        <b/>
        <sz val="8"/>
        <color theme="1"/>
        <rFont val="Times New Roman"/>
        <family val="1"/>
        <charset val="186"/>
      </rPr>
      <t>23.01.2022.</t>
    </r>
    <r>
      <rPr>
        <sz val="8"/>
        <color theme="1"/>
        <rFont val="Times New Roman"/>
        <family val="1"/>
        <charset val="186"/>
      </rPr>
      <t xml:space="preserve"> Epidemioloģisko drošību prasību kontrole Tirdzniecības vietās, pārbaudītas 5 tirdzniecības vietas, pārkāpumi netika konstatēti. Apstiprinātā darba uzdevuma izpilde un izsaukumi. </t>
    </r>
    <r>
      <rPr>
        <b/>
        <sz val="8"/>
        <color theme="1"/>
        <rFont val="Times New Roman"/>
        <family val="1"/>
        <charset val="186"/>
      </rPr>
      <t>27.01.2022.</t>
    </r>
    <r>
      <rPr>
        <sz val="8"/>
        <color theme="1"/>
        <rFont val="Times New Roman"/>
        <family val="1"/>
        <charset val="186"/>
      </rPr>
      <t xml:space="preserve"> Epidemioloģisko drošību prasību kontrole Tirdzniecības vietās, pārbaudītas 6 tirdzniecības vietas, pārkāpumi netika konstatēti. </t>
    </r>
    <r>
      <rPr>
        <b/>
        <sz val="8"/>
        <color theme="1"/>
        <rFont val="Times New Roman"/>
        <family val="1"/>
        <charset val="186"/>
      </rPr>
      <t>31.01.2022.</t>
    </r>
    <r>
      <rPr>
        <sz val="8"/>
        <color theme="1"/>
        <rFont val="Times New Roman"/>
        <family val="1"/>
        <charset val="186"/>
      </rPr>
      <t xml:space="preserve"> Epidemioloģisko drošību prasību kontrole Tirdzniecības vietās, pārbaudītas 5 tirdzniecības vietas, pārkāpumi netika konstatēti. Apstiprinātā darba uzdevuma izpilde un izsaukumi.</t>
    </r>
  </si>
  <si>
    <r>
      <rPr>
        <b/>
        <sz val="8"/>
        <color theme="1"/>
        <rFont val="Times New Roman"/>
        <family val="1"/>
        <charset val="186"/>
      </rPr>
      <t>4.01.2022.</t>
    </r>
    <r>
      <rPr>
        <sz val="8"/>
        <color theme="1"/>
        <rFont val="Times New Roman"/>
        <family val="1"/>
        <charset val="186"/>
      </rPr>
      <t xml:space="preserve">Epidemioloģisko drošību prasību kontrole Tirdzniecības vietās, pārbaudītas 4 tirdzniecības vietas, pārkāpumi netika konstatēti. </t>
    </r>
    <r>
      <rPr>
        <b/>
        <sz val="8"/>
        <color theme="1"/>
        <rFont val="Times New Roman"/>
        <family val="1"/>
        <charset val="186"/>
      </rPr>
      <t xml:space="preserve">8.01.2022. </t>
    </r>
    <r>
      <rPr>
        <sz val="8"/>
        <color theme="1"/>
        <rFont val="Times New Roman"/>
        <family val="1"/>
        <charset val="186"/>
      </rPr>
      <t xml:space="preserve">Epidemioloģisko drošību prasību kontrole Tirdzniecības vietās, pārbaudītas 4 tirdzniecības vietas, pārkāpumi netika konstatēti.Apstiprinātā darba uzdevuma izpilde un izsaukumi. </t>
    </r>
    <r>
      <rPr>
        <b/>
        <sz val="8"/>
        <color theme="1"/>
        <rFont val="Times New Roman"/>
        <family val="1"/>
        <charset val="186"/>
      </rPr>
      <t xml:space="preserve">12.01.2022. </t>
    </r>
    <r>
      <rPr>
        <sz val="8"/>
        <color theme="1"/>
        <rFont val="Times New Roman"/>
        <family val="1"/>
        <charset val="186"/>
      </rPr>
      <t xml:space="preserve">Epidemioloģisko drošību prasību kontrole Tirdzniecības vietās, pārbaudītas 7 tirdzniecības vietas, pārkāpumi netika konstatēti.Apstiprinātā darba uzdevuma izpilde un izsaukumi. </t>
    </r>
    <r>
      <rPr>
        <b/>
        <sz val="8"/>
        <color theme="1"/>
        <rFont val="Times New Roman"/>
        <family val="1"/>
        <charset val="186"/>
      </rPr>
      <t>16.01.2022.</t>
    </r>
    <r>
      <rPr>
        <sz val="8"/>
        <color theme="1"/>
        <rFont val="Times New Roman"/>
        <family val="1"/>
        <charset val="186"/>
      </rPr>
      <t xml:space="preserve"> Epidemioloģisko drošību prasību kontrole Tirdzniecības vietās, pārbaudītas 5 tirdzniecības vietas, pārkāpumi netika konstatēti. </t>
    </r>
    <r>
      <rPr>
        <b/>
        <sz val="8"/>
        <color theme="1"/>
        <rFont val="Times New Roman"/>
        <family val="1"/>
        <charset val="186"/>
      </rPr>
      <t xml:space="preserve">20.01.2022. </t>
    </r>
    <r>
      <rPr>
        <sz val="8"/>
        <color theme="1"/>
        <rFont val="Times New Roman"/>
        <family val="1"/>
        <charset val="186"/>
      </rPr>
      <t xml:space="preserve">Epidemioloģisko drošību prasību kontrole Tirdzniecības vietās, pārbaudītas 5 tirdzniecības vietas, pārkāpumi netika konstatēti. </t>
    </r>
    <r>
      <rPr>
        <b/>
        <sz val="8"/>
        <color theme="1"/>
        <rFont val="Times New Roman"/>
        <family val="1"/>
        <charset val="186"/>
      </rPr>
      <t>24.01.2022.</t>
    </r>
    <r>
      <rPr>
        <sz val="8"/>
        <color theme="1"/>
        <rFont val="Times New Roman"/>
        <family val="1"/>
        <charset val="186"/>
      </rPr>
      <t xml:space="preserve"> Epidemioloģisko drošību prasību kontrole Tirdzniecības vietās, pārbaudītas 6 tirdzniecības vietas un 2 skolas pārkāpumi netika konstatēti. </t>
    </r>
    <r>
      <rPr>
        <b/>
        <sz val="8"/>
        <color theme="1"/>
        <rFont val="Times New Roman"/>
        <family val="1"/>
        <charset val="186"/>
      </rPr>
      <t>28.01.2022.</t>
    </r>
    <r>
      <rPr>
        <sz val="8"/>
        <color theme="1"/>
        <rFont val="Times New Roman"/>
        <family val="1"/>
        <charset val="186"/>
      </rPr>
      <t xml:space="preserve"> Epidemioloģisko drošību prasību kontrole Tirdzniecības vietās, pārbaudītas 5 tirdzniecības vietas, pārkāpumi netika konstatēti. </t>
    </r>
  </si>
  <si>
    <r>
      <rPr>
        <b/>
        <sz val="8"/>
        <color theme="1"/>
        <rFont val="Times New Roman"/>
        <family val="1"/>
        <charset val="186"/>
      </rPr>
      <t>4.01.2022.</t>
    </r>
    <r>
      <rPr>
        <sz val="8"/>
        <color theme="1"/>
        <rFont val="Times New Roman"/>
        <family val="1"/>
        <charset val="186"/>
      </rPr>
      <t xml:space="preserve">Epidemioloģisko drošību prasību kontrole Tirdzniecības vietās, pārbaudītas 4 tirdzniecības vietas, pārkāpumi netika konstatēti. </t>
    </r>
    <r>
      <rPr>
        <b/>
        <sz val="8"/>
        <color theme="1"/>
        <rFont val="Times New Roman"/>
        <family val="1"/>
        <charset val="186"/>
      </rPr>
      <t>8.01.2022.</t>
    </r>
    <r>
      <rPr>
        <sz val="8"/>
        <color theme="1"/>
        <rFont val="Times New Roman"/>
        <family val="1"/>
        <charset val="186"/>
      </rPr>
      <t xml:space="preserve"> Epidemioloģisko drošību prasību kontrole Tirdzniecības vietās, pārbaudītas 4 tirdzniecības vietas, pārkāpumi netika konstatēti.Apstiprinātā darba uzdevuma izpilde un izsaukumi.</t>
    </r>
    <r>
      <rPr>
        <b/>
        <sz val="8"/>
        <color theme="1"/>
        <rFont val="Times New Roman"/>
        <family val="1"/>
        <charset val="186"/>
      </rPr>
      <t>12.01.2022.</t>
    </r>
    <r>
      <rPr>
        <sz val="8"/>
        <color theme="1"/>
        <rFont val="Times New Roman"/>
        <family val="1"/>
        <charset val="186"/>
      </rPr>
      <t xml:space="preserve"> Epidemioloģisko drošību prasību kontrole Tirdzniecības vietās, pārbaudītas 7 tirdzniecības vietas, pārkāpumi netika konstatēti.Apstiprinātā darba uzdevuma izpilde un izsaukumi. </t>
    </r>
    <r>
      <rPr>
        <b/>
        <sz val="8"/>
        <color theme="1"/>
        <rFont val="Times New Roman"/>
        <family val="1"/>
        <charset val="186"/>
      </rPr>
      <t xml:space="preserve">16.01.2022. </t>
    </r>
    <r>
      <rPr>
        <sz val="8"/>
        <color theme="1"/>
        <rFont val="Times New Roman"/>
        <family val="1"/>
        <charset val="186"/>
      </rPr>
      <t xml:space="preserve">Epidemioloģisko drošību prasību kontrole Tirdzniecības vietās, pārbaudītas 5 tirdzniecības vietas, pārkāpumi netika konstatēti. </t>
    </r>
    <r>
      <rPr>
        <b/>
        <sz val="8"/>
        <color theme="1"/>
        <rFont val="Times New Roman"/>
        <family val="1"/>
        <charset val="186"/>
      </rPr>
      <t>20.01.2022.</t>
    </r>
    <r>
      <rPr>
        <sz val="8"/>
        <color theme="1"/>
        <rFont val="Times New Roman"/>
        <family val="1"/>
        <charset val="186"/>
      </rPr>
      <t xml:space="preserve"> Epidemioloģisko drošību prasību kontrole Tirdzniecības vietās, pārbaudītas 5 tirdzniecības vietas, pārkāpumi netika konstatēti. </t>
    </r>
    <r>
      <rPr>
        <b/>
        <sz val="8"/>
        <color theme="1"/>
        <rFont val="Times New Roman"/>
        <family val="1"/>
        <charset val="186"/>
      </rPr>
      <t>24.01.2022.</t>
    </r>
    <r>
      <rPr>
        <sz val="8"/>
        <color theme="1"/>
        <rFont val="Times New Roman"/>
        <family val="1"/>
        <charset val="186"/>
      </rPr>
      <t xml:space="preserve"> Epidemioloģisko drošību prasību kontrole Tirdzniecības vietās, pārbaudītas 6 tirdzniecības vietas un 2 skolas pārkāpumi netika konstatēti. </t>
    </r>
    <r>
      <rPr>
        <b/>
        <sz val="8"/>
        <color theme="1"/>
        <rFont val="Times New Roman"/>
        <family val="1"/>
        <charset val="186"/>
      </rPr>
      <t>28.01.2022</t>
    </r>
    <r>
      <rPr>
        <sz val="8"/>
        <color theme="1"/>
        <rFont val="Times New Roman"/>
        <family val="1"/>
        <charset val="186"/>
      </rPr>
      <t xml:space="preserve">. Epidemioloģisko drošību prasību kontrole Tirdzniecības vietās, pārbaudītas 5 tirdzniecības vietas, pārkāpumi netika konstatēti. </t>
    </r>
  </si>
  <si>
    <r>
      <rPr>
        <b/>
        <sz val="8"/>
        <color theme="1"/>
        <rFont val="Times New Roman"/>
        <family val="1"/>
        <charset val="186"/>
      </rPr>
      <t>4.01.2022.</t>
    </r>
    <r>
      <rPr>
        <sz val="8"/>
        <color theme="1"/>
        <rFont val="Times New Roman"/>
        <family val="1"/>
        <charset val="186"/>
      </rPr>
      <t xml:space="preserve">Epidemioloģisko drošību prasību kontrole Tirdzniecības vietās, pārbaudītas 4 tirdzniecības vietas, pārkāpumi netika konstatēti. </t>
    </r>
    <r>
      <rPr>
        <b/>
        <sz val="8"/>
        <color theme="1"/>
        <rFont val="Times New Roman"/>
        <family val="1"/>
        <charset val="186"/>
      </rPr>
      <t>8.01.2022.</t>
    </r>
    <r>
      <rPr>
        <sz val="8"/>
        <color theme="1"/>
        <rFont val="Times New Roman"/>
        <family val="1"/>
        <charset val="186"/>
      </rPr>
      <t xml:space="preserve"> Epidemioloģisko drošību prasību kontrole Tirdzniecības vietās, pārbaudītas 4 tirdzniecības vietas, pārkāpumi netika konstatēti.Apstiprinātā darba uzdevuma izpilde un izsaukumi. </t>
    </r>
    <r>
      <rPr>
        <b/>
        <sz val="8"/>
        <color theme="1"/>
        <rFont val="Times New Roman"/>
        <family val="1"/>
        <charset val="186"/>
      </rPr>
      <t>12.01.2022.</t>
    </r>
    <r>
      <rPr>
        <sz val="8"/>
        <color theme="1"/>
        <rFont val="Times New Roman"/>
        <family val="1"/>
        <charset val="186"/>
      </rPr>
      <t xml:space="preserve"> Epidemioloģisko drošību prasību kontrole Tirdzniecības vietās, pārbaudītas 7 tirdzniecības vietas, pārkāpumi netika konstatēti.Apstiprinātā darba uzdevuma izpilde un izsaukum .</t>
    </r>
    <r>
      <rPr>
        <b/>
        <sz val="8"/>
        <color theme="1"/>
        <rFont val="Times New Roman"/>
        <family val="1"/>
        <charset val="186"/>
      </rPr>
      <t xml:space="preserve"> 16.01.2022.</t>
    </r>
    <r>
      <rPr>
        <sz val="8"/>
        <color theme="1"/>
        <rFont val="Times New Roman"/>
        <family val="1"/>
        <charset val="186"/>
      </rPr>
      <t xml:space="preserve"> Epidemioloģisko drošību prasību kontrole Tirdzniecības vietās, pārbaudītas 5 tirdzniecības vietas, pārkāpumi netika konstatēti. </t>
    </r>
    <r>
      <rPr>
        <b/>
        <sz val="8"/>
        <color theme="1"/>
        <rFont val="Times New Roman"/>
        <family val="1"/>
        <charset val="186"/>
      </rPr>
      <t>20.01.2022.</t>
    </r>
    <r>
      <rPr>
        <sz val="8"/>
        <color theme="1"/>
        <rFont val="Times New Roman"/>
        <family val="1"/>
        <charset val="186"/>
      </rPr>
      <t xml:space="preserve"> Epidemioloģisko drošību prasību kontrole Tirdzniecības vietās, pārbaudītas 5 tirdzniecības vietas, pārkāpumi netika konstatēti. </t>
    </r>
    <r>
      <rPr>
        <b/>
        <sz val="8"/>
        <color theme="1"/>
        <rFont val="Times New Roman"/>
        <family val="1"/>
        <charset val="186"/>
      </rPr>
      <t xml:space="preserve">24.01.2022. </t>
    </r>
    <r>
      <rPr>
        <sz val="8"/>
        <color theme="1"/>
        <rFont val="Times New Roman"/>
        <family val="1"/>
        <charset val="186"/>
      </rPr>
      <t>Epidemioloģisko drošību prasību kontrole Tirdzniecības vietās, pārbaudītas 6 tirdzniecības vietas un 2 skolas pārkāpumi netika konstatēti.</t>
    </r>
  </si>
  <si>
    <t xml:space="preserve">Reģionālā pašvaldības policija* </t>
  </si>
  <si>
    <t>*Iecavas nodaļa ir pie Reģionālās pašvaldības policijas atbilstoši Pārvaldes uzdevumu deleģēšanas līgumam, kas noslēgts 2019. gada 26. jūnijā starp Iecavas novada pašvaldību un Ķekavas novada pašvaldību.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</si>
</sst>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
    <numFmt numFmtId="165" formatCode="0.0000"/>
  </numFmts>
  <fonts count="24" x14ac:knownFonts="1">
    <font>
      <sz val="11"/>
      <color theme="1"/>
      <name val="Calibri"/>
      <family val="2"/>
      <charset val="186"/>
      <scheme val="minor"/>
    </font>
    <font>
      <sz val="10"/>
      <name val="Arial"/>
      <family val="2"/>
      <charset val="186"/>
    </font>
    <font>
      <sz val="11"/>
      <name val="Times New Roman"/>
      <family val="1"/>
      <charset val="186"/>
    </font>
    <font>
      <sz val="11"/>
      <color theme="1"/>
      <name val="Calibri"/>
      <family val="2"/>
      <charset val="186"/>
      <scheme val="minor"/>
    </font>
    <font>
      <b/>
      <sz val="11"/>
      <name val="Times New Roman"/>
      <family val="1"/>
      <charset val="186"/>
    </font>
    <font>
      <sz val="11"/>
      <color theme="1"/>
      <name val="Calibri"/>
      <family val="2"/>
      <scheme val="minor"/>
    </font>
    <font>
      <sz val="9"/>
      <name val="Times New Roman"/>
      <family val="1"/>
      <charset val="186"/>
    </font>
    <font>
      <b/>
      <sz val="9"/>
      <name val="Times New Roman"/>
      <family val="1"/>
      <charset val="186"/>
    </font>
    <font>
      <sz val="11"/>
      <color theme="1"/>
      <name val="Times New Roman"/>
      <family val="1"/>
      <charset val="186"/>
    </font>
    <font>
      <sz val="9"/>
      <color theme="1"/>
      <name val="Times New Roman"/>
      <family val="1"/>
      <charset val="186"/>
    </font>
    <font>
      <sz val="11"/>
      <color rgb="FF000000"/>
      <name val="Times New Roman"/>
      <family val="1"/>
      <charset val="186"/>
    </font>
    <font>
      <b/>
      <sz val="11"/>
      <color theme="1"/>
      <name val="Times New Roman"/>
      <family val="1"/>
      <charset val="186"/>
    </font>
    <font>
      <sz val="9"/>
      <color rgb="FF000000"/>
      <name val="Times New Roman"/>
      <family val="1"/>
      <charset val="186"/>
    </font>
    <font>
      <sz val="12"/>
      <color theme="1"/>
      <name val="Times New Roman"/>
      <family val="1"/>
      <charset val="186"/>
    </font>
    <font>
      <sz val="12"/>
      <color rgb="FF000000"/>
      <name val="Times New Roman"/>
      <family val="1"/>
      <charset val="186"/>
    </font>
    <font>
      <sz val="8"/>
      <color theme="1"/>
      <name val="Times New Roman"/>
      <family val="1"/>
      <charset val="186"/>
    </font>
    <font>
      <b/>
      <sz val="9"/>
      <color theme="1"/>
      <name val="Times New Roman"/>
      <family val="1"/>
      <charset val="186"/>
    </font>
    <font>
      <b/>
      <sz val="14"/>
      <color theme="1"/>
      <name val="Times New Roman"/>
      <family val="1"/>
      <charset val="186"/>
    </font>
    <font>
      <b/>
      <i/>
      <sz val="14"/>
      <color theme="1"/>
      <name val="Times New Roman"/>
      <family val="1"/>
      <charset val="186"/>
    </font>
    <font>
      <sz val="12"/>
      <name val="Times New Roman"/>
      <family val="1"/>
      <charset val="186"/>
    </font>
    <font>
      <sz val="9"/>
      <color rgb="FF414142"/>
      <name val="Times New Roman"/>
      <family val="1"/>
      <charset val="186"/>
    </font>
    <font>
      <sz val="10"/>
      <color theme="1"/>
      <name val="Times New Roman"/>
      <family val="1"/>
      <charset val="186"/>
    </font>
    <font>
      <sz val="10"/>
      <name val="Times New Roman"/>
      <family val="1"/>
      <charset val="186"/>
    </font>
    <font>
      <b/>
      <sz val="8"/>
      <color theme="1"/>
      <name val="Times New Roman"/>
      <family val="1"/>
      <charset val="186"/>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39997558519241921"/>
        <bgColor indexed="64"/>
      </patternFill>
    </fill>
    <fill>
      <patternFill patternType="solid">
        <fgColor rgb="FFFFD966"/>
        <bgColor indexed="64"/>
      </patternFill>
    </fill>
    <fill>
      <patternFill patternType="solid">
        <fgColor rgb="FFFFFFFF"/>
      </patternFill>
    </fill>
    <fill>
      <patternFill patternType="solid">
        <fgColor rgb="FFFFFFFF"/>
        <bgColor rgb="FFFFFFCC"/>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bottom style="thin">
        <color indexed="64"/>
      </bottom>
      <diagonal/>
    </border>
    <border>
      <left style="thin">
        <color indexed="64"/>
      </left>
      <right/>
      <top/>
      <bottom style="thin">
        <color indexed="64"/>
      </bottom>
      <diagonal/>
    </border>
  </borders>
  <cellStyleXfs count="6">
    <xf numFmtId="0" fontId="0" fillId="0" borderId="0"/>
    <xf numFmtId="0" fontId="1" fillId="0" borderId="0"/>
    <xf numFmtId="9" fontId="3" fillId="0" borderId="0" applyFont="0" applyFill="0" applyBorder="0" applyAlignment="0" applyProtection="0"/>
    <xf numFmtId="0" fontId="5" fillId="0" borderId="0"/>
    <xf numFmtId="0" fontId="3" fillId="0" borderId="0"/>
    <xf numFmtId="0" fontId="3" fillId="0" borderId="0"/>
  </cellStyleXfs>
  <cellXfs count="213">
    <xf numFmtId="0" fontId="0" fillId="0" borderId="0" xfId="0"/>
    <xf numFmtId="2" fontId="2" fillId="4" borderId="0" xfId="1" applyNumberFormat="1" applyFont="1" applyFill="1" applyAlignment="1">
      <alignment horizontal="right" vertical="top"/>
    </xf>
    <xf numFmtId="2" fontId="2" fillId="0" borderId="0" xfId="0" applyNumberFormat="1" applyFont="1" applyAlignment="1">
      <alignment horizontal="center" vertical="top"/>
    </xf>
    <xf numFmtId="2" fontId="4" fillId="5" borderId="1" xfId="0" applyNumberFormat="1" applyFont="1" applyFill="1" applyBorder="1" applyAlignment="1">
      <alignment horizontal="center" vertical="top" wrapText="1"/>
    </xf>
    <xf numFmtId="2" fontId="2" fillId="0" borderId="1" xfId="2" applyNumberFormat="1" applyFont="1" applyBorder="1" applyAlignment="1">
      <alignment horizontal="center" vertical="top"/>
    </xf>
    <xf numFmtId="2" fontId="2" fillId="2" borderId="1" xfId="0" applyNumberFormat="1" applyFont="1" applyFill="1" applyBorder="1" applyAlignment="1">
      <alignment horizontal="center" vertical="top"/>
    </xf>
    <xf numFmtId="2" fontId="4" fillId="6" borderId="1" xfId="0" applyNumberFormat="1" applyFont="1" applyFill="1" applyBorder="1" applyAlignment="1">
      <alignment horizontal="center" vertical="top"/>
    </xf>
    <xf numFmtId="2" fontId="2" fillId="5" borderId="1" xfId="0" applyNumberFormat="1" applyFont="1" applyFill="1" applyBorder="1" applyAlignment="1">
      <alignment horizontal="center" vertical="top"/>
    </xf>
    <xf numFmtId="0" fontId="4" fillId="5" borderId="1" xfId="0" applyFont="1" applyFill="1" applyBorder="1" applyAlignment="1">
      <alignment vertical="top"/>
    </xf>
    <xf numFmtId="2" fontId="2" fillId="0" borderId="1" xfId="0" applyNumberFormat="1" applyFont="1" applyBorder="1" applyAlignment="1">
      <alignment horizontal="center" vertical="top"/>
    </xf>
    <xf numFmtId="2" fontId="2" fillId="6" borderId="1" xfId="0" applyNumberFormat="1" applyFont="1" applyFill="1" applyBorder="1" applyAlignment="1">
      <alignment horizontal="center" vertical="top" wrapText="1"/>
    </xf>
    <xf numFmtId="2" fontId="4" fillId="2" borderId="1" xfId="0" applyNumberFormat="1" applyFont="1" applyFill="1" applyBorder="1" applyAlignment="1">
      <alignment horizontal="center" vertical="top"/>
    </xf>
    <xf numFmtId="0" fontId="2" fillId="0" borderId="0" xfId="0" applyFont="1" applyAlignment="1">
      <alignment vertical="top"/>
    </xf>
    <xf numFmtId="0" fontId="2" fillId="0" borderId="0" xfId="0" applyFont="1" applyAlignment="1">
      <alignment horizontal="center" vertical="top"/>
    </xf>
    <xf numFmtId="1" fontId="2" fillId="0" borderId="0" xfId="0" applyNumberFormat="1" applyFont="1" applyAlignment="1">
      <alignment horizontal="center" vertical="top"/>
    </xf>
    <xf numFmtId="0" fontId="4" fillId="0" borderId="0" xfId="0" applyFont="1" applyAlignment="1">
      <alignment vertical="top"/>
    </xf>
    <xf numFmtId="2" fontId="4" fillId="3" borderId="1" xfId="0" applyNumberFormat="1" applyFont="1" applyFill="1" applyBorder="1" applyAlignment="1">
      <alignment horizontal="center" vertical="top"/>
    </xf>
    <xf numFmtId="1" fontId="2" fillId="2" borderId="1" xfId="0" applyNumberFormat="1" applyFont="1" applyFill="1" applyBorder="1" applyAlignment="1">
      <alignment horizontal="center" vertical="top"/>
    </xf>
    <xf numFmtId="0" fontId="2" fillId="0" borderId="1" xfId="0" applyFont="1" applyBorder="1" applyAlignment="1">
      <alignment horizontal="center" vertical="top"/>
    </xf>
    <xf numFmtId="0" fontId="4" fillId="6" borderId="1" xfId="0" applyFont="1" applyFill="1" applyBorder="1" applyAlignment="1">
      <alignment horizontal="center" vertical="top"/>
    </xf>
    <xf numFmtId="1" fontId="4" fillId="6" borderId="1" xfId="0" applyNumberFormat="1" applyFont="1" applyFill="1" applyBorder="1" applyAlignment="1">
      <alignment horizontal="center" vertical="top"/>
    </xf>
    <xf numFmtId="0" fontId="4" fillId="3" borderId="1" xfId="0" applyFont="1" applyFill="1" applyBorder="1" applyAlignment="1">
      <alignment horizontal="right" vertical="top"/>
    </xf>
    <xf numFmtId="0" fontId="4" fillId="3" borderId="1" xfId="0" applyFont="1" applyFill="1" applyBorder="1" applyAlignment="1">
      <alignment horizontal="center" vertical="top"/>
    </xf>
    <xf numFmtId="0" fontId="6" fillId="0" borderId="1" xfId="0" applyFont="1" applyBorder="1" applyAlignment="1">
      <alignment vertical="top" wrapText="1"/>
    </xf>
    <xf numFmtId="1" fontId="4" fillId="2" borderId="1" xfId="0" applyNumberFormat="1" applyFont="1" applyFill="1" applyBorder="1" applyAlignment="1">
      <alignment horizontal="center" vertical="top"/>
    </xf>
    <xf numFmtId="0" fontId="2" fillId="0" borderId="1" xfId="0" applyFont="1" applyBorder="1" applyAlignment="1">
      <alignment vertical="top" wrapText="1"/>
    </xf>
    <xf numFmtId="1" fontId="2" fillId="0" borderId="1" xfId="0" applyNumberFormat="1" applyFont="1" applyBorder="1" applyAlignment="1">
      <alignment horizontal="center" vertical="top"/>
    </xf>
    <xf numFmtId="2" fontId="4" fillId="3" borderId="1" xfId="0" applyNumberFormat="1" applyFont="1" applyFill="1" applyBorder="1" applyAlignment="1">
      <alignment horizontal="right" vertical="top"/>
    </xf>
    <xf numFmtId="1" fontId="4" fillId="3" borderId="1" xfId="0" applyNumberFormat="1" applyFont="1" applyFill="1" applyBorder="1" applyAlignment="1">
      <alignment horizontal="center" vertical="top"/>
    </xf>
    <xf numFmtId="2" fontId="4" fillId="0" borderId="1" xfId="0" applyNumberFormat="1" applyFont="1" applyBorder="1" applyAlignment="1">
      <alignment horizontal="right" vertical="top"/>
    </xf>
    <xf numFmtId="2" fontId="4" fillId="0" borderId="1" xfId="0" applyNumberFormat="1" applyFont="1" applyBorder="1" applyAlignment="1">
      <alignment horizontal="center" vertical="top"/>
    </xf>
    <xf numFmtId="0" fontId="2" fillId="0" borderId="1" xfId="0" applyFont="1" applyBorder="1" applyAlignment="1">
      <alignment horizontal="left" vertical="top" wrapText="1"/>
    </xf>
    <xf numFmtId="0" fontId="4" fillId="5" borderId="2" xfId="0" applyFont="1" applyFill="1" applyBorder="1" applyAlignment="1">
      <alignment vertical="top"/>
    </xf>
    <xf numFmtId="0" fontId="4" fillId="5" borderId="1" xfId="0" applyFont="1" applyFill="1" applyBorder="1" applyAlignment="1">
      <alignment horizontal="center" vertical="top"/>
    </xf>
    <xf numFmtId="2" fontId="4" fillId="5" borderId="1" xfId="0" applyNumberFormat="1" applyFont="1" applyFill="1" applyBorder="1" applyAlignment="1">
      <alignment horizontal="center" vertical="top"/>
    </xf>
    <xf numFmtId="1" fontId="4" fillId="5" borderId="1" xfId="0" applyNumberFormat="1" applyFont="1" applyFill="1" applyBorder="1" applyAlignment="1">
      <alignment horizontal="center" vertical="top"/>
    </xf>
    <xf numFmtId="0" fontId="2" fillId="5" borderId="1" xfId="0" applyFont="1" applyFill="1" applyBorder="1" applyAlignment="1">
      <alignment horizontal="center" vertical="top"/>
    </xf>
    <xf numFmtId="1" fontId="2" fillId="5" borderId="1" xfId="0" applyNumberFormat="1" applyFont="1" applyFill="1" applyBorder="1" applyAlignment="1">
      <alignment horizontal="center" vertical="top"/>
    </xf>
    <xf numFmtId="0" fontId="4" fillId="5" borderId="1" xfId="0" applyFont="1" applyFill="1" applyBorder="1" applyAlignment="1">
      <alignment horizontal="center" vertical="top" wrapText="1"/>
    </xf>
    <xf numFmtId="1" fontId="4" fillId="5" borderId="1" xfId="0" applyNumberFormat="1" applyFont="1" applyFill="1" applyBorder="1" applyAlignment="1">
      <alignment horizontal="center" vertical="top" wrapText="1"/>
    </xf>
    <xf numFmtId="4" fontId="4" fillId="3" borderId="1" xfId="4" applyNumberFormat="1" applyFont="1" applyFill="1" applyBorder="1" applyAlignment="1">
      <alignment horizontal="right" vertical="top" wrapText="1"/>
    </xf>
    <xf numFmtId="2" fontId="2" fillId="0" borderId="0" xfId="0" applyNumberFormat="1" applyFont="1" applyAlignment="1">
      <alignment horizontal="right" vertical="top"/>
    </xf>
    <xf numFmtId="4" fontId="4" fillId="3" borderId="1" xfId="4" applyNumberFormat="1" applyFont="1" applyFill="1" applyBorder="1" applyAlignment="1">
      <alignment horizontal="center" vertical="top" wrapText="1"/>
    </xf>
    <xf numFmtId="2" fontId="4" fillId="5" borderId="1" xfId="0" applyNumberFormat="1" applyFont="1" applyFill="1" applyBorder="1" applyAlignment="1">
      <alignment horizontal="right" vertical="top" wrapText="1"/>
    </xf>
    <xf numFmtId="0" fontId="4" fillId="5" borderId="1" xfId="0" applyFont="1" applyFill="1" applyBorder="1" applyAlignment="1">
      <alignment horizontal="right" vertical="top" wrapText="1"/>
    </xf>
    <xf numFmtId="0" fontId="4" fillId="0" borderId="1" xfId="0" applyFont="1" applyBorder="1" applyAlignment="1">
      <alignment horizontal="left" vertical="top" wrapText="1"/>
    </xf>
    <xf numFmtId="2" fontId="4" fillId="6" borderId="1" xfId="0" applyNumberFormat="1" applyFont="1" applyFill="1" applyBorder="1" applyAlignment="1">
      <alignment horizontal="right" vertical="top"/>
    </xf>
    <xf numFmtId="0" fontId="4" fillId="6" borderId="1" xfId="0" applyFont="1" applyFill="1" applyBorder="1" applyAlignment="1">
      <alignment horizontal="right" vertical="top"/>
    </xf>
    <xf numFmtId="2" fontId="2" fillId="5" borderId="1" xfId="0" applyNumberFormat="1" applyFont="1" applyFill="1" applyBorder="1" applyAlignment="1">
      <alignment horizontal="right" vertical="top"/>
    </xf>
    <xf numFmtId="0" fontId="2" fillId="5" borderId="1" xfId="0" applyFont="1" applyFill="1" applyBorder="1" applyAlignment="1">
      <alignment horizontal="right" vertical="top"/>
    </xf>
    <xf numFmtId="0" fontId="4" fillId="5" borderId="4" xfId="0" applyFont="1" applyFill="1" applyBorder="1" applyAlignment="1">
      <alignment horizontal="center" vertical="top"/>
    </xf>
    <xf numFmtId="0" fontId="4" fillId="5" borderId="3" xfId="0" applyFont="1" applyFill="1" applyBorder="1" applyAlignment="1">
      <alignment horizontal="center" vertical="top"/>
    </xf>
    <xf numFmtId="2" fontId="4" fillId="5" borderId="3" xfId="0" applyNumberFormat="1" applyFont="1" applyFill="1" applyBorder="1" applyAlignment="1">
      <alignment horizontal="center" vertical="top"/>
    </xf>
    <xf numFmtId="2" fontId="4" fillId="5" borderId="3" xfId="0" applyNumberFormat="1" applyFont="1" applyFill="1" applyBorder="1" applyAlignment="1">
      <alignment horizontal="right" vertical="top"/>
    </xf>
    <xf numFmtId="0" fontId="4" fillId="5" borderId="3" xfId="0" applyFont="1" applyFill="1" applyBorder="1" applyAlignment="1">
      <alignment horizontal="right" vertical="top"/>
    </xf>
    <xf numFmtId="0" fontId="4" fillId="0" borderId="3" xfId="0" applyFont="1" applyBorder="1" applyAlignment="1">
      <alignment horizontal="center" vertical="top"/>
    </xf>
    <xf numFmtId="2" fontId="4" fillId="0" borderId="3" xfId="0" applyNumberFormat="1" applyFont="1" applyBorder="1" applyAlignment="1">
      <alignment horizontal="center" vertical="top"/>
    </xf>
    <xf numFmtId="2" fontId="4" fillId="0" borderId="4" xfId="0" applyNumberFormat="1" applyFont="1" applyBorder="1" applyAlignment="1">
      <alignment horizontal="center" vertical="top"/>
    </xf>
    <xf numFmtId="2" fontId="4" fillId="5" borderId="1" xfId="0" applyNumberFormat="1" applyFont="1" applyFill="1" applyBorder="1" applyAlignment="1">
      <alignment horizontal="right" vertical="top"/>
    </xf>
    <xf numFmtId="0" fontId="4" fillId="5" borderId="1" xfId="0" applyFont="1" applyFill="1" applyBorder="1" applyAlignment="1">
      <alignment horizontal="right" vertical="top"/>
    </xf>
    <xf numFmtId="2" fontId="2" fillId="4" borderId="1" xfId="0" applyNumberFormat="1" applyFont="1" applyFill="1" applyBorder="1" applyAlignment="1">
      <alignment horizontal="right" vertical="top"/>
    </xf>
    <xf numFmtId="0" fontId="2" fillId="0" borderId="0" xfId="0" applyFont="1" applyAlignment="1">
      <alignment horizontal="right" vertical="top"/>
    </xf>
    <xf numFmtId="0" fontId="6" fillId="0" borderId="0" xfId="0" applyFont="1" applyAlignment="1">
      <alignment vertical="top" wrapText="1"/>
    </xf>
    <xf numFmtId="0" fontId="6" fillId="2" borderId="1" xfId="0" applyFont="1" applyFill="1" applyBorder="1" applyAlignment="1">
      <alignment vertical="top" wrapText="1"/>
    </xf>
    <xf numFmtId="0" fontId="6" fillId="4" borderId="1" xfId="0" applyFont="1" applyFill="1" applyBorder="1" applyAlignment="1">
      <alignment vertical="top" wrapText="1"/>
    </xf>
    <xf numFmtId="0" fontId="8" fillId="2" borderId="1" xfId="0" applyFont="1" applyFill="1" applyBorder="1" applyAlignment="1">
      <alignment horizontal="center" vertical="top"/>
    </xf>
    <xf numFmtId="2" fontId="8" fillId="2" borderId="1" xfId="0" applyNumberFormat="1" applyFont="1" applyFill="1" applyBorder="1" applyAlignment="1">
      <alignment horizontal="center" vertical="top"/>
    </xf>
    <xf numFmtId="0" fontId="9" fillId="2" borderId="1" xfId="0" applyFont="1" applyFill="1" applyBorder="1" applyAlignment="1">
      <alignment horizontal="left" vertical="top" wrapText="1"/>
    </xf>
    <xf numFmtId="0" fontId="9" fillId="0" borderId="0" xfId="0" applyFont="1" applyAlignment="1">
      <alignment vertical="top" wrapText="1"/>
    </xf>
    <xf numFmtId="0" fontId="9" fillId="0" borderId="1" xfId="0" applyFont="1" applyBorder="1" applyAlignment="1">
      <alignment vertical="top" wrapText="1"/>
    </xf>
    <xf numFmtId="0" fontId="4" fillId="5" borderId="1" xfId="0" applyFont="1" applyFill="1" applyBorder="1" applyAlignment="1">
      <alignment horizontal="left" vertical="top"/>
    </xf>
    <xf numFmtId="0" fontId="7" fillId="5" borderId="1" xfId="0" applyFont="1" applyFill="1" applyBorder="1" applyAlignment="1">
      <alignment vertical="top" wrapText="1"/>
    </xf>
    <xf numFmtId="0" fontId="8" fillId="0" borderId="1" xfId="0" applyFont="1" applyBorder="1" applyAlignment="1">
      <alignment horizontal="center" vertical="top"/>
    </xf>
    <xf numFmtId="2" fontId="8" fillId="4" borderId="1" xfId="0" applyNumberFormat="1" applyFont="1" applyFill="1" applyBorder="1" applyAlignment="1">
      <alignment horizontal="center" vertical="top"/>
    </xf>
    <xf numFmtId="0" fontId="7" fillId="6" borderId="1" xfId="0" applyFont="1" applyFill="1" applyBorder="1" applyAlignment="1">
      <alignment vertical="top" wrapText="1"/>
    </xf>
    <xf numFmtId="0" fontId="8" fillId="0" borderId="1" xfId="0" applyFont="1" applyBorder="1" applyAlignment="1">
      <alignment horizontal="center" vertical="top" wrapText="1"/>
    </xf>
    <xf numFmtId="2" fontId="8" fillId="0" borderId="1" xfId="0" applyNumberFormat="1" applyFont="1" applyBorder="1" applyAlignment="1">
      <alignment horizontal="center" vertical="top"/>
    </xf>
    <xf numFmtId="0" fontId="8" fillId="0" borderId="1" xfId="0" applyFont="1" applyBorder="1" applyAlignment="1">
      <alignment horizontal="right" vertical="top"/>
    </xf>
    <xf numFmtId="0" fontId="6" fillId="5" borderId="1" xfId="0" applyFont="1" applyFill="1" applyBorder="1" applyAlignment="1">
      <alignment vertical="top" wrapText="1"/>
    </xf>
    <xf numFmtId="0" fontId="7" fillId="5" borderId="3" xfId="0" applyFont="1" applyFill="1" applyBorder="1" applyAlignment="1">
      <alignment vertical="top" wrapText="1"/>
    </xf>
    <xf numFmtId="2" fontId="8" fillId="0" borderId="1" xfId="0" applyNumberFormat="1" applyFont="1" applyBorder="1" applyAlignment="1">
      <alignment horizontal="right" vertical="top"/>
    </xf>
    <xf numFmtId="0" fontId="4" fillId="5" borderId="1" xfId="3" applyFont="1" applyFill="1" applyBorder="1" applyAlignment="1">
      <alignment vertical="top"/>
    </xf>
    <xf numFmtId="0" fontId="7" fillId="5" borderId="1" xfId="0" applyFont="1" applyFill="1" applyBorder="1" applyAlignment="1">
      <alignment vertical="top"/>
    </xf>
    <xf numFmtId="0" fontId="9" fillId="2" borderId="1" xfId="0" applyFont="1" applyFill="1" applyBorder="1" applyAlignment="1">
      <alignment vertical="top" wrapText="1"/>
    </xf>
    <xf numFmtId="1" fontId="8" fillId="2" borderId="1" xfId="0" applyNumberFormat="1" applyFont="1" applyFill="1" applyBorder="1" applyAlignment="1">
      <alignment horizontal="center" vertical="top"/>
    </xf>
    <xf numFmtId="0" fontId="11" fillId="5" borderId="1" xfId="3" applyFont="1" applyFill="1" applyBorder="1" applyAlignment="1">
      <alignment horizontal="left" vertical="top"/>
    </xf>
    <xf numFmtId="1" fontId="9" fillId="5" borderId="1" xfId="0" applyNumberFormat="1" applyFont="1" applyFill="1" applyBorder="1" applyAlignment="1">
      <alignment vertical="top" wrapText="1"/>
    </xf>
    <xf numFmtId="2" fontId="11" fillId="6" borderId="1" xfId="0" applyNumberFormat="1" applyFont="1" applyFill="1" applyBorder="1" applyAlignment="1">
      <alignment horizontal="center" vertical="top"/>
    </xf>
    <xf numFmtId="2" fontId="11" fillId="6" borderId="1" xfId="0" applyNumberFormat="1" applyFont="1" applyFill="1" applyBorder="1" applyAlignment="1">
      <alignment horizontal="right" vertical="top"/>
    </xf>
    <xf numFmtId="0" fontId="11" fillId="0" borderId="0" xfId="3" applyFont="1" applyAlignment="1">
      <alignment vertical="top"/>
    </xf>
    <xf numFmtId="0" fontId="7" fillId="0" borderId="3" xfId="0" applyFont="1" applyBorder="1" applyAlignment="1">
      <alignment vertical="top" wrapText="1"/>
    </xf>
    <xf numFmtId="0" fontId="12" fillId="0" borderId="1" xfId="0" applyFont="1" applyBorder="1" applyAlignment="1">
      <alignment vertical="top" wrapText="1"/>
    </xf>
    <xf numFmtId="0" fontId="12" fillId="0" borderId="0" xfId="0" applyFont="1" applyAlignment="1">
      <alignment vertical="top" wrapText="1"/>
    </xf>
    <xf numFmtId="0" fontId="8" fillId="0" borderId="1" xfId="0" applyFont="1" applyBorder="1" applyAlignment="1">
      <alignment horizontal="left" vertical="top"/>
    </xf>
    <xf numFmtId="0" fontId="9" fillId="2" borderId="5" xfId="0" applyFont="1" applyFill="1" applyBorder="1" applyAlignment="1">
      <alignment vertical="top" wrapText="1"/>
    </xf>
    <xf numFmtId="0" fontId="8" fillId="4" borderId="1" xfId="0" applyFont="1" applyFill="1" applyBorder="1" applyAlignment="1">
      <alignment horizontal="center" vertical="top"/>
    </xf>
    <xf numFmtId="2" fontId="8" fillId="4" borderId="1" xfId="0" applyNumberFormat="1" applyFont="1" applyFill="1" applyBorder="1" applyAlignment="1">
      <alignment horizontal="right" vertical="top"/>
    </xf>
    <xf numFmtId="1" fontId="4" fillId="4" borderId="1" xfId="0" applyNumberFormat="1" applyFont="1" applyFill="1" applyBorder="1" applyAlignment="1">
      <alignment horizontal="center" vertical="top"/>
    </xf>
    <xf numFmtId="0" fontId="9" fillId="0" borderId="1" xfId="0" applyFont="1" applyFill="1" applyBorder="1" applyAlignment="1">
      <alignment vertical="top" wrapText="1"/>
    </xf>
    <xf numFmtId="0" fontId="8" fillId="0" borderId="1" xfId="0" applyFont="1" applyFill="1" applyBorder="1" applyAlignment="1">
      <alignment horizontal="center" vertical="top"/>
    </xf>
    <xf numFmtId="2" fontId="8" fillId="0" borderId="1" xfId="0" applyNumberFormat="1" applyFont="1" applyFill="1" applyBorder="1" applyAlignment="1">
      <alignment horizontal="center" vertical="top"/>
    </xf>
    <xf numFmtId="0" fontId="15" fillId="0" borderId="0" xfId="0" applyFont="1" applyAlignment="1">
      <alignment vertical="top" wrapText="1"/>
    </xf>
    <xf numFmtId="0" fontId="15" fillId="2" borderId="1" xfId="0" applyFont="1" applyFill="1" applyBorder="1" applyAlignment="1">
      <alignment horizontal="left" vertical="top" wrapText="1"/>
    </xf>
    <xf numFmtId="0" fontId="15" fillId="0" borderId="1" xfId="0" applyFont="1" applyBorder="1" applyAlignment="1">
      <alignment horizontal="left" vertical="top" wrapText="1"/>
    </xf>
    <xf numFmtId="2" fontId="8" fillId="0" borderId="1" xfId="0" applyNumberFormat="1" applyFont="1" applyBorder="1" applyAlignment="1">
      <alignment horizontal="center" vertical="top" wrapText="1"/>
    </xf>
    <xf numFmtId="2" fontId="8" fillId="0" borderId="1" xfId="0" applyNumberFormat="1" applyFont="1" applyBorder="1" applyAlignment="1">
      <alignment horizontal="right" vertical="top" wrapText="1"/>
    </xf>
    <xf numFmtId="0" fontId="15" fillId="0" borderId="1" xfId="0" applyFont="1" applyBorder="1" applyAlignment="1">
      <alignment vertical="top" wrapText="1"/>
    </xf>
    <xf numFmtId="0" fontId="16" fillId="5" borderId="3" xfId="0" applyFont="1" applyFill="1" applyBorder="1" applyAlignment="1">
      <alignment vertical="top"/>
    </xf>
    <xf numFmtId="0" fontId="8" fillId="5" borderId="1" xfId="0" applyFont="1" applyFill="1" applyBorder="1" applyAlignment="1">
      <alignment horizontal="center" vertical="top" wrapText="1"/>
    </xf>
    <xf numFmtId="2" fontId="8" fillId="5" borderId="1" xfId="0" applyNumberFormat="1" applyFont="1" applyFill="1" applyBorder="1" applyAlignment="1">
      <alignment horizontal="center" vertical="top" wrapText="1"/>
    </xf>
    <xf numFmtId="0" fontId="10" fillId="5" borderId="1" xfId="0" applyFont="1" applyFill="1" applyBorder="1" applyAlignment="1">
      <alignment horizontal="center" vertical="top" wrapText="1"/>
    </xf>
    <xf numFmtId="0" fontId="10" fillId="5" borderId="1" xfId="0" applyFont="1" applyFill="1" applyBorder="1" applyAlignment="1">
      <alignment horizontal="right" vertical="top" wrapText="1"/>
    </xf>
    <xf numFmtId="0" fontId="7" fillId="2" borderId="1" xfId="0" applyFont="1" applyFill="1" applyBorder="1" applyAlignment="1">
      <alignment vertical="top" wrapText="1"/>
    </xf>
    <xf numFmtId="0" fontId="7" fillId="2" borderId="0" xfId="0" applyFont="1" applyFill="1" applyBorder="1" applyAlignment="1">
      <alignment vertical="top" wrapText="1"/>
    </xf>
    <xf numFmtId="1" fontId="8" fillId="2" borderId="0" xfId="0" applyNumberFormat="1" applyFont="1" applyFill="1" applyBorder="1" applyAlignment="1">
      <alignment horizontal="center" vertical="top"/>
    </xf>
    <xf numFmtId="2" fontId="8" fillId="2" borderId="0" xfId="0" applyNumberFormat="1" applyFont="1" applyFill="1" applyBorder="1" applyAlignment="1">
      <alignment horizontal="center" vertical="top"/>
    </xf>
    <xf numFmtId="2" fontId="8" fillId="0" borderId="0" xfId="0" applyNumberFormat="1" applyFont="1" applyBorder="1" applyAlignment="1">
      <alignment horizontal="center" vertical="top"/>
    </xf>
    <xf numFmtId="2" fontId="8" fillId="2" borderId="1" xfId="0" applyNumberFormat="1" applyFont="1" applyFill="1" applyBorder="1" applyAlignment="1">
      <alignment horizontal="right" vertical="top"/>
    </xf>
    <xf numFmtId="2" fontId="2" fillId="6" borderId="1" xfId="2" applyNumberFormat="1" applyFont="1" applyFill="1" applyBorder="1" applyAlignment="1">
      <alignment horizontal="center" vertical="top" wrapText="1"/>
    </xf>
    <xf numFmtId="0" fontId="7" fillId="5" borderId="4" xfId="0" applyFont="1" applyFill="1" applyBorder="1" applyAlignment="1">
      <alignment vertical="top" wrapText="1"/>
    </xf>
    <xf numFmtId="0" fontId="8" fillId="0" borderId="1" xfId="0" applyNumberFormat="1" applyFont="1" applyBorder="1" applyAlignment="1">
      <alignment horizontal="center" vertical="top"/>
    </xf>
    <xf numFmtId="1" fontId="8" fillId="0" borderId="1" xfId="0" applyNumberFormat="1" applyFont="1" applyBorder="1" applyAlignment="1">
      <alignment horizontal="center" vertical="top"/>
    </xf>
    <xf numFmtId="164" fontId="8" fillId="0" borderId="1" xfId="0" applyNumberFormat="1" applyFont="1" applyBorder="1" applyAlignment="1">
      <alignment horizontal="center" vertical="top"/>
    </xf>
    <xf numFmtId="2" fontId="11" fillId="3" borderId="1" xfId="0" applyNumberFormat="1" applyFont="1" applyFill="1" applyBorder="1" applyAlignment="1">
      <alignment horizontal="center" vertical="top"/>
    </xf>
    <xf numFmtId="2" fontId="11" fillId="3" borderId="1" xfId="0" applyNumberFormat="1" applyFont="1" applyFill="1" applyBorder="1" applyAlignment="1">
      <alignment horizontal="right" vertical="top"/>
    </xf>
    <xf numFmtId="0" fontId="11" fillId="5" borderId="1" xfId="0" applyFont="1" applyFill="1" applyBorder="1" applyAlignment="1">
      <alignment horizontal="left" vertical="top"/>
    </xf>
    <xf numFmtId="0" fontId="9" fillId="0" borderId="6" xfId="0" applyFont="1" applyBorder="1" applyAlignment="1">
      <alignment vertical="top" wrapText="1"/>
    </xf>
    <xf numFmtId="0" fontId="6" fillId="2" borderId="6" xfId="0" applyFont="1" applyFill="1" applyBorder="1" applyAlignment="1">
      <alignment vertical="top" wrapText="1"/>
    </xf>
    <xf numFmtId="0" fontId="6" fillId="2" borderId="5" xfId="0" applyFont="1" applyFill="1" applyBorder="1" applyAlignment="1">
      <alignment vertical="top" wrapText="1"/>
    </xf>
    <xf numFmtId="0" fontId="6" fillId="2" borderId="7" xfId="0" applyFont="1" applyFill="1" applyBorder="1" applyAlignment="1">
      <alignment vertical="top" wrapText="1"/>
    </xf>
    <xf numFmtId="2" fontId="4" fillId="3" borderId="2" xfId="3" applyNumberFormat="1" applyFont="1" applyFill="1" applyBorder="1" applyAlignment="1">
      <alignment horizontal="right" vertical="top" wrapText="1"/>
    </xf>
    <xf numFmtId="2" fontId="4" fillId="3" borderId="3" xfId="3" applyNumberFormat="1" applyFont="1" applyFill="1" applyBorder="1" applyAlignment="1">
      <alignment horizontal="right" vertical="top" wrapText="1"/>
    </xf>
    <xf numFmtId="2" fontId="4" fillId="3" borderId="4" xfId="3" applyNumberFormat="1" applyFont="1" applyFill="1" applyBorder="1" applyAlignment="1">
      <alignment horizontal="right" vertical="top" wrapText="1"/>
    </xf>
    <xf numFmtId="0" fontId="11" fillId="5" borderId="1" xfId="0" applyFont="1" applyFill="1" applyBorder="1" applyAlignment="1">
      <alignment horizontal="left" vertical="top"/>
    </xf>
    <xf numFmtId="0" fontId="2" fillId="0" borderId="0" xfId="0" applyFont="1" applyAlignment="1">
      <alignment vertical="top" wrapText="1"/>
    </xf>
    <xf numFmtId="0" fontId="17" fillId="0" borderId="0" xfId="0" applyFont="1" applyAlignment="1">
      <alignment horizontal="center" vertical="top" wrapText="1"/>
    </xf>
    <xf numFmtId="0" fontId="4" fillId="0" borderId="1" xfId="0" applyFont="1" applyBorder="1" applyAlignment="1">
      <alignment horizontal="center" vertical="top" wrapText="1"/>
    </xf>
    <xf numFmtId="1" fontId="4" fillId="0" borderId="1" xfId="0" applyNumberFormat="1" applyFont="1" applyBorder="1" applyAlignment="1">
      <alignment horizontal="center" vertical="top" wrapText="1"/>
    </xf>
    <xf numFmtId="2" fontId="4" fillId="0" borderId="1" xfId="0" applyNumberFormat="1" applyFont="1" applyBorder="1" applyAlignment="1">
      <alignment horizontal="center" vertical="top" wrapText="1"/>
    </xf>
    <xf numFmtId="0" fontId="4" fillId="5" borderId="1" xfId="0" applyFont="1" applyFill="1" applyBorder="1" applyAlignment="1">
      <alignment vertical="top" wrapText="1"/>
    </xf>
    <xf numFmtId="0" fontId="8" fillId="4" borderId="1" xfId="0" applyFont="1" applyFill="1" applyBorder="1" applyAlignment="1">
      <alignment vertical="top" wrapText="1"/>
    </xf>
    <xf numFmtId="0" fontId="8" fillId="0" borderId="1" xfId="0" applyFont="1" applyBorder="1" applyAlignment="1">
      <alignment vertical="top"/>
    </xf>
    <xf numFmtId="0" fontId="9" fillId="4" borderId="1" xfId="0" applyFont="1" applyFill="1" applyBorder="1" applyAlignment="1">
      <alignment horizontal="left" vertical="top" wrapText="1"/>
    </xf>
    <xf numFmtId="0" fontId="4" fillId="0" borderId="1" xfId="0" applyFont="1" applyBorder="1" applyAlignment="1">
      <alignment vertical="top" wrapText="1"/>
    </xf>
    <xf numFmtId="0" fontId="2" fillId="5" borderId="1" xfId="0" applyFont="1" applyFill="1" applyBorder="1" applyAlignment="1">
      <alignment vertical="top" wrapText="1"/>
    </xf>
    <xf numFmtId="0" fontId="2" fillId="0" borderId="6" xfId="0" applyFont="1" applyBorder="1" applyAlignment="1">
      <alignment vertical="top" wrapText="1"/>
    </xf>
    <xf numFmtId="0" fontId="2" fillId="2" borderId="1" xfId="0" applyFont="1" applyFill="1" applyBorder="1" applyAlignment="1">
      <alignment vertical="top" wrapText="1"/>
    </xf>
    <xf numFmtId="0" fontId="8" fillId="2" borderId="1" xfId="0" applyFont="1" applyFill="1" applyBorder="1" applyAlignment="1">
      <alignment vertical="top"/>
    </xf>
    <xf numFmtId="0" fontId="4" fillId="5" borderId="3" xfId="0" applyFont="1" applyFill="1" applyBorder="1" applyAlignment="1">
      <alignment vertical="top" wrapText="1"/>
    </xf>
    <xf numFmtId="0" fontId="19" fillId="0" borderId="1" xfId="0" applyFont="1" applyBorder="1" applyAlignment="1">
      <alignment vertical="top"/>
    </xf>
    <xf numFmtId="0" fontId="6" fillId="0" borderId="1" xfId="0" applyFont="1" applyBorder="1" applyAlignment="1">
      <alignment horizontal="left" vertical="top" wrapText="1"/>
    </xf>
    <xf numFmtId="2" fontId="2" fillId="0" borderId="1" xfId="0" applyNumberFormat="1" applyFont="1" applyBorder="1" applyAlignment="1">
      <alignment horizontal="right" vertical="top"/>
    </xf>
    <xf numFmtId="0" fontId="8" fillId="0" borderId="1" xfId="0" applyFont="1" applyBorder="1" applyAlignment="1">
      <alignment vertical="top" wrapText="1"/>
    </xf>
    <xf numFmtId="0" fontId="14" fillId="8" borderId="1" xfId="0" applyFont="1" applyFill="1" applyBorder="1" applyAlignment="1">
      <alignment vertical="top" wrapText="1"/>
    </xf>
    <xf numFmtId="0" fontId="12" fillId="8" borderId="1" xfId="0" applyFont="1" applyFill="1" applyBorder="1" applyAlignment="1">
      <alignment vertical="top" wrapText="1"/>
    </xf>
    <xf numFmtId="0" fontId="10" fillId="8" borderId="1" xfId="0" applyFont="1" applyFill="1" applyBorder="1" applyAlignment="1">
      <alignment horizontal="center" vertical="top"/>
    </xf>
    <xf numFmtId="0" fontId="10" fillId="0" borderId="1" xfId="0" applyFont="1" applyBorder="1" applyAlignment="1">
      <alignment horizontal="center" vertical="top"/>
    </xf>
    <xf numFmtId="2" fontId="10" fillId="0" borderId="1" xfId="0" applyNumberFormat="1" applyFont="1" applyBorder="1" applyAlignment="1">
      <alignment horizontal="right" vertical="top"/>
    </xf>
    <xf numFmtId="2" fontId="10" fillId="8" borderId="1" xfId="0" applyNumberFormat="1" applyFont="1" applyFill="1" applyBorder="1" applyAlignment="1">
      <alignment horizontal="center" vertical="top"/>
    </xf>
    <xf numFmtId="0" fontId="8" fillId="0" borderId="6" xfId="0" applyFont="1" applyBorder="1" applyAlignment="1">
      <alignment vertical="top" wrapText="1"/>
    </xf>
    <xf numFmtId="0" fontId="8" fillId="2" borderId="1" xfId="0" applyFont="1" applyFill="1" applyBorder="1" applyAlignment="1">
      <alignment vertical="top" wrapText="1"/>
    </xf>
    <xf numFmtId="0" fontId="6" fillId="0" borderId="1" xfId="0" applyFont="1" applyBorder="1" applyAlignment="1">
      <alignment horizontal="left" vertical="top" wrapText="1"/>
    </xf>
    <xf numFmtId="0" fontId="13" fillId="0" borderId="1" xfId="0" applyFont="1" applyBorder="1" applyAlignment="1">
      <alignment vertical="top" wrapText="1"/>
    </xf>
    <xf numFmtId="2" fontId="8" fillId="0" borderId="1" xfId="0" applyNumberFormat="1" applyFont="1" applyFill="1" applyBorder="1" applyAlignment="1">
      <alignment horizontal="right" vertical="top"/>
    </xf>
    <xf numFmtId="0" fontId="4" fillId="0" borderId="2" xfId="0" applyFont="1" applyBorder="1" applyAlignment="1">
      <alignment vertical="top" wrapText="1"/>
    </xf>
    <xf numFmtId="0" fontId="4" fillId="0" borderId="3" xfId="0" applyFont="1" applyBorder="1" applyAlignment="1">
      <alignment vertical="top" wrapText="1"/>
    </xf>
    <xf numFmtId="0" fontId="9" fillId="2" borderId="1" xfId="0" applyFont="1" applyFill="1" applyBorder="1" applyAlignment="1">
      <alignment vertical="top"/>
    </xf>
    <xf numFmtId="0" fontId="9" fillId="0" borderId="0" xfId="0" applyFont="1" applyAlignment="1">
      <alignment horizontal="justify" vertical="top"/>
    </xf>
    <xf numFmtId="0" fontId="4" fillId="0" borderId="6" xfId="0" applyFont="1" applyBorder="1" applyAlignment="1">
      <alignment vertical="top" wrapText="1"/>
    </xf>
    <xf numFmtId="0" fontId="15" fillId="2" borderId="1" xfId="0" applyFont="1" applyFill="1" applyBorder="1" applyAlignment="1">
      <alignment vertical="top"/>
    </xf>
    <xf numFmtId="0" fontId="15" fillId="2" borderId="1" xfId="0" applyFont="1" applyFill="1" applyBorder="1" applyAlignment="1">
      <alignment vertical="top" wrapText="1"/>
    </xf>
    <xf numFmtId="0" fontId="15" fillId="0" borderId="1" xfId="0" applyFont="1" applyBorder="1" applyAlignment="1">
      <alignment vertical="top"/>
    </xf>
    <xf numFmtId="0" fontId="21" fillId="2" borderId="1" xfId="0" applyFont="1" applyFill="1" applyBorder="1" applyAlignment="1">
      <alignment vertical="top" wrapText="1"/>
    </xf>
    <xf numFmtId="0" fontId="4" fillId="0" borderId="0" xfId="0" applyFont="1" applyAlignment="1">
      <alignment vertical="top" wrapText="1"/>
    </xf>
    <xf numFmtId="0" fontId="8" fillId="0" borderId="1" xfId="0" applyFont="1" applyFill="1" applyBorder="1" applyAlignment="1">
      <alignment vertical="top"/>
    </xf>
    <xf numFmtId="49" fontId="2" fillId="7" borderId="1" xfId="0" applyNumberFormat="1" applyFont="1" applyFill="1" applyBorder="1" applyAlignment="1">
      <alignment vertical="top" wrapText="1"/>
    </xf>
    <xf numFmtId="0" fontId="9" fillId="0" borderId="5" xfId="0" applyFont="1" applyBorder="1" applyAlignment="1">
      <alignment horizontal="left" vertical="top" wrapText="1"/>
    </xf>
    <xf numFmtId="0" fontId="9" fillId="0" borderId="7" xfId="0" applyFont="1" applyBorder="1" applyAlignment="1">
      <alignment horizontal="left" vertical="top" wrapText="1"/>
    </xf>
    <xf numFmtId="2" fontId="10" fillId="2" borderId="1" xfId="0" applyNumberFormat="1" applyFont="1" applyFill="1" applyBorder="1" applyAlignment="1">
      <alignment horizontal="center" vertical="top" wrapText="1"/>
    </xf>
    <xf numFmtId="0" fontId="8" fillId="4" borderId="5" xfId="0" applyFont="1" applyFill="1" applyBorder="1" applyAlignment="1">
      <alignment horizontal="center" vertical="top"/>
    </xf>
    <xf numFmtId="2" fontId="8" fillId="4" borderId="5" xfId="0" applyNumberFormat="1" applyFont="1" applyFill="1" applyBorder="1" applyAlignment="1">
      <alignment horizontal="right" vertical="top"/>
    </xf>
    <xf numFmtId="0" fontId="8" fillId="2" borderId="1" xfId="0" applyNumberFormat="1" applyFont="1" applyFill="1" applyBorder="1" applyAlignment="1">
      <alignment horizontal="center" vertical="top"/>
    </xf>
    <xf numFmtId="0" fontId="11" fillId="5" borderId="3" xfId="0" applyFont="1" applyFill="1" applyBorder="1" applyAlignment="1">
      <alignment vertical="top" wrapText="1"/>
    </xf>
    <xf numFmtId="0" fontId="2" fillId="2" borderId="0" xfId="0" applyFont="1" applyFill="1" applyBorder="1" applyAlignment="1">
      <alignment vertical="top" wrapText="1"/>
    </xf>
    <xf numFmtId="0" fontId="4" fillId="2" borderId="1" xfId="0" applyFont="1" applyFill="1" applyBorder="1" applyAlignment="1">
      <alignment vertical="top" wrapText="1"/>
    </xf>
    <xf numFmtId="0" fontId="2" fillId="0" borderId="1" xfId="0" applyFont="1" applyFill="1" applyBorder="1" applyAlignment="1">
      <alignment vertical="top" wrapText="1"/>
    </xf>
    <xf numFmtId="165" fontId="8" fillId="2" borderId="1" xfId="0" applyNumberFormat="1" applyFont="1" applyFill="1" applyBorder="1" applyAlignment="1">
      <alignment horizontal="center" vertical="top"/>
    </xf>
    <xf numFmtId="9" fontId="8" fillId="0" borderId="1" xfId="2" applyFont="1" applyBorder="1" applyAlignment="1">
      <alignment horizontal="center" vertical="top"/>
    </xf>
    <xf numFmtId="0" fontId="8" fillId="0" borderId="1" xfId="0" applyNumberFormat="1" applyFont="1" applyFill="1" applyBorder="1" applyAlignment="1">
      <alignment horizontal="right" vertical="top"/>
    </xf>
    <xf numFmtId="0" fontId="8" fillId="0" borderId="1" xfId="0" applyFont="1" applyFill="1" applyBorder="1" applyAlignment="1">
      <alignment vertical="top" wrapText="1"/>
    </xf>
    <xf numFmtId="0" fontId="8" fillId="0" borderId="0" xfId="0" applyFont="1" applyFill="1" applyAlignment="1">
      <alignment horizontal="center" vertical="top"/>
    </xf>
    <xf numFmtId="0" fontId="22" fillId="0" borderId="8" xfId="0" applyFont="1" applyBorder="1" applyAlignment="1">
      <alignment horizontal="left" vertical="top" wrapText="1"/>
    </xf>
    <xf numFmtId="0" fontId="22" fillId="0" borderId="9" xfId="0" applyFont="1" applyBorder="1" applyAlignment="1">
      <alignment horizontal="left" vertical="top" wrapText="1"/>
    </xf>
    <xf numFmtId="0" fontId="6" fillId="2" borderId="5" xfId="0" applyFont="1" applyFill="1" applyBorder="1" applyAlignment="1">
      <alignment horizontal="center" vertical="center" wrapText="1"/>
    </xf>
    <xf numFmtId="0" fontId="6" fillId="2" borderId="7" xfId="0" applyFont="1" applyFill="1" applyBorder="1" applyAlignment="1">
      <alignment horizontal="center" vertical="center" wrapText="1"/>
    </xf>
    <xf numFmtId="0" fontId="6" fillId="2" borderId="6" xfId="0" applyFont="1" applyFill="1" applyBorder="1" applyAlignment="1">
      <alignment horizontal="center" vertical="center" wrapText="1"/>
    </xf>
    <xf numFmtId="0" fontId="15" fillId="2" borderId="1" xfId="0" applyFont="1" applyFill="1" applyBorder="1" applyAlignment="1">
      <alignment horizontal="center" vertical="top" wrapText="1"/>
    </xf>
    <xf numFmtId="0" fontId="23" fillId="0" borderId="1" xfId="0" applyFont="1" applyBorder="1" applyAlignment="1">
      <alignment horizontal="left" vertical="top" wrapText="1"/>
    </xf>
    <xf numFmtId="0" fontId="23" fillId="0" borderId="1" xfId="0" applyFont="1" applyBorder="1" applyAlignment="1">
      <alignment vertical="top" wrapText="1"/>
    </xf>
    <xf numFmtId="0" fontId="2" fillId="0" borderId="0" xfId="0" applyFont="1" applyAlignment="1">
      <alignment horizontal="left" vertical="top"/>
    </xf>
    <xf numFmtId="0" fontId="2" fillId="0" borderId="6" xfId="0" applyFont="1" applyBorder="1" applyAlignment="1">
      <alignment horizontal="left" vertical="top"/>
    </xf>
    <xf numFmtId="0" fontId="2" fillId="0" borderId="1" xfId="0" applyFont="1" applyBorder="1" applyAlignment="1">
      <alignment horizontal="left" vertical="top"/>
    </xf>
    <xf numFmtId="0" fontId="4" fillId="5" borderId="2" xfId="0" applyFont="1" applyFill="1" applyBorder="1" applyAlignment="1">
      <alignment horizontal="left" vertical="top"/>
    </xf>
    <xf numFmtId="0" fontId="8" fillId="0" borderId="6" xfId="0" applyFont="1" applyBorder="1" applyAlignment="1">
      <alignment horizontal="left" vertical="top"/>
    </xf>
    <xf numFmtId="0" fontId="2" fillId="4" borderId="1" xfId="0" applyFont="1" applyFill="1" applyBorder="1" applyAlignment="1">
      <alignment horizontal="left" vertical="top"/>
    </xf>
    <xf numFmtId="0" fontId="2" fillId="0" borderId="0" xfId="0" applyFont="1" applyBorder="1" applyAlignment="1">
      <alignment horizontal="left" vertical="top"/>
    </xf>
    <xf numFmtId="0" fontId="4" fillId="5" borderId="1" xfId="5" applyFont="1" applyFill="1" applyBorder="1" applyAlignment="1">
      <alignment horizontal="left" vertical="top"/>
    </xf>
    <xf numFmtId="0" fontId="4" fillId="6" borderId="1" xfId="0" applyFont="1" applyFill="1" applyBorder="1" applyAlignment="1">
      <alignment horizontal="left" vertical="top"/>
    </xf>
    <xf numFmtId="0" fontId="11" fillId="5" borderId="2" xfId="0" applyFont="1" applyFill="1" applyBorder="1" applyAlignment="1">
      <alignment horizontal="left" vertical="top"/>
    </xf>
    <xf numFmtId="0" fontId="2" fillId="0" borderId="1" xfId="0" applyFont="1" applyFill="1" applyBorder="1" applyAlignment="1">
      <alignment horizontal="left" vertical="top"/>
    </xf>
    <xf numFmtId="0" fontId="2" fillId="0" borderId="2" xfId="0" applyFont="1" applyBorder="1" applyAlignment="1">
      <alignment horizontal="left" vertical="top" wrapText="1"/>
    </xf>
    <xf numFmtId="0" fontId="2" fillId="0" borderId="3" xfId="0" applyFont="1" applyBorder="1" applyAlignment="1">
      <alignment horizontal="left" vertical="top" wrapText="1"/>
    </xf>
    <xf numFmtId="0" fontId="2" fillId="0" borderId="4" xfId="0" applyFont="1" applyBorder="1" applyAlignment="1">
      <alignment horizontal="left" vertical="top" wrapText="1"/>
    </xf>
  </cellXfs>
  <cellStyles count="6">
    <cellStyle name="Normal" xfId="0" builtinId="0"/>
    <cellStyle name="Normal 2" xfId="3"/>
    <cellStyle name="Normal 4 3" xfId="1"/>
    <cellStyle name="Normal 5" xfId="4"/>
    <cellStyle name="Normal 6" xfId="5"/>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568"/>
  <sheetViews>
    <sheetView tabSelected="1" topLeftCell="A226" zoomScale="79" zoomScaleNormal="79" workbookViewId="0">
      <selection activeCell="L9" sqref="L9"/>
    </sheetView>
  </sheetViews>
  <sheetFormatPr defaultColWidth="8.88671875" defaultRowHeight="13.8" x14ac:dyDescent="0.3"/>
  <cols>
    <col min="1" max="1" width="5.33203125" style="15" bestFit="1" customWidth="1"/>
    <col min="2" max="2" width="6" style="199" customWidth="1"/>
    <col min="3" max="3" width="22.5546875" style="134" customWidth="1"/>
    <col min="4" max="4" width="20.88671875" style="134" customWidth="1"/>
    <col min="5" max="5" width="30.6640625" style="62" customWidth="1"/>
    <col min="6" max="6" width="12" style="14" customWidth="1"/>
    <col min="7" max="7" width="12" style="2" bestFit="1" customWidth="1"/>
    <col min="8" max="8" width="14.33203125" style="2" customWidth="1"/>
    <col min="9" max="9" width="11" style="13" customWidth="1"/>
    <col min="10" max="10" width="10.88671875" style="41" bestFit="1" customWidth="1"/>
    <col min="11" max="11" width="10.88671875" style="41" customWidth="1"/>
    <col min="12" max="12" width="12.109375" style="61" customWidth="1"/>
    <col min="13" max="16384" width="8.88671875" style="12"/>
  </cols>
  <sheetData>
    <row r="1" spans="1:12" x14ac:dyDescent="0.3">
      <c r="L1" s="1" t="s">
        <v>11</v>
      </c>
    </row>
    <row r="2" spans="1:12" x14ac:dyDescent="0.3">
      <c r="L2" s="1" t="s">
        <v>12</v>
      </c>
    </row>
    <row r="3" spans="1:12" x14ac:dyDescent="0.3">
      <c r="L3" s="1" t="s">
        <v>13</v>
      </c>
    </row>
    <row r="4" spans="1:12" x14ac:dyDescent="0.3">
      <c r="L4" s="1" t="s">
        <v>14</v>
      </c>
    </row>
    <row r="5" spans="1:12" x14ac:dyDescent="0.3">
      <c r="L5" s="1"/>
    </row>
    <row r="6" spans="1:12" ht="48.6" customHeight="1" x14ac:dyDescent="0.3">
      <c r="A6" s="135" t="s">
        <v>268</v>
      </c>
      <c r="B6" s="135"/>
      <c r="C6" s="135"/>
      <c r="D6" s="135"/>
      <c r="E6" s="135"/>
      <c r="F6" s="135"/>
      <c r="G6" s="135"/>
      <c r="H6" s="135"/>
      <c r="I6" s="135"/>
      <c r="J6" s="135"/>
      <c r="K6" s="135"/>
      <c r="L6" s="135"/>
    </row>
    <row r="8" spans="1:12" ht="96.6" x14ac:dyDescent="0.3">
      <c r="B8" s="45" t="s">
        <v>159</v>
      </c>
      <c r="C8" s="136" t="s">
        <v>0</v>
      </c>
      <c r="D8" s="136" t="s">
        <v>1</v>
      </c>
      <c r="E8" s="136" t="s">
        <v>15</v>
      </c>
      <c r="F8" s="137" t="s">
        <v>2</v>
      </c>
      <c r="G8" s="138" t="s">
        <v>3</v>
      </c>
      <c r="H8" s="138" t="s">
        <v>16</v>
      </c>
      <c r="I8" s="136" t="s">
        <v>4</v>
      </c>
      <c r="J8" s="138" t="s">
        <v>5</v>
      </c>
      <c r="K8" s="138" t="s">
        <v>6</v>
      </c>
      <c r="L8" s="136" t="s">
        <v>117</v>
      </c>
    </row>
    <row r="9" spans="1:12" x14ac:dyDescent="0.3">
      <c r="B9" s="130" t="s">
        <v>10</v>
      </c>
      <c r="C9" s="131"/>
      <c r="D9" s="131"/>
      <c r="E9" s="131"/>
      <c r="F9" s="131"/>
      <c r="G9" s="131"/>
      <c r="H9" s="132"/>
      <c r="I9" s="42">
        <f>ROUND(I39+I43+I63+I75+I90+I102+I189+I204+I233+I283+I320+I337+I339+I380+I386+I416+I438+I448+I458+I467+I471+I505+I564,2)</f>
        <v>112427.72</v>
      </c>
      <c r="J9" s="40">
        <f>ROUND(J39+J43+J63+J75+J90+J102+J189+J204+J233+J283+J320+J337+J339+J380+J386+J416+J438+J448+J458+J467+J471+J505+J564,2)</f>
        <v>248580.66</v>
      </c>
      <c r="K9" s="40">
        <f>ROUND(K39+K43+K63+K75+K90+K102+K189+K204+K233+K283+K320+K337+K339+K380+K386+K416+K438+K448+K458+K467+K471+K505+K564,2)</f>
        <v>58560.160000000003</v>
      </c>
      <c r="L9" s="40">
        <f>ROUND(L39+L43+L63+L75+L90+L102+L189+L204+L233+L283+L320+L337+L339+L380+L386+L402+L416+L438+L448+L458+L467+L471+L505+L564,2)</f>
        <v>312690.46000000002</v>
      </c>
    </row>
    <row r="10" spans="1:12" x14ac:dyDescent="0.3">
      <c r="A10" s="8" t="s">
        <v>17</v>
      </c>
      <c r="B10" s="70" t="s">
        <v>18</v>
      </c>
      <c r="C10" s="139"/>
      <c r="D10" s="139"/>
      <c r="E10" s="71"/>
      <c r="F10" s="39"/>
      <c r="G10" s="3"/>
      <c r="H10" s="3"/>
      <c r="I10" s="38"/>
      <c r="J10" s="43"/>
      <c r="K10" s="43"/>
      <c r="L10" s="44"/>
    </row>
    <row r="11" spans="1:12" ht="176.4" customHeight="1" x14ac:dyDescent="0.3">
      <c r="B11" s="93">
        <v>1</v>
      </c>
      <c r="C11" s="140" t="s">
        <v>21</v>
      </c>
      <c r="D11" s="141" t="s">
        <v>7</v>
      </c>
      <c r="E11" s="142" t="s">
        <v>160</v>
      </c>
      <c r="F11" s="76">
        <v>1165.92</v>
      </c>
      <c r="G11" s="65">
        <v>6.94</v>
      </c>
      <c r="H11" s="76">
        <f>G11*0.75</f>
        <v>5.2050000000000001</v>
      </c>
      <c r="I11" s="72">
        <v>25.58</v>
      </c>
      <c r="J11" s="80">
        <f>ROUND(H11*I11,2)</f>
        <v>133.13999999999999</v>
      </c>
      <c r="K11" s="80">
        <f>ROUND(J11*0.2359,2)</f>
        <v>31.41</v>
      </c>
      <c r="L11" s="80">
        <f>J11+K11</f>
        <v>164.54999999999998</v>
      </c>
    </row>
    <row r="12" spans="1:12" ht="106.8" customHeight="1" x14ac:dyDescent="0.3">
      <c r="B12" s="93">
        <v>2</v>
      </c>
      <c r="C12" s="140" t="s">
        <v>21</v>
      </c>
      <c r="D12" s="141" t="s">
        <v>7</v>
      </c>
      <c r="E12" s="142" t="s">
        <v>118</v>
      </c>
      <c r="F12" s="76">
        <v>982.14</v>
      </c>
      <c r="G12" s="65">
        <v>8.18</v>
      </c>
      <c r="H12" s="76">
        <f t="shared" ref="H12:H38" si="0">G12*0.75</f>
        <v>6.1349999999999998</v>
      </c>
      <c r="I12" s="72">
        <v>19.420000000000002</v>
      </c>
      <c r="J12" s="80">
        <f t="shared" ref="J12:J38" si="1">ROUND(H12*I12,2)</f>
        <v>119.14</v>
      </c>
      <c r="K12" s="80">
        <f t="shared" ref="K12:K38" si="2">ROUND(J12*0.2359,2)</f>
        <v>28.11</v>
      </c>
      <c r="L12" s="80">
        <f t="shared" ref="L12:L38" si="3">J12+K12</f>
        <v>147.25</v>
      </c>
    </row>
    <row r="13" spans="1:12" ht="176.4" customHeight="1" x14ac:dyDescent="0.3">
      <c r="B13" s="93">
        <v>3</v>
      </c>
      <c r="C13" s="140" t="s">
        <v>21</v>
      </c>
      <c r="D13" s="141" t="s">
        <v>7</v>
      </c>
      <c r="E13" s="142" t="s">
        <v>160</v>
      </c>
      <c r="F13" s="76">
        <v>1186.74</v>
      </c>
      <c r="G13" s="65">
        <v>6.94</v>
      </c>
      <c r="H13" s="76">
        <f t="shared" si="0"/>
        <v>5.2050000000000001</v>
      </c>
      <c r="I13" s="72">
        <v>47.27</v>
      </c>
      <c r="J13" s="80">
        <f t="shared" si="1"/>
        <v>246.04</v>
      </c>
      <c r="K13" s="80">
        <f t="shared" si="2"/>
        <v>58.04</v>
      </c>
      <c r="L13" s="80">
        <f t="shared" si="3"/>
        <v>304.08</v>
      </c>
    </row>
    <row r="14" spans="1:12" ht="109.2" customHeight="1" x14ac:dyDescent="0.3">
      <c r="B14" s="93">
        <v>4</v>
      </c>
      <c r="C14" s="140" t="s">
        <v>21</v>
      </c>
      <c r="D14" s="141" t="s">
        <v>8</v>
      </c>
      <c r="E14" s="142" t="s">
        <v>118</v>
      </c>
      <c r="F14" s="72">
        <v>1034.8800000000001</v>
      </c>
      <c r="G14" s="65">
        <v>6.16</v>
      </c>
      <c r="H14" s="76">
        <f t="shared" si="0"/>
        <v>4.62</v>
      </c>
      <c r="I14" s="76">
        <v>34.5</v>
      </c>
      <c r="J14" s="80">
        <f t="shared" si="1"/>
        <v>159.38999999999999</v>
      </c>
      <c r="K14" s="80">
        <f t="shared" si="2"/>
        <v>37.6</v>
      </c>
      <c r="L14" s="80">
        <f t="shared" si="3"/>
        <v>196.98999999999998</v>
      </c>
    </row>
    <row r="15" spans="1:12" ht="106.8" customHeight="1" x14ac:dyDescent="0.3">
      <c r="B15" s="93">
        <v>5</v>
      </c>
      <c r="C15" s="140" t="s">
        <v>21</v>
      </c>
      <c r="D15" s="141" t="s">
        <v>8</v>
      </c>
      <c r="E15" s="142" t="s">
        <v>118</v>
      </c>
      <c r="F15" s="72">
        <v>1034.8800000000001</v>
      </c>
      <c r="G15" s="65">
        <v>6.16</v>
      </c>
      <c r="H15" s="76">
        <f t="shared" si="0"/>
        <v>4.62</v>
      </c>
      <c r="I15" s="76">
        <v>24.72</v>
      </c>
      <c r="J15" s="80">
        <f t="shared" si="1"/>
        <v>114.21</v>
      </c>
      <c r="K15" s="80">
        <f t="shared" si="2"/>
        <v>26.94</v>
      </c>
      <c r="L15" s="80">
        <f t="shared" si="3"/>
        <v>141.15</v>
      </c>
    </row>
    <row r="16" spans="1:12" ht="115.2" customHeight="1" x14ac:dyDescent="0.3">
      <c r="B16" s="93">
        <v>6</v>
      </c>
      <c r="C16" s="140" t="s">
        <v>21</v>
      </c>
      <c r="D16" s="141" t="s">
        <v>19</v>
      </c>
      <c r="E16" s="142" t="s">
        <v>118</v>
      </c>
      <c r="F16" s="76">
        <v>1917</v>
      </c>
      <c r="G16" s="65">
        <v>11.41</v>
      </c>
      <c r="H16" s="76">
        <f t="shared" si="0"/>
        <v>8.557500000000001</v>
      </c>
      <c r="I16" s="72">
        <v>8.73</v>
      </c>
      <c r="J16" s="80">
        <f t="shared" si="1"/>
        <v>74.709999999999994</v>
      </c>
      <c r="K16" s="80">
        <f>ROUND(J16*0.2194,2)</f>
        <v>16.39</v>
      </c>
      <c r="L16" s="80">
        <f t="shared" si="3"/>
        <v>91.1</v>
      </c>
    </row>
    <row r="17" spans="2:12" ht="175.2" customHeight="1" x14ac:dyDescent="0.3">
      <c r="B17" s="93">
        <v>7</v>
      </c>
      <c r="C17" s="140" t="s">
        <v>21</v>
      </c>
      <c r="D17" s="141" t="s">
        <v>8</v>
      </c>
      <c r="E17" s="142" t="s">
        <v>160</v>
      </c>
      <c r="F17" s="76">
        <v>683.76</v>
      </c>
      <c r="G17" s="65">
        <v>6.16</v>
      </c>
      <c r="H17" s="76">
        <f t="shared" si="0"/>
        <v>4.62</v>
      </c>
      <c r="I17" s="72">
        <v>35.83</v>
      </c>
      <c r="J17" s="80">
        <f t="shared" si="1"/>
        <v>165.53</v>
      </c>
      <c r="K17" s="80">
        <f>ROUND(J17*0.2194,2)</f>
        <v>36.32</v>
      </c>
      <c r="L17" s="80">
        <f t="shared" si="3"/>
        <v>201.85</v>
      </c>
    </row>
    <row r="18" spans="2:12" ht="156" x14ac:dyDescent="0.3">
      <c r="B18" s="93">
        <v>8</v>
      </c>
      <c r="C18" s="140" t="s">
        <v>21</v>
      </c>
      <c r="D18" s="141" t="s">
        <v>20</v>
      </c>
      <c r="E18" s="142" t="s">
        <v>160</v>
      </c>
      <c r="F18" s="76">
        <v>2038</v>
      </c>
      <c r="G18" s="65">
        <v>12.13</v>
      </c>
      <c r="H18" s="76">
        <f t="shared" si="0"/>
        <v>9.0975000000000001</v>
      </c>
      <c r="I18" s="72">
        <v>20.13</v>
      </c>
      <c r="J18" s="80">
        <f t="shared" si="1"/>
        <v>183.13</v>
      </c>
      <c r="K18" s="80">
        <f t="shared" si="2"/>
        <v>43.2</v>
      </c>
      <c r="L18" s="80">
        <f t="shared" si="3"/>
        <v>226.32999999999998</v>
      </c>
    </row>
    <row r="19" spans="2:12" ht="175.2" customHeight="1" x14ac:dyDescent="0.3">
      <c r="B19" s="93">
        <v>9</v>
      </c>
      <c r="C19" s="140" t="s">
        <v>21</v>
      </c>
      <c r="D19" s="141" t="s">
        <v>8</v>
      </c>
      <c r="E19" s="142" t="s">
        <v>160</v>
      </c>
      <c r="F19" s="76">
        <v>1034.8800000000001</v>
      </c>
      <c r="G19" s="65">
        <v>6.16</v>
      </c>
      <c r="H19" s="76">
        <f t="shared" si="0"/>
        <v>4.62</v>
      </c>
      <c r="I19" s="72">
        <v>18.170000000000002</v>
      </c>
      <c r="J19" s="80">
        <f t="shared" si="1"/>
        <v>83.95</v>
      </c>
      <c r="K19" s="80">
        <f t="shared" si="2"/>
        <v>19.8</v>
      </c>
      <c r="L19" s="80">
        <f t="shared" si="3"/>
        <v>103.75</v>
      </c>
    </row>
    <row r="20" spans="2:12" ht="111" customHeight="1" x14ac:dyDescent="0.3">
      <c r="B20" s="93">
        <v>10</v>
      </c>
      <c r="C20" s="140" t="s">
        <v>21</v>
      </c>
      <c r="D20" s="141" t="s">
        <v>7</v>
      </c>
      <c r="E20" s="142" t="s">
        <v>161</v>
      </c>
      <c r="F20" s="72">
        <v>1228.3800000000001</v>
      </c>
      <c r="G20" s="65">
        <v>6.94</v>
      </c>
      <c r="H20" s="76">
        <f t="shared" si="0"/>
        <v>5.2050000000000001</v>
      </c>
      <c r="I20" s="72">
        <v>16.68</v>
      </c>
      <c r="J20" s="80">
        <f t="shared" si="1"/>
        <v>86.82</v>
      </c>
      <c r="K20" s="80">
        <f t="shared" si="2"/>
        <v>20.48</v>
      </c>
      <c r="L20" s="80">
        <f t="shared" si="3"/>
        <v>107.3</v>
      </c>
    </row>
    <row r="21" spans="2:12" ht="156" x14ac:dyDescent="0.3">
      <c r="B21" s="93">
        <v>11</v>
      </c>
      <c r="C21" s="140" t="s">
        <v>21</v>
      </c>
      <c r="D21" s="141" t="s">
        <v>8</v>
      </c>
      <c r="E21" s="142" t="s">
        <v>160</v>
      </c>
      <c r="F21" s="72">
        <v>591.36</v>
      </c>
      <c r="G21" s="65">
        <v>6.16</v>
      </c>
      <c r="H21" s="76">
        <f t="shared" si="0"/>
        <v>4.62</v>
      </c>
      <c r="I21" s="72">
        <v>15.57</v>
      </c>
      <c r="J21" s="80">
        <f t="shared" si="1"/>
        <v>71.930000000000007</v>
      </c>
      <c r="K21" s="80">
        <f>ROUND(J21*0.21974,2)</f>
        <v>15.81</v>
      </c>
      <c r="L21" s="80">
        <f t="shared" si="3"/>
        <v>87.740000000000009</v>
      </c>
    </row>
    <row r="22" spans="2:12" ht="115.8" customHeight="1" x14ac:dyDescent="0.3">
      <c r="B22" s="93">
        <v>12</v>
      </c>
      <c r="C22" s="140" t="s">
        <v>21</v>
      </c>
      <c r="D22" s="141" t="s">
        <v>141</v>
      </c>
      <c r="E22" s="142" t="s">
        <v>118</v>
      </c>
      <c r="F22" s="76">
        <v>1565</v>
      </c>
      <c r="G22" s="65">
        <v>9.31</v>
      </c>
      <c r="H22" s="76">
        <f t="shared" si="0"/>
        <v>6.9824999999999999</v>
      </c>
      <c r="I22" s="72">
        <v>14.87</v>
      </c>
      <c r="J22" s="80">
        <f t="shared" si="1"/>
        <v>103.83</v>
      </c>
      <c r="K22" s="80">
        <f>ROUND(J22*0.2194,2)</f>
        <v>22.78</v>
      </c>
      <c r="L22" s="80">
        <f t="shared" si="3"/>
        <v>126.61</v>
      </c>
    </row>
    <row r="23" spans="2:12" ht="170.4" customHeight="1" x14ac:dyDescent="0.3">
      <c r="B23" s="93">
        <v>13</v>
      </c>
      <c r="C23" s="140" t="s">
        <v>21</v>
      </c>
      <c r="D23" s="141" t="s">
        <v>8</v>
      </c>
      <c r="E23" s="142" t="s">
        <v>160</v>
      </c>
      <c r="F23" s="76">
        <v>739.2</v>
      </c>
      <c r="G23" s="65">
        <v>6.16</v>
      </c>
      <c r="H23" s="76">
        <f t="shared" si="0"/>
        <v>4.62</v>
      </c>
      <c r="I23" s="72">
        <v>12.75</v>
      </c>
      <c r="J23" s="80">
        <f t="shared" si="1"/>
        <v>58.91</v>
      </c>
      <c r="K23" s="80">
        <f t="shared" si="2"/>
        <v>13.9</v>
      </c>
      <c r="L23" s="80">
        <f t="shared" si="3"/>
        <v>72.81</v>
      </c>
    </row>
    <row r="24" spans="2:12" ht="162" customHeight="1" x14ac:dyDescent="0.3">
      <c r="B24" s="93">
        <v>14</v>
      </c>
      <c r="C24" s="140" t="s">
        <v>21</v>
      </c>
      <c r="D24" s="141" t="s">
        <v>8</v>
      </c>
      <c r="E24" s="142" t="s">
        <v>160</v>
      </c>
      <c r="F24" s="76">
        <v>591.36</v>
      </c>
      <c r="G24" s="65">
        <v>6.16</v>
      </c>
      <c r="H24" s="76">
        <f t="shared" si="0"/>
        <v>4.62</v>
      </c>
      <c r="I24" s="72">
        <v>9.82</v>
      </c>
      <c r="J24" s="80">
        <f t="shared" si="1"/>
        <v>45.37</v>
      </c>
      <c r="K24" s="80">
        <f t="shared" si="2"/>
        <v>10.7</v>
      </c>
      <c r="L24" s="80">
        <f t="shared" si="3"/>
        <v>56.069999999999993</v>
      </c>
    </row>
    <row r="25" spans="2:12" ht="174.6" customHeight="1" x14ac:dyDescent="0.3">
      <c r="B25" s="93">
        <v>15</v>
      </c>
      <c r="C25" s="140" t="s">
        <v>21</v>
      </c>
      <c r="D25" s="141" t="s">
        <v>8</v>
      </c>
      <c r="E25" s="142" t="s">
        <v>160</v>
      </c>
      <c r="F25" s="76">
        <v>1034.8800000000001</v>
      </c>
      <c r="G25" s="65">
        <v>6.16</v>
      </c>
      <c r="H25" s="76">
        <f t="shared" si="0"/>
        <v>4.62</v>
      </c>
      <c r="I25" s="72">
        <v>45.55</v>
      </c>
      <c r="J25" s="80">
        <f t="shared" si="1"/>
        <v>210.44</v>
      </c>
      <c r="K25" s="80">
        <f t="shared" si="2"/>
        <v>49.64</v>
      </c>
      <c r="L25" s="80">
        <f t="shared" si="3"/>
        <v>260.08</v>
      </c>
    </row>
    <row r="26" spans="2:12" ht="170.4" customHeight="1" x14ac:dyDescent="0.3">
      <c r="B26" s="93">
        <v>16</v>
      </c>
      <c r="C26" s="140" t="s">
        <v>21</v>
      </c>
      <c r="D26" s="141" t="s">
        <v>7</v>
      </c>
      <c r="E26" s="142" t="s">
        <v>160</v>
      </c>
      <c r="F26" s="72">
        <v>1165.92</v>
      </c>
      <c r="G26" s="66">
        <v>6.94</v>
      </c>
      <c r="H26" s="76">
        <f t="shared" si="0"/>
        <v>5.2050000000000001</v>
      </c>
      <c r="I26" s="72">
        <v>49.82</v>
      </c>
      <c r="J26" s="80">
        <f t="shared" si="1"/>
        <v>259.31</v>
      </c>
      <c r="K26" s="80">
        <f t="shared" si="2"/>
        <v>61.17</v>
      </c>
      <c r="L26" s="80">
        <f t="shared" si="3"/>
        <v>320.48</v>
      </c>
    </row>
    <row r="27" spans="2:12" ht="156" x14ac:dyDescent="0.3">
      <c r="B27" s="93">
        <v>17</v>
      </c>
      <c r="C27" s="140" t="s">
        <v>21</v>
      </c>
      <c r="D27" s="141" t="s">
        <v>8</v>
      </c>
      <c r="E27" s="142" t="s">
        <v>160</v>
      </c>
      <c r="F27" s="72">
        <v>979.44</v>
      </c>
      <c r="G27" s="66">
        <v>6.16</v>
      </c>
      <c r="H27" s="76">
        <f t="shared" si="0"/>
        <v>4.62</v>
      </c>
      <c r="I27" s="72">
        <v>33.68</v>
      </c>
      <c r="J27" s="80">
        <f t="shared" si="1"/>
        <v>155.6</v>
      </c>
      <c r="K27" s="80">
        <f t="shared" si="2"/>
        <v>36.71</v>
      </c>
      <c r="L27" s="80">
        <f t="shared" si="3"/>
        <v>192.31</v>
      </c>
    </row>
    <row r="28" spans="2:12" ht="109.2" customHeight="1" x14ac:dyDescent="0.3">
      <c r="B28" s="93">
        <v>18</v>
      </c>
      <c r="C28" s="140" t="s">
        <v>21</v>
      </c>
      <c r="D28" s="141" t="s">
        <v>7</v>
      </c>
      <c r="E28" s="142" t="s">
        <v>118</v>
      </c>
      <c r="F28" s="72">
        <v>916.67</v>
      </c>
      <c r="G28" s="66">
        <v>8.18</v>
      </c>
      <c r="H28" s="76">
        <f t="shared" si="0"/>
        <v>6.1349999999999998</v>
      </c>
      <c r="I28" s="72">
        <v>14</v>
      </c>
      <c r="J28" s="80">
        <f t="shared" si="1"/>
        <v>85.89</v>
      </c>
      <c r="K28" s="80">
        <f t="shared" si="2"/>
        <v>20.260000000000002</v>
      </c>
      <c r="L28" s="80">
        <f t="shared" si="3"/>
        <v>106.15</v>
      </c>
    </row>
    <row r="29" spans="2:12" ht="107.4" customHeight="1" x14ac:dyDescent="0.3">
      <c r="B29" s="93">
        <v>19</v>
      </c>
      <c r="C29" s="140" t="s">
        <v>21</v>
      </c>
      <c r="D29" s="141" t="s">
        <v>7</v>
      </c>
      <c r="E29" s="142" t="s">
        <v>118</v>
      </c>
      <c r="F29" s="76">
        <v>1375</v>
      </c>
      <c r="G29" s="66">
        <v>8.18</v>
      </c>
      <c r="H29" s="76">
        <f t="shared" si="0"/>
        <v>6.1349999999999998</v>
      </c>
      <c r="I29" s="72">
        <v>14.92</v>
      </c>
      <c r="J29" s="80">
        <f t="shared" si="1"/>
        <v>91.53</v>
      </c>
      <c r="K29" s="80">
        <f t="shared" si="2"/>
        <v>21.59</v>
      </c>
      <c r="L29" s="80">
        <f t="shared" si="3"/>
        <v>113.12</v>
      </c>
    </row>
    <row r="30" spans="2:12" ht="176.4" customHeight="1" x14ac:dyDescent="0.3">
      <c r="B30" s="93">
        <v>20</v>
      </c>
      <c r="C30" s="140" t="s">
        <v>21</v>
      </c>
      <c r="D30" s="141" t="s">
        <v>8</v>
      </c>
      <c r="E30" s="142" t="s">
        <v>160</v>
      </c>
      <c r="F30" s="72">
        <v>1090.32</v>
      </c>
      <c r="G30" s="66">
        <v>6.16</v>
      </c>
      <c r="H30" s="76">
        <f t="shared" si="0"/>
        <v>4.62</v>
      </c>
      <c r="I30" s="72">
        <v>19.670000000000002</v>
      </c>
      <c r="J30" s="80">
        <f t="shared" si="1"/>
        <v>90.88</v>
      </c>
      <c r="K30" s="80">
        <f>ROUND(J30*0.2194,2)</f>
        <v>19.940000000000001</v>
      </c>
      <c r="L30" s="80">
        <f t="shared" si="3"/>
        <v>110.82</v>
      </c>
    </row>
    <row r="31" spans="2:12" ht="156" x14ac:dyDescent="0.3">
      <c r="B31" s="93">
        <v>21</v>
      </c>
      <c r="C31" s="140" t="s">
        <v>21</v>
      </c>
      <c r="D31" s="141" t="s">
        <v>8</v>
      </c>
      <c r="E31" s="142" t="s">
        <v>160</v>
      </c>
      <c r="F31" s="72">
        <v>1034.8800000000001</v>
      </c>
      <c r="G31" s="66">
        <v>6.16</v>
      </c>
      <c r="H31" s="76">
        <f t="shared" si="0"/>
        <v>4.62</v>
      </c>
      <c r="I31" s="72">
        <v>46.67</v>
      </c>
      <c r="J31" s="80">
        <f t="shared" si="1"/>
        <v>215.62</v>
      </c>
      <c r="K31" s="80">
        <f>ROUND(J31*0.2194,2)</f>
        <v>47.31</v>
      </c>
      <c r="L31" s="80">
        <f t="shared" si="3"/>
        <v>262.93</v>
      </c>
    </row>
    <row r="32" spans="2:12" ht="96" x14ac:dyDescent="0.3">
      <c r="B32" s="93">
        <v>22</v>
      </c>
      <c r="C32" s="140" t="s">
        <v>21</v>
      </c>
      <c r="D32" s="141" t="s">
        <v>7</v>
      </c>
      <c r="E32" s="142" t="s">
        <v>118</v>
      </c>
      <c r="F32" s="72">
        <v>851.19</v>
      </c>
      <c r="G32" s="66">
        <v>8.18</v>
      </c>
      <c r="H32" s="76">
        <f t="shared" si="0"/>
        <v>6.1349999999999998</v>
      </c>
      <c r="I32" s="72">
        <v>3.3</v>
      </c>
      <c r="J32" s="80">
        <f t="shared" si="1"/>
        <v>20.25</v>
      </c>
      <c r="K32" s="80">
        <f t="shared" si="2"/>
        <v>4.78</v>
      </c>
      <c r="L32" s="80">
        <f t="shared" si="3"/>
        <v>25.03</v>
      </c>
    </row>
    <row r="33" spans="1:12" ht="156" x14ac:dyDescent="0.3">
      <c r="B33" s="93">
        <v>23</v>
      </c>
      <c r="C33" s="140" t="s">
        <v>21</v>
      </c>
      <c r="D33" s="141" t="s">
        <v>8</v>
      </c>
      <c r="E33" s="142" t="s">
        <v>160</v>
      </c>
      <c r="F33" s="72">
        <v>979.44</v>
      </c>
      <c r="G33" s="66">
        <v>6.16</v>
      </c>
      <c r="H33" s="76">
        <f t="shared" si="0"/>
        <v>4.62</v>
      </c>
      <c r="I33" s="72">
        <v>48.43</v>
      </c>
      <c r="J33" s="80">
        <f t="shared" si="1"/>
        <v>223.75</v>
      </c>
      <c r="K33" s="80">
        <f t="shared" si="2"/>
        <v>52.78</v>
      </c>
      <c r="L33" s="80">
        <f t="shared" si="3"/>
        <v>276.52999999999997</v>
      </c>
    </row>
    <row r="34" spans="1:12" ht="96" x14ac:dyDescent="0.3">
      <c r="B34" s="93">
        <v>24</v>
      </c>
      <c r="C34" s="140" t="s">
        <v>21</v>
      </c>
      <c r="D34" s="141" t="s">
        <v>7</v>
      </c>
      <c r="E34" s="142" t="s">
        <v>118</v>
      </c>
      <c r="F34" s="76">
        <v>416.4</v>
      </c>
      <c r="G34" s="66">
        <v>6.94</v>
      </c>
      <c r="H34" s="76">
        <f t="shared" si="0"/>
        <v>5.2050000000000001</v>
      </c>
      <c r="I34" s="72">
        <v>11.52</v>
      </c>
      <c r="J34" s="80">
        <f t="shared" si="1"/>
        <v>59.96</v>
      </c>
      <c r="K34" s="80">
        <f t="shared" si="2"/>
        <v>14.14</v>
      </c>
      <c r="L34" s="80">
        <f t="shared" si="3"/>
        <v>74.099999999999994</v>
      </c>
    </row>
    <row r="35" spans="1:12" ht="111" customHeight="1" x14ac:dyDescent="0.3">
      <c r="B35" s="93">
        <v>25</v>
      </c>
      <c r="C35" s="140" t="s">
        <v>21</v>
      </c>
      <c r="D35" s="141" t="s">
        <v>8</v>
      </c>
      <c r="E35" s="142" t="s">
        <v>161</v>
      </c>
      <c r="F35" s="72">
        <v>942.48</v>
      </c>
      <c r="G35" s="66">
        <v>6.16</v>
      </c>
      <c r="H35" s="76">
        <f t="shared" si="0"/>
        <v>4.62</v>
      </c>
      <c r="I35" s="72">
        <v>15.18</v>
      </c>
      <c r="J35" s="80">
        <f t="shared" si="1"/>
        <v>70.13</v>
      </c>
      <c r="K35" s="80">
        <f t="shared" si="2"/>
        <v>16.54</v>
      </c>
      <c r="L35" s="80">
        <f t="shared" si="3"/>
        <v>86.669999999999987</v>
      </c>
    </row>
    <row r="36" spans="1:12" ht="114.6" customHeight="1" x14ac:dyDescent="0.3">
      <c r="B36" s="93">
        <v>26</v>
      </c>
      <c r="C36" s="140" t="s">
        <v>21</v>
      </c>
      <c r="D36" s="141" t="s">
        <v>8</v>
      </c>
      <c r="E36" s="142" t="s">
        <v>118</v>
      </c>
      <c r="F36" s="76">
        <v>831.6</v>
      </c>
      <c r="G36" s="66">
        <v>6.16</v>
      </c>
      <c r="H36" s="76">
        <f t="shared" si="0"/>
        <v>4.62</v>
      </c>
      <c r="I36" s="72">
        <v>32.32</v>
      </c>
      <c r="J36" s="80">
        <f t="shared" si="1"/>
        <v>149.32</v>
      </c>
      <c r="K36" s="80">
        <f t="shared" si="2"/>
        <v>35.22</v>
      </c>
      <c r="L36" s="80">
        <f t="shared" si="3"/>
        <v>184.54</v>
      </c>
    </row>
    <row r="37" spans="1:12" ht="108" x14ac:dyDescent="0.3">
      <c r="B37" s="93">
        <v>27</v>
      </c>
      <c r="C37" s="140" t="s">
        <v>21</v>
      </c>
      <c r="D37" s="141" t="s">
        <v>8</v>
      </c>
      <c r="E37" s="142" t="s">
        <v>161</v>
      </c>
      <c r="F37" s="72">
        <v>591.36</v>
      </c>
      <c r="G37" s="66">
        <v>6.16</v>
      </c>
      <c r="H37" s="76">
        <f t="shared" si="0"/>
        <v>4.62</v>
      </c>
      <c r="I37" s="72">
        <v>10.33</v>
      </c>
      <c r="J37" s="80">
        <f t="shared" si="1"/>
        <v>47.72</v>
      </c>
      <c r="K37" s="80">
        <f t="shared" si="2"/>
        <v>11.26</v>
      </c>
      <c r="L37" s="80">
        <f t="shared" si="3"/>
        <v>58.98</v>
      </c>
    </row>
    <row r="38" spans="1:12" ht="96" x14ac:dyDescent="0.3">
      <c r="B38" s="93">
        <v>28</v>
      </c>
      <c r="C38" s="140" t="s">
        <v>21</v>
      </c>
      <c r="D38" s="141" t="s">
        <v>8</v>
      </c>
      <c r="E38" s="142" t="s">
        <v>118</v>
      </c>
      <c r="F38" s="72">
        <v>887.04</v>
      </c>
      <c r="G38" s="66">
        <v>6.16</v>
      </c>
      <c r="H38" s="76">
        <f t="shared" si="0"/>
        <v>4.62</v>
      </c>
      <c r="I38" s="72">
        <v>21.38</v>
      </c>
      <c r="J38" s="80">
        <f t="shared" si="1"/>
        <v>98.78</v>
      </c>
      <c r="K38" s="80">
        <f t="shared" si="2"/>
        <v>23.3</v>
      </c>
      <c r="L38" s="80">
        <f t="shared" si="3"/>
        <v>122.08</v>
      </c>
    </row>
    <row r="39" spans="1:12" x14ac:dyDescent="0.3">
      <c r="C39" s="143" t="s">
        <v>10</v>
      </c>
      <c r="D39" s="25"/>
      <c r="E39" s="64"/>
      <c r="F39" s="26"/>
      <c r="G39" s="5"/>
      <c r="H39" s="4"/>
      <c r="I39" s="16">
        <f t="shared" ref="I39:J39" si="4">SUM(I11:I38)</f>
        <v>670.81</v>
      </c>
      <c r="J39" s="27">
        <f t="shared" si="4"/>
        <v>3425.28</v>
      </c>
      <c r="K39" s="27">
        <f>SUM(K11:K38)</f>
        <v>796.12</v>
      </c>
      <c r="L39" s="27">
        <f>ROUND(SUM(L11:L38),2)</f>
        <v>4221.3999999999996</v>
      </c>
    </row>
    <row r="40" spans="1:12" x14ac:dyDescent="0.3">
      <c r="A40" s="8" t="s">
        <v>22</v>
      </c>
      <c r="B40" s="70" t="s">
        <v>23</v>
      </c>
      <c r="C40" s="139"/>
      <c r="D40" s="144"/>
      <c r="E40" s="74"/>
      <c r="F40" s="20"/>
      <c r="G40" s="6"/>
      <c r="H40" s="6"/>
      <c r="I40" s="19"/>
      <c r="J40" s="46"/>
      <c r="K40" s="46"/>
      <c r="L40" s="47"/>
    </row>
    <row r="41" spans="1:12" x14ac:dyDescent="0.3">
      <c r="B41" s="200">
        <v>1</v>
      </c>
      <c r="C41" s="145" t="s">
        <v>24</v>
      </c>
      <c r="D41" s="146" t="s">
        <v>25</v>
      </c>
      <c r="E41" s="63" t="s">
        <v>26</v>
      </c>
      <c r="F41" s="17">
        <v>960</v>
      </c>
      <c r="G41" s="66">
        <v>5.7342000000000004</v>
      </c>
      <c r="H41" s="66">
        <v>4.3007</v>
      </c>
      <c r="I41" s="72">
        <v>25</v>
      </c>
      <c r="J41" s="80">
        <v>107.51</v>
      </c>
      <c r="K41" s="80">
        <v>24.65</v>
      </c>
      <c r="L41" s="80">
        <f>SUM(J41:K41)</f>
        <v>132.16</v>
      </c>
    </row>
    <row r="42" spans="1:12" x14ac:dyDescent="0.3">
      <c r="B42" s="201">
        <v>2</v>
      </c>
      <c r="C42" s="25" t="s">
        <v>24</v>
      </c>
      <c r="D42" s="146" t="s">
        <v>27</v>
      </c>
      <c r="E42" s="63" t="s">
        <v>26</v>
      </c>
      <c r="F42" s="17">
        <v>930</v>
      </c>
      <c r="G42" s="66">
        <v>5.5549999999999997</v>
      </c>
      <c r="H42" s="66">
        <v>4.1662999999999997</v>
      </c>
      <c r="I42" s="72">
        <v>70</v>
      </c>
      <c r="J42" s="80">
        <v>291.64</v>
      </c>
      <c r="K42" s="80">
        <v>68.8</v>
      </c>
      <c r="L42" s="80">
        <f>SUM(J42:K42)</f>
        <v>360.44</v>
      </c>
    </row>
    <row r="43" spans="1:12" x14ac:dyDescent="0.3">
      <c r="B43" s="201"/>
      <c r="C43" s="143" t="s">
        <v>10</v>
      </c>
      <c r="D43" s="146"/>
      <c r="E43" s="63"/>
      <c r="F43" s="17"/>
      <c r="G43" s="5"/>
      <c r="H43" s="5"/>
      <c r="I43" s="22">
        <f>SUM(I41:I42)</f>
        <v>95</v>
      </c>
      <c r="J43" s="27">
        <f>SUM(J41:J42)</f>
        <v>399.15</v>
      </c>
      <c r="K43" s="27">
        <f>SUM(K41:K42)</f>
        <v>93.449999999999989</v>
      </c>
      <c r="L43" s="21">
        <f>ROUND(SUM(L41:L42),2)</f>
        <v>492.6</v>
      </c>
    </row>
    <row r="44" spans="1:12" x14ac:dyDescent="0.3">
      <c r="A44" s="8" t="s">
        <v>28</v>
      </c>
      <c r="B44" s="70" t="s">
        <v>162</v>
      </c>
      <c r="C44" s="139"/>
      <c r="D44" s="144"/>
      <c r="E44" s="78"/>
      <c r="F44" s="37"/>
      <c r="G44" s="7"/>
      <c r="H44" s="7"/>
      <c r="I44" s="36"/>
      <c r="J44" s="48"/>
      <c r="K44" s="48"/>
      <c r="L44" s="49"/>
    </row>
    <row r="45" spans="1:12" ht="72" x14ac:dyDescent="0.3">
      <c r="B45" s="200">
        <v>1</v>
      </c>
      <c r="C45" s="145" t="s">
        <v>29</v>
      </c>
      <c r="D45" s="147" t="s">
        <v>7</v>
      </c>
      <c r="E45" s="127" t="s">
        <v>30</v>
      </c>
      <c r="F45" s="65">
        <v>1190</v>
      </c>
      <c r="G45" s="65">
        <f>ROUND(F45/168,2)</f>
        <v>7.08</v>
      </c>
      <c r="H45" s="65">
        <f>ROUND(G45*0.75,2)</f>
        <v>5.31</v>
      </c>
      <c r="I45" s="72">
        <v>4</v>
      </c>
      <c r="J45" s="77">
        <f>H45*I45</f>
        <v>21.24</v>
      </c>
      <c r="K45" s="77">
        <f>ROUND(J45*0.2359,2)</f>
        <v>5.01</v>
      </c>
      <c r="L45" s="77">
        <f>J45+K45</f>
        <v>26.25</v>
      </c>
    </row>
    <row r="46" spans="1:12" ht="72" x14ac:dyDescent="0.3">
      <c r="B46" s="201">
        <v>2</v>
      </c>
      <c r="C46" s="145" t="s">
        <v>29</v>
      </c>
      <c r="D46" s="147" t="s">
        <v>8</v>
      </c>
      <c r="E46" s="127" t="s">
        <v>30</v>
      </c>
      <c r="F46" s="65">
        <v>1093</v>
      </c>
      <c r="G46" s="65">
        <f t="shared" ref="G46:G62" si="5">ROUND(F46/168,2)</f>
        <v>6.51</v>
      </c>
      <c r="H46" s="65">
        <f t="shared" ref="H46:H62" si="6">ROUND(G46*0.75,2)</f>
        <v>4.88</v>
      </c>
      <c r="I46" s="72">
        <v>13</v>
      </c>
      <c r="J46" s="77">
        <f t="shared" ref="J46:J62" si="7">H46*I46</f>
        <v>63.44</v>
      </c>
      <c r="K46" s="77">
        <f t="shared" ref="K46:K62" si="8">ROUND(J46*0.2359,2)</f>
        <v>14.97</v>
      </c>
      <c r="L46" s="77">
        <f t="shared" ref="L46:L62" si="9">J46+K46</f>
        <v>78.41</v>
      </c>
    </row>
    <row r="47" spans="1:12" ht="72" x14ac:dyDescent="0.3">
      <c r="B47" s="201">
        <v>3</v>
      </c>
      <c r="C47" s="145" t="s">
        <v>29</v>
      </c>
      <c r="D47" s="147" t="s">
        <v>8</v>
      </c>
      <c r="E47" s="127" t="s">
        <v>30</v>
      </c>
      <c r="F47" s="65">
        <v>1093</v>
      </c>
      <c r="G47" s="65">
        <f t="shared" si="5"/>
        <v>6.51</v>
      </c>
      <c r="H47" s="65">
        <f t="shared" si="6"/>
        <v>4.88</v>
      </c>
      <c r="I47" s="72">
        <v>10</v>
      </c>
      <c r="J47" s="77">
        <f t="shared" si="7"/>
        <v>48.8</v>
      </c>
      <c r="K47" s="77">
        <f t="shared" si="8"/>
        <v>11.51</v>
      </c>
      <c r="L47" s="77">
        <f t="shared" si="9"/>
        <v>60.309999999999995</v>
      </c>
    </row>
    <row r="48" spans="1:12" ht="72" x14ac:dyDescent="0.3">
      <c r="B48" s="201">
        <v>4</v>
      </c>
      <c r="C48" s="145" t="s">
        <v>29</v>
      </c>
      <c r="D48" s="147" t="s">
        <v>8</v>
      </c>
      <c r="E48" s="127" t="s">
        <v>30</v>
      </c>
      <c r="F48" s="65">
        <v>1093</v>
      </c>
      <c r="G48" s="65">
        <f t="shared" si="5"/>
        <v>6.51</v>
      </c>
      <c r="H48" s="65">
        <f t="shared" si="6"/>
        <v>4.88</v>
      </c>
      <c r="I48" s="72">
        <v>24</v>
      </c>
      <c r="J48" s="77">
        <f t="shared" si="7"/>
        <v>117.12</v>
      </c>
      <c r="K48" s="77">
        <f t="shared" si="8"/>
        <v>27.63</v>
      </c>
      <c r="L48" s="77">
        <f t="shared" si="9"/>
        <v>144.75</v>
      </c>
    </row>
    <row r="49" spans="1:12" ht="72" x14ac:dyDescent="0.3">
      <c r="B49" s="201">
        <v>5</v>
      </c>
      <c r="C49" s="145" t="s">
        <v>29</v>
      </c>
      <c r="D49" s="147" t="s">
        <v>8</v>
      </c>
      <c r="E49" s="127" t="s">
        <v>30</v>
      </c>
      <c r="F49" s="65">
        <v>1093</v>
      </c>
      <c r="G49" s="65">
        <f t="shared" si="5"/>
        <v>6.51</v>
      </c>
      <c r="H49" s="65">
        <f t="shared" si="6"/>
        <v>4.88</v>
      </c>
      <c r="I49" s="72">
        <v>24</v>
      </c>
      <c r="J49" s="77">
        <f t="shared" si="7"/>
        <v>117.12</v>
      </c>
      <c r="K49" s="77">
        <f t="shared" si="8"/>
        <v>27.63</v>
      </c>
      <c r="L49" s="77">
        <f t="shared" si="9"/>
        <v>144.75</v>
      </c>
    </row>
    <row r="50" spans="1:12" ht="72" x14ac:dyDescent="0.3">
      <c r="B50" s="201">
        <v>6</v>
      </c>
      <c r="C50" s="145" t="s">
        <v>29</v>
      </c>
      <c r="D50" s="147" t="s">
        <v>8</v>
      </c>
      <c r="E50" s="127" t="s">
        <v>30</v>
      </c>
      <c r="F50" s="65">
        <v>1093</v>
      </c>
      <c r="G50" s="65">
        <f t="shared" si="5"/>
        <v>6.51</v>
      </c>
      <c r="H50" s="65">
        <f t="shared" si="6"/>
        <v>4.88</v>
      </c>
      <c r="I50" s="72">
        <v>21</v>
      </c>
      <c r="J50" s="77">
        <f t="shared" si="7"/>
        <v>102.48</v>
      </c>
      <c r="K50" s="77">
        <f t="shared" si="8"/>
        <v>24.18</v>
      </c>
      <c r="L50" s="77">
        <f t="shared" si="9"/>
        <v>126.66</v>
      </c>
    </row>
    <row r="51" spans="1:12" ht="72" x14ac:dyDescent="0.3">
      <c r="B51" s="201">
        <v>7</v>
      </c>
      <c r="C51" s="145" t="s">
        <v>29</v>
      </c>
      <c r="D51" s="147" t="s">
        <v>8</v>
      </c>
      <c r="E51" s="127" t="s">
        <v>30</v>
      </c>
      <c r="F51" s="65">
        <v>1093</v>
      </c>
      <c r="G51" s="65">
        <f t="shared" si="5"/>
        <v>6.51</v>
      </c>
      <c r="H51" s="65">
        <f t="shared" si="6"/>
        <v>4.88</v>
      </c>
      <c r="I51" s="72">
        <v>20</v>
      </c>
      <c r="J51" s="77">
        <f t="shared" si="7"/>
        <v>97.6</v>
      </c>
      <c r="K51" s="77">
        <f t="shared" si="8"/>
        <v>23.02</v>
      </c>
      <c r="L51" s="77">
        <f t="shared" si="9"/>
        <v>120.61999999999999</v>
      </c>
    </row>
    <row r="52" spans="1:12" ht="72" x14ac:dyDescent="0.3">
      <c r="B52" s="201">
        <v>8</v>
      </c>
      <c r="C52" s="145" t="s">
        <v>29</v>
      </c>
      <c r="D52" s="147" t="s">
        <v>8</v>
      </c>
      <c r="E52" s="127" t="s">
        <v>30</v>
      </c>
      <c r="F52" s="65">
        <v>1093</v>
      </c>
      <c r="G52" s="65">
        <f t="shared" si="5"/>
        <v>6.51</v>
      </c>
      <c r="H52" s="65">
        <f t="shared" si="6"/>
        <v>4.88</v>
      </c>
      <c r="I52" s="72">
        <v>26</v>
      </c>
      <c r="J52" s="77">
        <f t="shared" si="7"/>
        <v>126.88</v>
      </c>
      <c r="K52" s="77">
        <f t="shared" si="8"/>
        <v>29.93</v>
      </c>
      <c r="L52" s="77">
        <f t="shared" si="9"/>
        <v>156.81</v>
      </c>
    </row>
    <row r="53" spans="1:12" ht="72" x14ac:dyDescent="0.3">
      <c r="B53" s="201">
        <v>9</v>
      </c>
      <c r="C53" s="145" t="s">
        <v>29</v>
      </c>
      <c r="D53" s="147" t="s">
        <v>8</v>
      </c>
      <c r="E53" s="127" t="s">
        <v>30</v>
      </c>
      <c r="F53" s="65">
        <v>1093</v>
      </c>
      <c r="G53" s="65">
        <f t="shared" si="5"/>
        <v>6.51</v>
      </c>
      <c r="H53" s="65">
        <f t="shared" si="6"/>
        <v>4.88</v>
      </c>
      <c r="I53" s="72">
        <v>12</v>
      </c>
      <c r="J53" s="77">
        <f t="shared" si="7"/>
        <v>58.56</v>
      </c>
      <c r="K53" s="77">
        <f t="shared" si="8"/>
        <v>13.81</v>
      </c>
      <c r="L53" s="77">
        <f t="shared" si="9"/>
        <v>72.37</v>
      </c>
    </row>
    <row r="54" spans="1:12" ht="72" x14ac:dyDescent="0.3">
      <c r="B54" s="201">
        <v>10</v>
      </c>
      <c r="C54" s="145" t="s">
        <v>29</v>
      </c>
      <c r="D54" s="147" t="s">
        <v>8</v>
      </c>
      <c r="E54" s="127" t="s">
        <v>30</v>
      </c>
      <c r="F54" s="65">
        <v>1093</v>
      </c>
      <c r="G54" s="65">
        <f t="shared" si="5"/>
        <v>6.51</v>
      </c>
      <c r="H54" s="65">
        <f t="shared" si="6"/>
        <v>4.88</v>
      </c>
      <c r="I54" s="72">
        <v>11</v>
      </c>
      <c r="J54" s="77">
        <f t="shared" si="7"/>
        <v>53.68</v>
      </c>
      <c r="K54" s="77">
        <f t="shared" si="8"/>
        <v>12.66</v>
      </c>
      <c r="L54" s="77">
        <f t="shared" si="9"/>
        <v>66.34</v>
      </c>
    </row>
    <row r="55" spans="1:12" ht="72" x14ac:dyDescent="0.3">
      <c r="B55" s="201">
        <v>11</v>
      </c>
      <c r="C55" s="145" t="s">
        <v>29</v>
      </c>
      <c r="D55" s="147" t="s">
        <v>7</v>
      </c>
      <c r="E55" s="127" t="s">
        <v>30</v>
      </c>
      <c r="F55" s="65">
        <v>1190</v>
      </c>
      <c r="G55" s="65">
        <f t="shared" si="5"/>
        <v>7.08</v>
      </c>
      <c r="H55" s="65">
        <f t="shared" si="6"/>
        <v>5.31</v>
      </c>
      <c r="I55" s="72">
        <v>7</v>
      </c>
      <c r="J55" s="77">
        <f t="shared" si="7"/>
        <v>37.169999999999995</v>
      </c>
      <c r="K55" s="77">
        <f t="shared" si="8"/>
        <v>8.77</v>
      </c>
      <c r="L55" s="77">
        <f t="shared" si="9"/>
        <v>45.94</v>
      </c>
    </row>
    <row r="56" spans="1:12" ht="72" x14ac:dyDescent="0.3">
      <c r="B56" s="201">
        <v>12</v>
      </c>
      <c r="C56" s="145" t="s">
        <v>29</v>
      </c>
      <c r="D56" s="147" t="s">
        <v>8</v>
      </c>
      <c r="E56" s="127" t="s">
        <v>30</v>
      </c>
      <c r="F56" s="65">
        <v>1093</v>
      </c>
      <c r="G56" s="65">
        <f t="shared" si="5"/>
        <v>6.51</v>
      </c>
      <c r="H56" s="65">
        <f t="shared" si="6"/>
        <v>4.88</v>
      </c>
      <c r="I56" s="72">
        <v>10</v>
      </c>
      <c r="J56" s="77">
        <f t="shared" si="7"/>
        <v>48.8</v>
      </c>
      <c r="K56" s="77">
        <f t="shared" si="8"/>
        <v>11.51</v>
      </c>
      <c r="L56" s="77">
        <f t="shared" si="9"/>
        <v>60.309999999999995</v>
      </c>
    </row>
    <row r="57" spans="1:12" ht="72" x14ac:dyDescent="0.3">
      <c r="B57" s="201">
        <v>13</v>
      </c>
      <c r="C57" s="145" t="s">
        <v>29</v>
      </c>
      <c r="D57" s="147" t="s">
        <v>8</v>
      </c>
      <c r="E57" s="127" t="s">
        <v>30</v>
      </c>
      <c r="F57" s="65">
        <v>1093</v>
      </c>
      <c r="G57" s="65">
        <f t="shared" si="5"/>
        <v>6.51</v>
      </c>
      <c r="H57" s="65">
        <f t="shared" si="6"/>
        <v>4.88</v>
      </c>
      <c r="I57" s="72">
        <v>7</v>
      </c>
      <c r="J57" s="77">
        <f t="shared" si="7"/>
        <v>34.159999999999997</v>
      </c>
      <c r="K57" s="77">
        <f t="shared" si="8"/>
        <v>8.06</v>
      </c>
      <c r="L57" s="77">
        <f t="shared" si="9"/>
        <v>42.22</v>
      </c>
    </row>
    <row r="58" spans="1:12" ht="72" x14ac:dyDescent="0.3">
      <c r="B58" s="201">
        <v>14</v>
      </c>
      <c r="C58" s="145" t="s">
        <v>29</v>
      </c>
      <c r="D58" s="147" t="s">
        <v>8</v>
      </c>
      <c r="E58" s="127" t="s">
        <v>30</v>
      </c>
      <c r="F58" s="65">
        <v>1093</v>
      </c>
      <c r="G58" s="65">
        <f t="shared" si="5"/>
        <v>6.51</v>
      </c>
      <c r="H58" s="65">
        <f t="shared" si="6"/>
        <v>4.88</v>
      </c>
      <c r="I58" s="72">
        <v>4</v>
      </c>
      <c r="J58" s="77">
        <f t="shared" si="7"/>
        <v>19.52</v>
      </c>
      <c r="K58" s="77">
        <f t="shared" si="8"/>
        <v>4.5999999999999996</v>
      </c>
      <c r="L58" s="77">
        <f t="shared" si="9"/>
        <v>24.119999999999997</v>
      </c>
    </row>
    <row r="59" spans="1:12" ht="72" x14ac:dyDescent="0.3">
      <c r="B59" s="201">
        <v>15</v>
      </c>
      <c r="C59" s="145" t="s">
        <v>29</v>
      </c>
      <c r="D59" s="147" t="s">
        <v>8</v>
      </c>
      <c r="E59" s="127" t="s">
        <v>30</v>
      </c>
      <c r="F59" s="65">
        <v>1093</v>
      </c>
      <c r="G59" s="65">
        <f t="shared" si="5"/>
        <v>6.51</v>
      </c>
      <c r="H59" s="65">
        <f t="shared" si="6"/>
        <v>4.88</v>
      </c>
      <c r="I59" s="72">
        <v>4</v>
      </c>
      <c r="J59" s="77">
        <f t="shared" si="7"/>
        <v>19.52</v>
      </c>
      <c r="K59" s="77">
        <f t="shared" si="8"/>
        <v>4.5999999999999996</v>
      </c>
      <c r="L59" s="77">
        <f t="shared" si="9"/>
        <v>24.119999999999997</v>
      </c>
    </row>
    <row r="60" spans="1:12" ht="72" x14ac:dyDescent="0.3">
      <c r="B60" s="201">
        <v>16</v>
      </c>
      <c r="C60" s="145" t="s">
        <v>29</v>
      </c>
      <c r="D60" s="147" t="s">
        <v>8</v>
      </c>
      <c r="E60" s="127" t="s">
        <v>30</v>
      </c>
      <c r="F60" s="65">
        <v>1093</v>
      </c>
      <c r="G60" s="65">
        <f t="shared" si="5"/>
        <v>6.51</v>
      </c>
      <c r="H60" s="65">
        <f t="shared" si="6"/>
        <v>4.88</v>
      </c>
      <c r="I60" s="72">
        <v>3</v>
      </c>
      <c r="J60" s="77">
        <f t="shared" si="7"/>
        <v>14.64</v>
      </c>
      <c r="K60" s="77">
        <f t="shared" si="8"/>
        <v>3.45</v>
      </c>
      <c r="L60" s="77">
        <f t="shared" si="9"/>
        <v>18.09</v>
      </c>
    </row>
    <row r="61" spans="1:12" ht="72" x14ac:dyDescent="0.3">
      <c r="B61" s="201">
        <v>17</v>
      </c>
      <c r="C61" s="145" t="s">
        <v>29</v>
      </c>
      <c r="D61" s="147" t="s">
        <v>8</v>
      </c>
      <c r="E61" s="127" t="s">
        <v>30</v>
      </c>
      <c r="F61" s="65">
        <v>1093</v>
      </c>
      <c r="G61" s="65">
        <f t="shared" si="5"/>
        <v>6.51</v>
      </c>
      <c r="H61" s="65">
        <f t="shared" si="6"/>
        <v>4.88</v>
      </c>
      <c r="I61" s="72">
        <v>2</v>
      </c>
      <c r="J61" s="77">
        <f t="shared" si="7"/>
        <v>9.76</v>
      </c>
      <c r="K61" s="77">
        <f t="shared" si="8"/>
        <v>2.2999999999999998</v>
      </c>
      <c r="L61" s="77">
        <f t="shared" si="9"/>
        <v>12.059999999999999</v>
      </c>
    </row>
    <row r="62" spans="1:12" ht="72" x14ac:dyDescent="0.3">
      <c r="B62" s="201">
        <v>18</v>
      </c>
      <c r="C62" s="145" t="s">
        <v>29</v>
      </c>
      <c r="D62" s="147" t="s">
        <v>8</v>
      </c>
      <c r="E62" s="127" t="s">
        <v>30</v>
      </c>
      <c r="F62" s="65">
        <v>1093</v>
      </c>
      <c r="G62" s="65">
        <f t="shared" si="5"/>
        <v>6.51</v>
      </c>
      <c r="H62" s="65">
        <f t="shared" si="6"/>
        <v>4.88</v>
      </c>
      <c r="I62" s="72">
        <v>2</v>
      </c>
      <c r="J62" s="77">
        <f t="shared" si="7"/>
        <v>9.76</v>
      </c>
      <c r="K62" s="77">
        <f t="shared" si="8"/>
        <v>2.2999999999999998</v>
      </c>
      <c r="L62" s="77">
        <f t="shared" si="9"/>
        <v>12.059999999999999</v>
      </c>
    </row>
    <row r="63" spans="1:12" x14ac:dyDescent="0.3">
      <c r="C63" s="143" t="s">
        <v>10</v>
      </c>
      <c r="D63" s="147"/>
      <c r="E63" s="63"/>
      <c r="F63" s="17"/>
      <c r="G63" s="5"/>
      <c r="H63" s="5"/>
      <c r="I63" s="22">
        <f>SUM(I45:I62)</f>
        <v>204</v>
      </c>
      <c r="J63" s="27">
        <f>SUM(J45:J62)</f>
        <v>1000.2499999999998</v>
      </c>
      <c r="K63" s="27">
        <f>SUM(K45:K62)</f>
        <v>235.94000000000003</v>
      </c>
      <c r="L63" s="21">
        <f>ROUND(SUM(L45:L62),2)</f>
        <v>1236.19</v>
      </c>
    </row>
    <row r="64" spans="1:12" x14ac:dyDescent="0.3">
      <c r="A64" s="8" t="s">
        <v>31</v>
      </c>
      <c r="B64" s="202" t="s">
        <v>36</v>
      </c>
      <c r="C64" s="148"/>
      <c r="D64" s="148"/>
      <c r="E64" s="79"/>
      <c r="F64" s="50"/>
      <c r="G64" s="7"/>
      <c r="H64" s="7"/>
      <c r="I64" s="36"/>
      <c r="J64" s="48"/>
      <c r="K64" s="48"/>
      <c r="L64" s="49"/>
    </row>
    <row r="65" spans="1:12" ht="36" x14ac:dyDescent="0.3">
      <c r="B65" s="201">
        <v>1</v>
      </c>
      <c r="C65" s="25" t="s">
        <v>37</v>
      </c>
      <c r="D65" s="149" t="s">
        <v>38</v>
      </c>
      <c r="E65" s="150" t="s">
        <v>39</v>
      </c>
      <c r="F65" s="9">
        <v>800</v>
      </c>
      <c r="G65" s="9">
        <f>F65/168.17</f>
        <v>4.7570910388297563</v>
      </c>
      <c r="H65" s="9">
        <f t="shared" ref="H65:H74" si="10">G65*0.75</f>
        <v>3.5678182791223172</v>
      </c>
      <c r="I65" s="9">
        <v>8.25</v>
      </c>
      <c r="J65" s="151">
        <f t="shared" ref="J65:J74" si="11">I65*H65</f>
        <v>29.434500802759118</v>
      </c>
      <c r="K65" s="151">
        <f t="shared" ref="K65:K74" si="12">J65*23.59%</f>
        <v>6.9435987393708762</v>
      </c>
      <c r="L65" s="151">
        <f t="shared" ref="L65:L74" si="13">K65+J65</f>
        <v>36.378099542129995</v>
      </c>
    </row>
    <row r="66" spans="1:12" ht="36" x14ac:dyDescent="0.3">
      <c r="B66" s="201">
        <v>2</v>
      </c>
      <c r="C66" s="25" t="s">
        <v>37</v>
      </c>
      <c r="D66" s="149" t="s">
        <v>38</v>
      </c>
      <c r="E66" s="150" t="s">
        <v>39</v>
      </c>
      <c r="F66" s="9">
        <v>800</v>
      </c>
      <c r="G66" s="9">
        <f t="shared" ref="G66:G74" si="14">F66/168.17</f>
        <v>4.7570910388297563</v>
      </c>
      <c r="H66" s="9">
        <f t="shared" si="10"/>
        <v>3.5678182791223172</v>
      </c>
      <c r="I66" s="9">
        <v>9</v>
      </c>
      <c r="J66" s="151">
        <f t="shared" si="11"/>
        <v>32.110364512100858</v>
      </c>
      <c r="K66" s="151">
        <f t="shared" si="12"/>
        <v>7.574834988404592</v>
      </c>
      <c r="L66" s="151">
        <f t="shared" si="13"/>
        <v>39.685199500505448</v>
      </c>
    </row>
    <row r="67" spans="1:12" ht="36" x14ac:dyDescent="0.3">
      <c r="B67" s="201">
        <v>3</v>
      </c>
      <c r="C67" s="25" t="s">
        <v>37</v>
      </c>
      <c r="D67" s="149" t="s">
        <v>38</v>
      </c>
      <c r="E67" s="150" t="s">
        <v>39</v>
      </c>
      <c r="F67" s="9">
        <v>800</v>
      </c>
      <c r="G67" s="9">
        <f t="shared" si="14"/>
        <v>4.7570910388297563</v>
      </c>
      <c r="H67" s="9">
        <f t="shared" si="10"/>
        <v>3.5678182791223172</v>
      </c>
      <c r="I67" s="9">
        <v>13.12</v>
      </c>
      <c r="J67" s="151">
        <f t="shared" si="11"/>
        <v>46.809775822084802</v>
      </c>
      <c r="K67" s="151">
        <f t="shared" si="12"/>
        <v>11.042426116429805</v>
      </c>
      <c r="L67" s="151">
        <f t="shared" si="13"/>
        <v>57.852201938514611</v>
      </c>
    </row>
    <row r="68" spans="1:12" ht="36" x14ac:dyDescent="0.3">
      <c r="B68" s="201">
        <v>4</v>
      </c>
      <c r="C68" s="25" t="s">
        <v>37</v>
      </c>
      <c r="D68" s="149" t="s">
        <v>38</v>
      </c>
      <c r="E68" s="150" t="s">
        <v>39</v>
      </c>
      <c r="F68" s="9">
        <v>800</v>
      </c>
      <c r="G68" s="9">
        <f t="shared" si="14"/>
        <v>4.7570910388297563</v>
      </c>
      <c r="H68" s="9">
        <f t="shared" si="10"/>
        <v>3.5678182791223172</v>
      </c>
      <c r="I68" s="9">
        <v>3.21</v>
      </c>
      <c r="J68" s="151">
        <f t="shared" si="11"/>
        <v>11.452696675982638</v>
      </c>
      <c r="K68" s="151">
        <f t="shared" si="12"/>
        <v>2.7016911458643045</v>
      </c>
      <c r="L68" s="151">
        <f t="shared" si="13"/>
        <v>14.154387821846942</v>
      </c>
    </row>
    <row r="69" spans="1:12" ht="36" x14ac:dyDescent="0.3">
      <c r="B69" s="201">
        <v>5</v>
      </c>
      <c r="C69" s="25" t="s">
        <v>37</v>
      </c>
      <c r="D69" s="149" t="s">
        <v>38</v>
      </c>
      <c r="E69" s="150" t="s">
        <v>39</v>
      </c>
      <c r="F69" s="9">
        <v>800</v>
      </c>
      <c r="G69" s="9">
        <f t="shared" si="14"/>
        <v>4.7570910388297563</v>
      </c>
      <c r="H69" s="9">
        <f t="shared" si="10"/>
        <v>3.5678182791223172</v>
      </c>
      <c r="I69" s="9">
        <v>14.3</v>
      </c>
      <c r="J69" s="151">
        <f t="shared" si="11"/>
        <v>51.019801391449136</v>
      </c>
      <c r="K69" s="151">
        <f t="shared" si="12"/>
        <v>12.035571148242852</v>
      </c>
      <c r="L69" s="151">
        <f t="shared" si="13"/>
        <v>63.055372539691987</v>
      </c>
    </row>
    <row r="70" spans="1:12" ht="36" x14ac:dyDescent="0.3">
      <c r="B70" s="201">
        <v>6</v>
      </c>
      <c r="C70" s="25" t="s">
        <v>37</v>
      </c>
      <c r="D70" s="149" t="s">
        <v>38</v>
      </c>
      <c r="E70" s="150" t="s">
        <v>163</v>
      </c>
      <c r="F70" s="9">
        <v>800</v>
      </c>
      <c r="G70" s="9">
        <f t="shared" si="14"/>
        <v>4.7570910388297563</v>
      </c>
      <c r="H70" s="9">
        <f t="shared" si="10"/>
        <v>3.5678182791223172</v>
      </c>
      <c r="I70" s="9">
        <v>207.5</v>
      </c>
      <c r="J70" s="151">
        <f t="shared" si="11"/>
        <v>740.32229291788087</v>
      </c>
      <c r="K70" s="151">
        <f t="shared" si="12"/>
        <v>174.6420288993281</v>
      </c>
      <c r="L70" s="151">
        <f t="shared" si="13"/>
        <v>914.964321817209</v>
      </c>
    </row>
    <row r="71" spans="1:12" ht="36" x14ac:dyDescent="0.3">
      <c r="B71" s="201">
        <v>7</v>
      </c>
      <c r="C71" s="25" t="s">
        <v>37</v>
      </c>
      <c r="D71" s="149" t="s">
        <v>38</v>
      </c>
      <c r="E71" s="150" t="s">
        <v>163</v>
      </c>
      <c r="F71" s="9">
        <v>800</v>
      </c>
      <c r="G71" s="9">
        <f t="shared" si="14"/>
        <v>4.7570910388297563</v>
      </c>
      <c r="H71" s="9">
        <f t="shared" si="10"/>
        <v>3.5678182791223172</v>
      </c>
      <c r="I71" s="9">
        <v>192</v>
      </c>
      <c r="J71" s="151">
        <f t="shared" si="11"/>
        <v>685.0211095914849</v>
      </c>
      <c r="K71" s="151">
        <f t="shared" si="12"/>
        <v>161.5964797526313</v>
      </c>
      <c r="L71" s="151">
        <f t="shared" si="13"/>
        <v>846.61758934411614</v>
      </c>
    </row>
    <row r="72" spans="1:12" ht="36" x14ac:dyDescent="0.3">
      <c r="B72" s="201">
        <v>8</v>
      </c>
      <c r="C72" s="25" t="s">
        <v>37</v>
      </c>
      <c r="D72" s="149" t="s">
        <v>38</v>
      </c>
      <c r="E72" s="150" t="s">
        <v>163</v>
      </c>
      <c r="F72" s="9">
        <v>800</v>
      </c>
      <c r="G72" s="9">
        <f t="shared" si="14"/>
        <v>4.7570910388297563</v>
      </c>
      <c r="H72" s="9">
        <f t="shared" si="10"/>
        <v>3.5678182791223172</v>
      </c>
      <c r="I72" s="9">
        <v>168</v>
      </c>
      <c r="J72" s="151">
        <f t="shared" si="11"/>
        <v>599.39347089254932</v>
      </c>
      <c r="K72" s="151">
        <f t="shared" si="12"/>
        <v>141.39691978355239</v>
      </c>
      <c r="L72" s="151">
        <f t="shared" si="13"/>
        <v>740.79039067610165</v>
      </c>
    </row>
    <row r="73" spans="1:12" ht="36" x14ac:dyDescent="0.3">
      <c r="B73" s="201">
        <v>9</v>
      </c>
      <c r="C73" s="25" t="s">
        <v>37</v>
      </c>
      <c r="D73" s="149" t="s">
        <v>40</v>
      </c>
      <c r="E73" s="150" t="s">
        <v>39</v>
      </c>
      <c r="F73" s="9">
        <v>755</v>
      </c>
      <c r="G73" s="9">
        <f t="shared" si="14"/>
        <v>4.4895046678955826</v>
      </c>
      <c r="H73" s="9">
        <f t="shared" si="10"/>
        <v>3.3671285009216869</v>
      </c>
      <c r="I73" s="9">
        <v>2.15</v>
      </c>
      <c r="J73" s="151">
        <f t="shared" si="11"/>
        <v>7.2393262769816262</v>
      </c>
      <c r="K73" s="151">
        <f t="shared" si="12"/>
        <v>1.7077570687399657</v>
      </c>
      <c r="L73" s="151">
        <f t="shared" si="13"/>
        <v>8.947083345721591</v>
      </c>
    </row>
    <row r="74" spans="1:12" ht="36" x14ac:dyDescent="0.3">
      <c r="B74" s="201">
        <v>10</v>
      </c>
      <c r="C74" s="25" t="s">
        <v>37</v>
      </c>
      <c r="D74" s="149" t="s">
        <v>40</v>
      </c>
      <c r="E74" s="150" t="s">
        <v>163</v>
      </c>
      <c r="F74" s="9">
        <v>755</v>
      </c>
      <c r="G74" s="9">
        <f t="shared" si="14"/>
        <v>4.4895046678955826</v>
      </c>
      <c r="H74" s="9">
        <f t="shared" si="10"/>
        <v>3.3671285009216869</v>
      </c>
      <c r="I74" s="9">
        <v>152.5</v>
      </c>
      <c r="J74" s="151">
        <f t="shared" si="11"/>
        <v>513.48709639055721</v>
      </c>
      <c r="K74" s="151">
        <f t="shared" si="12"/>
        <v>121.13160603853244</v>
      </c>
      <c r="L74" s="151">
        <f t="shared" si="13"/>
        <v>634.61870242908969</v>
      </c>
    </row>
    <row r="75" spans="1:12" x14ac:dyDescent="0.3">
      <c r="C75" s="143" t="s">
        <v>10</v>
      </c>
      <c r="D75" s="25"/>
      <c r="E75" s="23"/>
      <c r="F75" s="26"/>
      <c r="G75" s="9"/>
      <c r="H75" s="9"/>
      <c r="I75" s="16">
        <f>SUM(I65:I74)</f>
        <v>770.03</v>
      </c>
      <c r="J75" s="27">
        <f>SUM(J65:J74)</f>
        <v>2716.2904352738306</v>
      </c>
      <c r="K75" s="27">
        <f>SUM(K65:K74)</f>
        <v>640.77291368109672</v>
      </c>
      <c r="L75" s="27">
        <f>ROUND(SUM(L65:L74),2)</f>
        <v>3357.06</v>
      </c>
    </row>
    <row r="76" spans="1:12" x14ac:dyDescent="0.3">
      <c r="A76" s="81" t="s">
        <v>33</v>
      </c>
      <c r="B76" s="70" t="s">
        <v>142</v>
      </c>
      <c r="C76" s="139"/>
      <c r="D76" s="139"/>
      <c r="E76" s="82"/>
      <c r="F76" s="33"/>
      <c r="G76" s="34"/>
      <c r="H76" s="34"/>
      <c r="I76" s="33"/>
      <c r="J76" s="59"/>
      <c r="K76" s="59"/>
      <c r="L76" s="59"/>
    </row>
    <row r="77" spans="1:12" ht="72" x14ac:dyDescent="0.3">
      <c r="B77" s="93">
        <v>1</v>
      </c>
      <c r="C77" s="152" t="s">
        <v>142</v>
      </c>
      <c r="D77" s="153" t="s">
        <v>164</v>
      </c>
      <c r="E77" s="154" t="s">
        <v>165</v>
      </c>
      <c r="F77" s="155">
        <v>1505</v>
      </c>
      <c r="G77" s="155">
        <v>8.9499999999999993</v>
      </c>
      <c r="H77" s="155">
        <v>6.71</v>
      </c>
      <c r="I77" s="156">
        <v>11</v>
      </c>
      <c r="J77" s="157">
        <f t="shared" ref="J77:J89" si="15">I77*H77</f>
        <v>73.81</v>
      </c>
      <c r="K77" s="157">
        <f t="shared" ref="K77:K83" si="16">J77*0.2359</f>
        <v>17.411778999999999</v>
      </c>
      <c r="L77" s="157">
        <f t="shared" ref="L77:L89" si="17">J77+K77</f>
        <v>91.221778999999998</v>
      </c>
    </row>
    <row r="78" spans="1:12" ht="72" x14ac:dyDescent="0.3">
      <c r="B78" s="93">
        <v>2</v>
      </c>
      <c r="C78" s="152" t="s">
        <v>142</v>
      </c>
      <c r="D78" s="153" t="s">
        <v>166</v>
      </c>
      <c r="E78" s="154" t="s">
        <v>165</v>
      </c>
      <c r="F78" s="155">
        <v>1600</v>
      </c>
      <c r="G78" s="155">
        <v>9.51</v>
      </c>
      <c r="H78" s="158">
        <f t="shared" ref="H78:H89" si="18">G78*0.75</f>
        <v>7.1325000000000003</v>
      </c>
      <c r="I78" s="156">
        <v>10</v>
      </c>
      <c r="J78" s="157">
        <f t="shared" si="15"/>
        <v>71.325000000000003</v>
      </c>
      <c r="K78" s="157">
        <f t="shared" si="16"/>
        <v>16.825567500000002</v>
      </c>
      <c r="L78" s="157">
        <f t="shared" si="17"/>
        <v>88.150567500000008</v>
      </c>
    </row>
    <row r="79" spans="1:12" ht="144" x14ac:dyDescent="0.3">
      <c r="B79" s="93">
        <v>3</v>
      </c>
      <c r="C79" s="152" t="s">
        <v>142</v>
      </c>
      <c r="D79" s="153" t="s">
        <v>8</v>
      </c>
      <c r="E79" s="154" t="s">
        <v>167</v>
      </c>
      <c r="F79" s="84" t="s">
        <v>90</v>
      </c>
      <c r="G79" s="158">
        <v>5.7</v>
      </c>
      <c r="H79" s="158">
        <f t="shared" si="18"/>
        <v>4.2750000000000004</v>
      </c>
      <c r="I79" s="156">
        <v>16</v>
      </c>
      <c r="J79" s="157">
        <f t="shared" si="15"/>
        <v>68.400000000000006</v>
      </c>
      <c r="K79" s="157">
        <f t="shared" si="16"/>
        <v>16.135560000000002</v>
      </c>
      <c r="L79" s="157">
        <f t="shared" si="17"/>
        <v>84.535560000000004</v>
      </c>
    </row>
    <row r="80" spans="1:12" ht="144" x14ac:dyDescent="0.3">
      <c r="B80" s="93">
        <v>4</v>
      </c>
      <c r="C80" s="152" t="s">
        <v>142</v>
      </c>
      <c r="D80" s="153" t="s">
        <v>8</v>
      </c>
      <c r="E80" s="154" t="s">
        <v>167</v>
      </c>
      <c r="F80" s="84" t="s">
        <v>90</v>
      </c>
      <c r="G80" s="158">
        <v>5.7</v>
      </c>
      <c r="H80" s="158">
        <f t="shared" si="18"/>
        <v>4.2750000000000004</v>
      </c>
      <c r="I80" s="156">
        <v>16</v>
      </c>
      <c r="J80" s="157">
        <f t="shared" si="15"/>
        <v>68.400000000000006</v>
      </c>
      <c r="K80" s="157">
        <f t="shared" si="16"/>
        <v>16.135560000000002</v>
      </c>
      <c r="L80" s="157">
        <f t="shared" si="17"/>
        <v>84.535560000000004</v>
      </c>
    </row>
    <row r="81" spans="1:12" ht="120" x14ac:dyDescent="0.3">
      <c r="B81" s="93">
        <v>5</v>
      </c>
      <c r="C81" s="152" t="s">
        <v>142</v>
      </c>
      <c r="D81" s="153" t="s">
        <v>8</v>
      </c>
      <c r="E81" s="154" t="s">
        <v>168</v>
      </c>
      <c r="F81" s="84" t="s">
        <v>90</v>
      </c>
      <c r="G81" s="158">
        <v>5.7</v>
      </c>
      <c r="H81" s="158">
        <f t="shared" si="18"/>
        <v>4.2750000000000004</v>
      </c>
      <c r="I81" s="156">
        <v>20</v>
      </c>
      <c r="J81" s="157">
        <f t="shared" si="15"/>
        <v>85.5</v>
      </c>
      <c r="K81" s="157">
        <f t="shared" si="16"/>
        <v>20.169450000000001</v>
      </c>
      <c r="L81" s="157">
        <f t="shared" si="17"/>
        <v>105.66945</v>
      </c>
    </row>
    <row r="82" spans="1:12" ht="120" x14ac:dyDescent="0.3">
      <c r="B82" s="93">
        <v>6</v>
      </c>
      <c r="C82" s="152" t="s">
        <v>142</v>
      </c>
      <c r="D82" s="153" t="s">
        <v>8</v>
      </c>
      <c r="E82" s="154" t="s">
        <v>168</v>
      </c>
      <c r="F82" s="84" t="s">
        <v>90</v>
      </c>
      <c r="G82" s="158">
        <v>5.7</v>
      </c>
      <c r="H82" s="158">
        <f t="shared" si="18"/>
        <v>4.2750000000000004</v>
      </c>
      <c r="I82" s="156">
        <v>14</v>
      </c>
      <c r="J82" s="157">
        <f t="shared" si="15"/>
        <v>59.850000000000009</v>
      </c>
      <c r="K82" s="157">
        <f t="shared" si="16"/>
        <v>14.118615000000002</v>
      </c>
      <c r="L82" s="157">
        <f t="shared" si="17"/>
        <v>73.968615000000014</v>
      </c>
    </row>
    <row r="83" spans="1:12" ht="120" x14ac:dyDescent="0.3">
      <c r="B83" s="93">
        <v>7</v>
      </c>
      <c r="C83" s="152" t="s">
        <v>142</v>
      </c>
      <c r="D83" s="153" t="s">
        <v>8</v>
      </c>
      <c r="E83" s="154" t="s">
        <v>168</v>
      </c>
      <c r="F83" s="84" t="s">
        <v>90</v>
      </c>
      <c r="G83" s="158">
        <v>5.7</v>
      </c>
      <c r="H83" s="158">
        <f t="shared" si="18"/>
        <v>4.2750000000000004</v>
      </c>
      <c r="I83" s="156">
        <v>17</v>
      </c>
      <c r="J83" s="157">
        <f t="shared" si="15"/>
        <v>72.675000000000011</v>
      </c>
      <c r="K83" s="157">
        <f t="shared" si="16"/>
        <v>17.144032500000002</v>
      </c>
      <c r="L83" s="157">
        <f t="shared" si="17"/>
        <v>89.81903250000002</v>
      </c>
    </row>
    <row r="84" spans="1:12" ht="120" x14ac:dyDescent="0.3">
      <c r="B84" s="93">
        <v>8</v>
      </c>
      <c r="C84" s="152" t="s">
        <v>142</v>
      </c>
      <c r="D84" s="153" t="s">
        <v>8</v>
      </c>
      <c r="E84" s="154" t="s">
        <v>168</v>
      </c>
      <c r="F84" s="84" t="s">
        <v>90</v>
      </c>
      <c r="G84" s="158">
        <v>5.7</v>
      </c>
      <c r="H84" s="158">
        <f t="shared" si="18"/>
        <v>4.2750000000000004</v>
      </c>
      <c r="I84" s="156">
        <v>21</v>
      </c>
      <c r="J84" s="157">
        <f t="shared" si="15"/>
        <v>89.775000000000006</v>
      </c>
      <c r="K84" s="157">
        <f>J84*0.2194</f>
        <v>19.696635000000001</v>
      </c>
      <c r="L84" s="157">
        <f t="shared" si="17"/>
        <v>109.47163500000001</v>
      </c>
    </row>
    <row r="85" spans="1:12" ht="144" x14ac:dyDescent="0.3">
      <c r="B85" s="93">
        <v>9</v>
      </c>
      <c r="C85" s="152" t="s">
        <v>142</v>
      </c>
      <c r="D85" s="153" t="s">
        <v>169</v>
      </c>
      <c r="E85" s="154" t="s">
        <v>167</v>
      </c>
      <c r="F85" s="84" t="s">
        <v>90</v>
      </c>
      <c r="G85" s="158">
        <v>5.3</v>
      </c>
      <c r="H85" s="158">
        <f t="shared" si="18"/>
        <v>3.9749999999999996</v>
      </c>
      <c r="I85" s="156">
        <v>17</v>
      </c>
      <c r="J85" s="157">
        <f t="shared" si="15"/>
        <v>67.574999999999989</v>
      </c>
      <c r="K85" s="157">
        <f>J85*0.2359</f>
        <v>15.940942499999997</v>
      </c>
      <c r="L85" s="157">
        <f t="shared" si="17"/>
        <v>83.51594249999998</v>
      </c>
    </row>
    <row r="86" spans="1:12" ht="144" x14ac:dyDescent="0.3">
      <c r="B86" s="93">
        <v>10</v>
      </c>
      <c r="C86" s="152" t="s">
        <v>142</v>
      </c>
      <c r="D86" s="153" t="s">
        <v>169</v>
      </c>
      <c r="E86" s="154" t="s">
        <v>167</v>
      </c>
      <c r="F86" s="84" t="s">
        <v>90</v>
      </c>
      <c r="G86" s="158">
        <v>5.3</v>
      </c>
      <c r="H86" s="158">
        <f t="shared" si="18"/>
        <v>3.9749999999999996</v>
      </c>
      <c r="I86" s="156">
        <v>23</v>
      </c>
      <c r="J86" s="157">
        <f t="shared" si="15"/>
        <v>91.424999999999997</v>
      </c>
      <c r="K86" s="157">
        <f>J86*0.2359</f>
        <v>21.5671575</v>
      </c>
      <c r="L86" s="157">
        <f t="shared" si="17"/>
        <v>112.99215749999999</v>
      </c>
    </row>
    <row r="87" spans="1:12" ht="144" x14ac:dyDescent="0.3">
      <c r="B87" s="93">
        <v>11</v>
      </c>
      <c r="C87" s="152" t="s">
        <v>142</v>
      </c>
      <c r="D87" s="153" t="s">
        <v>8</v>
      </c>
      <c r="E87" s="154" t="s">
        <v>167</v>
      </c>
      <c r="F87" s="84" t="s">
        <v>90</v>
      </c>
      <c r="G87" s="158">
        <v>5.7</v>
      </c>
      <c r="H87" s="158">
        <f t="shared" si="18"/>
        <v>4.2750000000000004</v>
      </c>
      <c r="I87" s="156">
        <v>22</v>
      </c>
      <c r="J87" s="157">
        <f t="shared" si="15"/>
        <v>94.050000000000011</v>
      </c>
      <c r="K87" s="157">
        <f>J87*0.2359</f>
        <v>22.186395000000001</v>
      </c>
      <c r="L87" s="157">
        <f t="shared" si="17"/>
        <v>116.23639500000002</v>
      </c>
    </row>
    <row r="88" spans="1:12" ht="144" x14ac:dyDescent="0.3">
      <c r="B88" s="93">
        <v>12</v>
      </c>
      <c r="C88" s="152" t="s">
        <v>142</v>
      </c>
      <c r="D88" s="153" t="s">
        <v>8</v>
      </c>
      <c r="E88" s="154" t="s">
        <v>167</v>
      </c>
      <c r="F88" s="84" t="s">
        <v>90</v>
      </c>
      <c r="G88" s="158">
        <v>5.7</v>
      </c>
      <c r="H88" s="158">
        <f t="shared" si="18"/>
        <v>4.2750000000000004</v>
      </c>
      <c r="I88" s="156">
        <v>22</v>
      </c>
      <c r="J88" s="157">
        <f t="shared" si="15"/>
        <v>94.050000000000011</v>
      </c>
      <c r="K88" s="157">
        <f>J88*0.2359</f>
        <v>22.186395000000001</v>
      </c>
      <c r="L88" s="157">
        <f t="shared" si="17"/>
        <v>116.23639500000002</v>
      </c>
    </row>
    <row r="89" spans="1:12" ht="144" x14ac:dyDescent="0.3">
      <c r="B89" s="93">
        <v>13</v>
      </c>
      <c r="C89" s="152" t="s">
        <v>142</v>
      </c>
      <c r="D89" s="153" t="s">
        <v>8</v>
      </c>
      <c r="E89" s="154" t="s">
        <v>167</v>
      </c>
      <c r="F89" s="84" t="s">
        <v>90</v>
      </c>
      <c r="G89" s="158">
        <v>5.7</v>
      </c>
      <c r="H89" s="158">
        <f t="shared" si="18"/>
        <v>4.2750000000000004</v>
      </c>
      <c r="I89" s="156">
        <v>16</v>
      </c>
      <c r="J89" s="157">
        <f t="shared" si="15"/>
        <v>68.400000000000006</v>
      </c>
      <c r="K89" s="157">
        <f>J89*0.2359</f>
        <v>16.135560000000002</v>
      </c>
      <c r="L89" s="157">
        <f t="shared" si="17"/>
        <v>84.535560000000004</v>
      </c>
    </row>
    <row r="90" spans="1:12" x14ac:dyDescent="0.3">
      <c r="C90" s="143" t="s">
        <v>32</v>
      </c>
      <c r="D90" s="25"/>
      <c r="E90" s="23"/>
      <c r="F90" s="26"/>
      <c r="G90" s="9"/>
      <c r="H90" s="9"/>
      <c r="I90" s="28">
        <f t="shared" ref="I90:J90" si="19">SUM(I77:I89)</f>
        <v>225</v>
      </c>
      <c r="J90" s="27">
        <f t="shared" si="19"/>
        <v>1005.2349999999998</v>
      </c>
      <c r="K90" s="27">
        <f>SUM(K77:K89)</f>
        <v>235.65364900000003</v>
      </c>
      <c r="L90" s="27">
        <f>ROUND(SUM(L77:L89),2)</f>
        <v>1240.8900000000001</v>
      </c>
    </row>
    <row r="91" spans="1:12" x14ac:dyDescent="0.3">
      <c r="A91" s="85" t="s">
        <v>35</v>
      </c>
      <c r="B91" s="133" t="s">
        <v>119</v>
      </c>
      <c r="C91" s="133"/>
      <c r="D91" s="133"/>
      <c r="E91" s="86"/>
      <c r="F91" s="87"/>
      <c r="G91" s="87"/>
      <c r="H91" s="87"/>
      <c r="I91" s="87"/>
      <c r="J91" s="88"/>
      <c r="K91" s="88"/>
      <c r="L91" s="88"/>
    </row>
    <row r="92" spans="1:12" ht="27.6" x14ac:dyDescent="0.3">
      <c r="A92" s="89"/>
      <c r="B92" s="203">
        <v>1</v>
      </c>
      <c r="C92" s="159" t="s">
        <v>119</v>
      </c>
      <c r="D92" s="160" t="s">
        <v>120</v>
      </c>
      <c r="E92" s="161" t="s">
        <v>170</v>
      </c>
      <c r="F92" s="84" t="s">
        <v>90</v>
      </c>
      <c r="G92" s="66">
        <v>9.1395999999999997</v>
      </c>
      <c r="H92" s="66">
        <f>ROUND((G92*0.75),4)</f>
        <v>6.8547000000000002</v>
      </c>
      <c r="I92" s="72">
        <v>3</v>
      </c>
      <c r="J92" s="77">
        <f>ROUND(H92*I92,2)</f>
        <v>20.56</v>
      </c>
      <c r="K92" s="77">
        <f>ROUND(J92*0.2359,2)</f>
        <v>4.8499999999999996</v>
      </c>
      <c r="L92" s="77">
        <f t="shared" ref="L92:L101" si="20">SUM(J92:K92)</f>
        <v>25.409999999999997</v>
      </c>
    </row>
    <row r="93" spans="1:12" ht="27.6" x14ac:dyDescent="0.3">
      <c r="A93" s="89"/>
      <c r="B93" s="93">
        <v>2</v>
      </c>
      <c r="C93" s="159" t="s">
        <v>119</v>
      </c>
      <c r="D93" s="134" t="s">
        <v>25</v>
      </c>
      <c r="E93" s="161"/>
      <c r="F93" s="84" t="s">
        <v>90</v>
      </c>
      <c r="G93" s="66">
        <v>6.5232000000000001</v>
      </c>
      <c r="H93" s="66">
        <f t="shared" ref="H93:H101" si="21">ROUND((G93*0.75),4)</f>
        <v>4.8924000000000003</v>
      </c>
      <c r="I93" s="72">
        <v>7</v>
      </c>
      <c r="J93" s="77">
        <f t="shared" ref="J93:J101" si="22">ROUND(H93*I93,2)</f>
        <v>34.25</v>
      </c>
      <c r="K93" s="77">
        <f t="shared" ref="K93:K101" si="23">ROUND(J93*0.2359,2)</f>
        <v>8.08</v>
      </c>
      <c r="L93" s="77">
        <f t="shared" si="20"/>
        <v>42.33</v>
      </c>
    </row>
    <row r="94" spans="1:12" ht="27.6" x14ac:dyDescent="0.3">
      <c r="A94" s="89"/>
      <c r="B94" s="203">
        <v>3</v>
      </c>
      <c r="C94" s="159" t="s">
        <v>119</v>
      </c>
      <c r="D94" s="160" t="s">
        <v>25</v>
      </c>
      <c r="E94" s="161"/>
      <c r="F94" s="84" t="s">
        <v>90</v>
      </c>
      <c r="G94" s="66">
        <v>5.3041999999999998</v>
      </c>
      <c r="H94" s="66">
        <f t="shared" si="21"/>
        <v>3.9782000000000002</v>
      </c>
      <c r="I94" s="72">
        <v>5</v>
      </c>
      <c r="J94" s="77">
        <f t="shared" si="22"/>
        <v>19.89</v>
      </c>
      <c r="K94" s="77">
        <f t="shared" si="23"/>
        <v>4.6900000000000004</v>
      </c>
      <c r="L94" s="77">
        <f t="shared" si="20"/>
        <v>24.580000000000002</v>
      </c>
    </row>
    <row r="95" spans="1:12" ht="27.6" x14ac:dyDescent="0.3">
      <c r="A95" s="12"/>
      <c r="B95" s="93">
        <v>4</v>
      </c>
      <c r="C95" s="159" t="s">
        <v>119</v>
      </c>
      <c r="D95" s="160" t="s">
        <v>27</v>
      </c>
      <c r="E95" s="161"/>
      <c r="F95" s="84" t="s">
        <v>90</v>
      </c>
      <c r="G95" s="66">
        <v>5.3635999999999999</v>
      </c>
      <c r="H95" s="66">
        <f t="shared" si="21"/>
        <v>4.0227000000000004</v>
      </c>
      <c r="I95" s="72">
        <v>1</v>
      </c>
      <c r="J95" s="77">
        <f t="shared" si="22"/>
        <v>4.0199999999999996</v>
      </c>
      <c r="K95" s="77">
        <f t="shared" si="23"/>
        <v>0.95</v>
      </c>
      <c r="L95" s="77">
        <f t="shared" si="20"/>
        <v>4.97</v>
      </c>
    </row>
    <row r="96" spans="1:12" ht="27.6" x14ac:dyDescent="0.3">
      <c r="A96" s="12"/>
      <c r="B96" s="203">
        <v>5</v>
      </c>
      <c r="C96" s="159" t="s">
        <v>119</v>
      </c>
      <c r="D96" s="160" t="s">
        <v>27</v>
      </c>
      <c r="E96" s="161"/>
      <c r="F96" s="84" t="s">
        <v>90</v>
      </c>
      <c r="G96" s="66">
        <v>5.7679999999999998</v>
      </c>
      <c r="H96" s="66">
        <f t="shared" si="21"/>
        <v>4.3259999999999996</v>
      </c>
      <c r="I96" s="72">
        <v>5</v>
      </c>
      <c r="J96" s="77">
        <f t="shared" si="22"/>
        <v>21.63</v>
      </c>
      <c r="K96" s="77">
        <f t="shared" si="23"/>
        <v>5.0999999999999996</v>
      </c>
      <c r="L96" s="77">
        <f t="shared" si="20"/>
        <v>26.729999999999997</v>
      </c>
    </row>
    <row r="97" spans="1:12" ht="27.6" x14ac:dyDescent="0.3">
      <c r="A97" s="12"/>
      <c r="B97" s="93">
        <v>6</v>
      </c>
      <c r="C97" s="159" t="s">
        <v>119</v>
      </c>
      <c r="D97" s="160" t="s">
        <v>27</v>
      </c>
      <c r="E97" s="161"/>
      <c r="F97" s="84" t="s">
        <v>90</v>
      </c>
      <c r="G97" s="66">
        <v>5.4051999999999998</v>
      </c>
      <c r="H97" s="66">
        <f t="shared" si="21"/>
        <v>4.0538999999999996</v>
      </c>
      <c r="I97" s="72">
        <v>12</v>
      </c>
      <c r="J97" s="77">
        <f t="shared" si="22"/>
        <v>48.65</v>
      </c>
      <c r="K97" s="77">
        <f t="shared" si="23"/>
        <v>11.48</v>
      </c>
      <c r="L97" s="77">
        <f t="shared" si="20"/>
        <v>60.129999999999995</v>
      </c>
    </row>
    <row r="98" spans="1:12" ht="27.6" x14ac:dyDescent="0.3">
      <c r="A98" s="12"/>
      <c r="B98" s="203">
        <v>7</v>
      </c>
      <c r="C98" s="159" t="s">
        <v>119</v>
      </c>
      <c r="D98" s="160" t="s">
        <v>27</v>
      </c>
      <c r="E98" s="161"/>
      <c r="F98" s="84" t="s">
        <v>90</v>
      </c>
      <c r="G98" s="66">
        <v>5.3635999999999999</v>
      </c>
      <c r="H98" s="66">
        <f t="shared" si="21"/>
        <v>4.0227000000000004</v>
      </c>
      <c r="I98" s="72">
        <v>9</v>
      </c>
      <c r="J98" s="77">
        <f t="shared" si="22"/>
        <v>36.200000000000003</v>
      </c>
      <c r="K98" s="77">
        <f t="shared" si="23"/>
        <v>8.5399999999999991</v>
      </c>
      <c r="L98" s="77">
        <f t="shared" si="20"/>
        <v>44.74</v>
      </c>
    </row>
    <row r="99" spans="1:12" ht="27.6" x14ac:dyDescent="0.3">
      <c r="A99" s="12"/>
      <c r="B99" s="93">
        <v>8</v>
      </c>
      <c r="C99" s="159" t="s">
        <v>119</v>
      </c>
      <c r="D99" s="160" t="s">
        <v>27</v>
      </c>
      <c r="E99" s="161"/>
      <c r="F99" s="84" t="s">
        <v>90</v>
      </c>
      <c r="G99" s="66">
        <v>5.3041999999999998</v>
      </c>
      <c r="H99" s="66">
        <f t="shared" si="21"/>
        <v>3.9782000000000002</v>
      </c>
      <c r="I99" s="72">
        <v>10</v>
      </c>
      <c r="J99" s="77">
        <f t="shared" si="22"/>
        <v>39.78</v>
      </c>
      <c r="K99" s="77">
        <f t="shared" si="23"/>
        <v>9.3800000000000008</v>
      </c>
      <c r="L99" s="77">
        <f t="shared" si="20"/>
        <v>49.160000000000004</v>
      </c>
    </row>
    <row r="100" spans="1:12" ht="27.6" x14ac:dyDescent="0.3">
      <c r="A100" s="12"/>
      <c r="B100" s="203"/>
      <c r="C100" s="159" t="s">
        <v>119</v>
      </c>
      <c r="D100" s="160" t="s">
        <v>27</v>
      </c>
      <c r="E100" s="161"/>
      <c r="F100" s="84" t="s">
        <v>90</v>
      </c>
      <c r="G100" s="66">
        <v>5.3635999999999999</v>
      </c>
      <c r="H100" s="66">
        <f t="shared" si="21"/>
        <v>4.0227000000000004</v>
      </c>
      <c r="I100" s="72">
        <v>8</v>
      </c>
      <c r="J100" s="77">
        <f t="shared" si="22"/>
        <v>32.18</v>
      </c>
      <c r="K100" s="77">
        <f t="shared" si="23"/>
        <v>7.59</v>
      </c>
      <c r="L100" s="77">
        <f t="shared" si="20"/>
        <v>39.769999999999996</v>
      </c>
    </row>
    <row r="101" spans="1:12" ht="27.6" x14ac:dyDescent="0.3">
      <c r="A101" s="12"/>
      <c r="B101" s="203">
        <v>9</v>
      </c>
      <c r="C101" s="159" t="s">
        <v>119</v>
      </c>
      <c r="D101" s="160" t="s">
        <v>27</v>
      </c>
      <c r="E101" s="161"/>
      <c r="F101" s="84" t="s">
        <v>90</v>
      </c>
      <c r="G101" s="66">
        <v>5.7679999999999998</v>
      </c>
      <c r="H101" s="66">
        <f t="shared" si="21"/>
        <v>4.3259999999999996</v>
      </c>
      <c r="I101" s="72">
        <v>14</v>
      </c>
      <c r="J101" s="77">
        <f t="shared" si="22"/>
        <v>60.56</v>
      </c>
      <c r="K101" s="77">
        <f t="shared" si="23"/>
        <v>14.29</v>
      </c>
      <c r="L101" s="77">
        <f t="shared" si="20"/>
        <v>74.849999999999994</v>
      </c>
    </row>
    <row r="102" spans="1:12" x14ac:dyDescent="0.3">
      <c r="A102" s="12"/>
      <c r="C102" s="143" t="s">
        <v>10</v>
      </c>
      <c r="D102" s="25"/>
      <c r="E102" s="126"/>
      <c r="F102" s="26"/>
      <c r="G102" s="9"/>
      <c r="H102" s="9"/>
      <c r="I102" s="16">
        <f>SUM(I92:I101)</f>
        <v>74</v>
      </c>
      <c r="J102" s="27">
        <f>SUM(J92:J101)</f>
        <v>317.71999999999997</v>
      </c>
      <c r="K102" s="27">
        <f>SUM(K92:K101)</f>
        <v>74.950000000000017</v>
      </c>
      <c r="L102" s="27">
        <f>ROUND(SUM(L92:L101),2)</f>
        <v>392.67</v>
      </c>
    </row>
    <row r="103" spans="1:12" x14ac:dyDescent="0.3">
      <c r="A103" s="8" t="s">
        <v>42</v>
      </c>
      <c r="B103" s="202" t="s">
        <v>43</v>
      </c>
      <c r="C103" s="148"/>
      <c r="D103" s="148"/>
      <c r="E103" s="79"/>
      <c r="F103" s="51"/>
      <c r="G103" s="52"/>
      <c r="H103" s="52"/>
      <c r="I103" s="51"/>
      <c r="J103" s="53"/>
      <c r="K103" s="53"/>
      <c r="L103" s="54"/>
    </row>
    <row r="104" spans="1:12" ht="48" x14ac:dyDescent="0.3">
      <c r="B104" s="93">
        <v>1</v>
      </c>
      <c r="C104" s="152" t="s">
        <v>50</v>
      </c>
      <c r="D104" s="160" t="s">
        <v>25</v>
      </c>
      <c r="E104" s="69" t="s">
        <v>45</v>
      </c>
      <c r="F104" s="65">
        <v>749</v>
      </c>
      <c r="G104" s="66">
        <v>4.4538000000000002</v>
      </c>
      <c r="H104" s="66">
        <f>SUM(G104*0.75)</f>
        <v>3.3403499999999999</v>
      </c>
      <c r="I104" s="72">
        <v>49</v>
      </c>
      <c r="J104" s="80">
        <f>SUM(H104*I104)</f>
        <v>163.67714999999998</v>
      </c>
      <c r="K104" s="80">
        <f>SUM(J104*0.2194)</f>
        <v>35.910766709999997</v>
      </c>
      <c r="L104" s="80">
        <f>SUM(J104:K104)</f>
        <v>199.58791670999997</v>
      </c>
    </row>
    <row r="105" spans="1:12" ht="48" x14ac:dyDescent="0.3">
      <c r="B105" s="93">
        <v>2</v>
      </c>
      <c r="C105" s="152" t="s">
        <v>50</v>
      </c>
      <c r="D105" s="160" t="s">
        <v>27</v>
      </c>
      <c r="E105" s="69" t="s">
        <v>45</v>
      </c>
      <c r="F105" s="65">
        <v>674</v>
      </c>
      <c r="G105" s="66">
        <v>4.0077999999999996</v>
      </c>
      <c r="H105" s="66">
        <f>SUM(G105*0.75)</f>
        <v>3.0058499999999997</v>
      </c>
      <c r="I105" s="72">
        <v>49</v>
      </c>
      <c r="J105" s="80">
        <f>SUM(H105*I105)</f>
        <v>147.28664999999998</v>
      </c>
      <c r="K105" s="80">
        <f>SUM(J105*0.2359)</f>
        <v>34.744920734999994</v>
      </c>
      <c r="L105" s="80">
        <f>SUM(J105:K105)</f>
        <v>182.03157073499997</v>
      </c>
    </row>
    <row r="106" spans="1:12" ht="48" x14ac:dyDescent="0.3">
      <c r="B106" s="93">
        <v>3</v>
      </c>
      <c r="C106" s="152" t="s">
        <v>50</v>
      </c>
      <c r="D106" s="160" t="s">
        <v>54</v>
      </c>
      <c r="E106" s="69" t="s">
        <v>45</v>
      </c>
      <c r="F106" s="65">
        <v>617</v>
      </c>
      <c r="G106" s="66">
        <v>3.6688999999999998</v>
      </c>
      <c r="H106" s="66">
        <f t="shared" ref="H106:H121" si="24">SUM(G106*0.75)</f>
        <v>2.7516749999999996</v>
      </c>
      <c r="I106" s="72">
        <v>45</v>
      </c>
      <c r="J106" s="80">
        <f>SUM(H106*I106)</f>
        <v>123.82537499999998</v>
      </c>
      <c r="K106" s="80">
        <f t="shared" ref="K106:K120" si="25">SUM(J106*0.2359)</f>
        <v>29.210405962499994</v>
      </c>
      <c r="L106" s="80">
        <f t="shared" ref="L106:L121" si="26">SUM(J106:K106)</f>
        <v>153.03578096249998</v>
      </c>
    </row>
    <row r="107" spans="1:12" ht="48" x14ac:dyDescent="0.3">
      <c r="B107" s="93">
        <v>4</v>
      </c>
      <c r="C107" s="152" t="s">
        <v>50</v>
      </c>
      <c r="D107" s="160" t="s">
        <v>25</v>
      </c>
      <c r="E107" s="69" t="s">
        <v>45</v>
      </c>
      <c r="F107" s="65">
        <v>749</v>
      </c>
      <c r="G107" s="66">
        <v>4.4538000000000002</v>
      </c>
      <c r="H107" s="66">
        <f t="shared" si="24"/>
        <v>3.3403499999999999</v>
      </c>
      <c r="I107" s="72">
        <v>31</v>
      </c>
      <c r="J107" s="80">
        <f>SUM(H107*I107)</f>
        <v>103.55085</v>
      </c>
      <c r="K107" s="80">
        <f t="shared" si="25"/>
        <v>24.427645514999998</v>
      </c>
      <c r="L107" s="80">
        <f t="shared" si="26"/>
        <v>127.97849551499999</v>
      </c>
    </row>
    <row r="108" spans="1:12" ht="48" x14ac:dyDescent="0.3">
      <c r="B108" s="93">
        <v>5</v>
      </c>
      <c r="C108" s="152" t="s">
        <v>50</v>
      </c>
      <c r="D108" s="160" t="s">
        <v>27</v>
      </c>
      <c r="E108" s="69" t="s">
        <v>45</v>
      </c>
      <c r="F108" s="65">
        <v>674</v>
      </c>
      <c r="G108" s="66">
        <v>4.0077999999999996</v>
      </c>
      <c r="H108" s="66">
        <f t="shared" si="24"/>
        <v>3.0058499999999997</v>
      </c>
      <c r="I108" s="72">
        <v>22</v>
      </c>
      <c r="J108" s="80">
        <f>SUM(H108*I108)</f>
        <v>66.128699999999995</v>
      </c>
      <c r="K108" s="80">
        <f t="shared" si="25"/>
        <v>15.599760329999999</v>
      </c>
      <c r="L108" s="80">
        <f t="shared" si="26"/>
        <v>81.72846032999999</v>
      </c>
    </row>
    <row r="109" spans="1:12" ht="48" x14ac:dyDescent="0.3">
      <c r="B109" s="93">
        <v>6</v>
      </c>
      <c r="C109" s="152" t="s">
        <v>50</v>
      </c>
      <c r="D109" s="160" t="s">
        <v>54</v>
      </c>
      <c r="E109" s="69" t="s">
        <v>45</v>
      </c>
      <c r="F109" s="65">
        <v>617</v>
      </c>
      <c r="G109" s="66">
        <v>3.6688999999999998</v>
      </c>
      <c r="H109" s="66">
        <f t="shared" si="24"/>
        <v>2.7516749999999996</v>
      </c>
      <c r="I109" s="72">
        <v>26</v>
      </c>
      <c r="J109" s="80">
        <f t="shared" ref="J109:J110" si="27">SUM(H109*I109)</f>
        <v>71.543549999999996</v>
      </c>
      <c r="K109" s="80">
        <f t="shared" si="25"/>
        <v>16.877123444999999</v>
      </c>
      <c r="L109" s="80">
        <f t="shared" si="26"/>
        <v>88.420673444999991</v>
      </c>
    </row>
    <row r="110" spans="1:12" ht="48" x14ac:dyDescent="0.3">
      <c r="B110" s="93">
        <v>7</v>
      </c>
      <c r="C110" s="152" t="s">
        <v>50</v>
      </c>
      <c r="D110" s="160" t="s">
        <v>25</v>
      </c>
      <c r="E110" s="69" t="s">
        <v>45</v>
      </c>
      <c r="F110" s="65">
        <v>749</v>
      </c>
      <c r="G110" s="66">
        <v>4.4538000000000002</v>
      </c>
      <c r="H110" s="66">
        <f t="shared" si="24"/>
        <v>3.3403499999999999</v>
      </c>
      <c r="I110" s="72">
        <v>28</v>
      </c>
      <c r="J110" s="80">
        <f t="shared" si="27"/>
        <v>93.529799999999994</v>
      </c>
      <c r="K110" s="80">
        <f t="shared" si="25"/>
        <v>22.063679819999997</v>
      </c>
      <c r="L110" s="80">
        <f t="shared" si="26"/>
        <v>115.59347982</v>
      </c>
    </row>
    <row r="111" spans="1:12" ht="48" x14ac:dyDescent="0.3">
      <c r="B111" s="93">
        <v>8</v>
      </c>
      <c r="C111" s="152" t="s">
        <v>50</v>
      </c>
      <c r="D111" s="160" t="s">
        <v>27</v>
      </c>
      <c r="E111" s="69" t="s">
        <v>45</v>
      </c>
      <c r="F111" s="65">
        <v>674</v>
      </c>
      <c r="G111" s="66">
        <v>4.0077999999999996</v>
      </c>
      <c r="H111" s="66">
        <f t="shared" si="24"/>
        <v>3.0058499999999997</v>
      </c>
      <c r="I111" s="72">
        <v>28</v>
      </c>
      <c r="J111" s="80">
        <f>SUM(H111*I111)</f>
        <v>84.163799999999995</v>
      </c>
      <c r="K111" s="80">
        <f t="shared" si="25"/>
        <v>19.85424042</v>
      </c>
      <c r="L111" s="80">
        <f t="shared" si="26"/>
        <v>104.01804041999999</v>
      </c>
    </row>
    <row r="112" spans="1:12" ht="48" x14ac:dyDescent="0.3">
      <c r="B112" s="93">
        <v>9</v>
      </c>
      <c r="C112" s="152" t="s">
        <v>50</v>
      </c>
      <c r="D112" s="160" t="s">
        <v>54</v>
      </c>
      <c r="E112" s="69" t="s">
        <v>45</v>
      </c>
      <c r="F112" s="65">
        <v>617</v>
      </c>
      <c r="G112" s="66">
        <v>3.6688999999999998</v>
      </c>
      <c r="H112" s="66">
        <f t="shared" si="24"/>
        <v>2.7516749999999996</v>
      </c>
      <c r="I112" s="72">
        <v>27</v>
      </c>
      <c r="J112" s="80">
        <f t="shared" ref="J112:J121" si="28">SUM(H112*I112)</f>
        <v>74.295224999999988</v>
      </c>
      <c r="K112" s="80">
        <f t="shared" si="25"/>
        <v>17.526243577499997</v>
      </c>
      <c r="L112" s="80">
        <f t="shared" si="26"/>
        <v>91.821468577499985</v>
      </c>
    </row>
    <row r="113" spans="2:12" ht="48" x14ac:dyDescent="0.3">
      <c r="B113" s="93">
        <v>10</v>
      </c>
      <c r="C113" s="152" t="s">
        <v>50</v>
      </c>
      <c r="D113" s="160" t="s">
        <v>25</v>
      </c>
      <c r="E113" s="69" t="s">
        <v>45</v>
      </c>
      <c r="F113" s="65">
        <v>749</v>
      </c>
      <c r="G113" s="66">
        <v>4.4538000000000002</v>
      </c>
      <c r="H113" s="66">
        <f t="shared" si="24"/>
        <v>3.3403499999999999</v>
      </c>
      <c r="I113" s="72">
        <v>27</v>
      </c>
      <c r="J113" s="80">
        <f t="shared" si="28"/>
        <v>90.189449999999994</v>
      </c>
      <c r="K113" s="80">
        <f t="shared" si="25"/>
        <v>21.275691254999998</v>
      </c>
      <c r="L113" s="80">
        <f t="shared" si="26"/>
        <v>111.46514125499999</v>
      </c>
    </row>
    <row r="114" spans="2:12" ht="48" x14ac:dyDescent="0.3">
      <c r="B114" s="93">
        <v>11</v>
      </c>
      <c r="C114" s="152" t="s">
        <v>50</v>
      </c>
      <c r="D114" s="160" t="s">
        <v>27</v>
      </c>
      <c r="E114" s="69" t="s">
        <v>45</v>
      </c>
      <c r="F114" s="65">
        <v>674</v>
      </c>
      <c r="G114" s="66">
        <v>4.0077999999999996</v>
      </c>
      <c r="H114" s="66">
        <f t="shared" si="24"/>
        <v>3.0058499999999997</v>
      </c>
      <c r="I114" s="72">
        <v>27</v>
      </c>
      <c r="J114" s="80">
        <f t="shared" si="28"/>
        <v>81.157949999999985</v>
      </c>
      <c r="K114" s="80">
        <f t="shared" si="25"/>
        <v>19.145160404999995</v>
      </c>
      <c r="L114" s="80">
        <f t="shared" si="26"/>
        <v>100.30311040499998</v>
      </c>
    </row>
    <row r="115" spans="2:12" ht="48" x14ac:dyDescent="0.3">
      <c r="B115" s="93">
        <v>12</v>
      </c>
      <c r="C115" s="152" t="s">
        <v>50</v>
      </c>
      <c r="D115" s="160" t="s">
        <v>54</v>
      </c>
      <c r="E115" s="69" t="s">
        <v>45</v>
      </c>
      <c r="F115" s="65">
        <v>617</v>
      </c>
      <c r="G115" s="66">
        <v>3.6688999999999998</v>
      </c>
      <c r="H115" s="66">
        <f t="shared" si="24"/>
        <v>2.7516749999999996</v>
      </c>
      <c r="I115" s="72">
        <v>23</v>
      </c>
      <c r="J115" s="80">
        <f t="shared" si="28"/>
        <v>63.288524999999993</v>
      </c>
      <c r="K115" s="80">
        <f t="shared" si="25"/>
        <v>14.929763047499998</v>
      </c>
      <c r="L115" s="80">
        <f t="shared" si="26"/>
        <v>78.218288047499996</v>
      </c>
    </row>
    <row r="116" spans="2:12" ht="48" x14ac:dyDescent="0.3">
      <c r="B116" s="93">
        <v>13</v>
      </c>
      <c r="C116" s="162" t="s">
        <v>48</v>
      </c>
      <c r="D116" s="162" t="s">
        <v>25</v>
      </c>
      <c r="E116" s="69" t="s">
        <v>45</v>
      </c>
      <c r="F116" s="65">
        <v>812</v>
      </c>
      <c r="G116" s="66">
        <f>F116/170</f>
        <v>4.776470588235294</v>
      </c>
      <c r="H116" s="66">
        <f t="shared" si="24"/>
        <v>3.5823529411764703</v>
      </c>
      <c r="I116" s="72">
        <v>4</v>
      </c>
      <c r="J116" s="80">
        <f t="shared" si="28"/>
        <v>14.329411764705881</v>
      </c>
      <c r="K116" s="80">
        <f t="shared" si="25"/>
        <v>3.3803082352941174</v>
      </c>
      <c r="L116" s="80">
        <f t="shared" si="26"/>
        <v>17.709719999999997</v>
      </c>
    </row>
    <row r="117" spans="2:12" ht="48" x14ac:dyDescent="0.3">
      <c r="B117" s="93">
        <v>14</v>
      </c>
      <c r="C117" s="162" t="s">
        <v>48</v>
      </c>
      <c r="D117" s="162" t="s">
        <v>25</v>
      </c>
      <c r="E117" s="69" t="s">
        <v>45</v>
      </c>
      <c r="F117" s="65">
        <v>812</v>
      </c>
      <c r="G117" s="66">
        <f t="shared" ref="G117:G121" si="29">F117/170</f>
        <v>4.776470588235294</v>
      </c>
      <c r="H117" s="66">
        <f t="shared" si="24"/>
        <v>3.5823529411764703</v>
      </c>
      <c r="I117" s="72">
        <v>11</v>
      </c>
      <c r="J117" s="80">
        <f t="shared" si="28"/>
        <v>39.405882352941177</v>
      </c>
      <c r="K117" s="80">
        <f t="shared" si="25"/>
        <v>9.2958476470588227</v>
      </c>
      <c r="L117" s="80">
        <f t="shared" si="26"/>
        <v>48.701729999999998</v>
      </c>
    </row>
    <row r="118" spans="2:12" ht="48" x14ac:dyDescent="0.3">
      <c r="B118" s="93">
        <v>15</v>
      </c>
      <c r="C118" s="162" t="s">
        <v>48</v>
      </c>
      <c r="D118" s="162" t="s">
        <v>27</v>
      </c>
      <c r="E118" s="69" t="s">
        <v>45</v>
      </c>
      <c r="F118" s="65">
        <v>732</v>
      </c>
      <c r="G118" s="66">
        <f t="shared" si="29"/>
        <v>4.3058823529411763</v>
      </c>
      <c r="H118" s="66">
        <f t="shared" si="24"/>
        <v>3.2294117647058824</v>
      </c>
      <c r="I118" s="72">
        <v>6</v>
      </c>
      <c r="J118" s="80">
        <f t="shared" si="28"/>
        <v>19.376470588235293</v>
      </c>
      <c r="K118" s="80">
        <f t="shared" si="25"/>
        <v>4.5709094117647053</v>
      </c>
      <c r="L118" s="80">
        <f t="shared" si="26"/>
        <v>23.947379999999999</v>
      </c>
    </row>
    <row r="119" spans="2:12" ht="48" x14ac:dyDescent="0.3">
      <c r="B119" s="93">
        <v>16</v>
      </c>
      <c r="C119" s="162" t="s">
        <v>48</v>
      </c>
      <c r="D119" s="162" t="s">
        <v>27</v>
      </c>
      <c r="E119" s="69" t="s">
        <v>45</v>
      </c>
      <c r="F119" s="65">
        <v>732</v>
      </c>
      <c r="G119" s="66">
        <f t="shared" si="29"/>
        <v>4.3058823529411763</v>
      </c>
      <c r="H119" s="66">
        <f t="shared" si="24"/>
        <v>3.2294117647058824</v>
      </c>
      <c r="I119" s="72">
        <v>1</v>
      </c>
      <c r="J119" s="80">
        <f t="shared" si="28"/>
        <v>3.2294117647058824</v>
      </c>
      <c r="K119" s="80">
        <f t="shared" si="25"/>
        <v>0.76181823529411763</v>
      </c>
      <c r="L119" s="80">
        <f t="shared" si="26"/>
        <v>3.9912299999999998</v>
      </c>
    </row>
    <row r="120" spans="2:12" ht="48" x14ac:dyDescent="0.3">
      <c r="B120" s="93">
        <v>17</v>
      </c>
      <c r="C120" s="162" t="s">
        <v>48</v>
      </c>
      <c r="D120" s="162" t="s">
        <v>25</v>
      </c>
      <c r="E120" s="69" t="s">
        <v>45</v>
      </c>
      <c r="F120" s="65">
        <v>853</v>
      </c>
      <c r="G120" s="66">
        <f t="shared" si="29"/>
        <v>5.0176470588235293</v>
      </c>
      <c r="H120" s="66">
        <f t="shared" si="24"/>
        <v>3.763235294117647</v>
      </c>
      <c r="I120" s="72">
        <v>2</v>
      </c>
      <c r="J120" s="80">
        <f t="shared" si="28"/>
        <v>7.526470588235294</v>
      </c>
      <c r="K120" s="80">
        <f t="shared" si="25"/>
        <v>1.7754944117647058</v>
      </c>
      <c r="L120" s="80">
        <f t="shared" si="26"/>
        <v>9.3019649999999992</v>
      </c>
    </row>
    <row r="121" spans="2:12" ht="48" x14ac:dyDescent="0.3">
      <c r="B121" s="93">
        <v>18</v>
      </c>
      <c r="C121" s="162" t="s">
        <v>48</v>
      </c>
      <c r="D121" s="162" t="s">
        <v>25</v>
      </c>
      <c r="E121" s="69" t="s">
        <v>45</v>
      </c>
      <c r="F121" s="65">
        <v>812</v>
      </c>
      <c r="G121" s="66">
        <f t="shared" si="29"/>
        <v>4.776470588235294</v>
      </c>
      <c r="H121" s="66">
        <f t="shared" si="24"/>
        <v>3.5823529411764703</v>
      </c>
      <c r="I121" s="72">
        <v>6</v>
      </c>
      <c r="J121" s="80">
        <f t="shared" si="28"/>
        <v>21.494117647058822</v>
      </c>
      <c r="K121" s="80">
        <f>SUM(J121*0.2359)</f>
        <v>5.0704623529411759</v>
      </c>
      <c r="L121" s="80">
        <f t="shared" si="26"/>
        <v>26.564579999999999</v>
      </c>
    </row>
    <row r="122" spans="2:12" ht="48" x14ac:dyDescent="0.3">
      <c r="B122" s="93">
        <v>19</v>
      </c>
      <c r="C122" s="152" t="s">
        <v>51</v>
      </c>
      <c r="D122" s="160" t="s">
        <v>25</v>
      </c>
      <c r="E122" s="69" t="s">
        <v>45</v>
      </c>
      <c r="F122" s="65">
        <v>784</v>
      </c>
      <c r="G122" s="66">
        <v>4.6619000000000002</v>
      </c>
      <c r="H122" s="66">
        <f>SUM(G122*0.75)</f>
        <v>3.4964250000000003</v>
      </c>
      <c r="I122" s="72">
        <v>18</v>
      </c>
      <c r="J122" s="80">
        <f>SUM(H122*I122)</f>
        <v>62.93565000000001</v>
      </c>
      <c r="K122" s="80">
        <f>SUM(J122*0.2359)</f>
        <v>14.846519835000002</v>
      </c>
      <c r="L122" s="80">
        <f>SUM(J122:K122)</f>
        <v>77.782169835000019</v>
      </c>
    </row>
    <row r="123" spans="2:12" ht="48" x14ac:dyDescent="0.3">
      <c r="B123" s="93">
        <v>20</v>
      </c>
      <c r="C123" s="152" t="s">
        <v>51</v>
      </c>
      <c r="D123" s="160" t="s">
        <v>25</v>
      </c>
      <c r="E123" s="69" t="s">
        <v>45</v>
      </c>
      <c r="F123" s="65">
        <v>784</v>
      </c>
      <c r="G123" s="66">
        <v>4.6619000000000002</v>
      </c>
      <c r="H123" s="66">
        <f t="shared" ref="H123:H130" si="30">SUM(G123*0.75)</f>
        <v>3.4964250000000003</v>
      </c>
      <c r="I123" s="72">
        <v>9</v>
      </c>
      <c r="J123" s="80">
        <f t="shared" ref="J123:J130" si="31">SUM(H123*I123)</f>
        <v>31.467825000000005</v>
      </c>
      <c r="K123" s="80">
        <f>SUM(J123*0.2194)</f>
        <v>6.9040408050000011</v>
      </c>
      <c r="L123" s="80">
        <f t="shared" ref="L123:L130" si="32">SUM(J123:K123)</f>
        <v>38.371865805000006</v>
      </c>
    </row>
    <row r="124" spans="2:12" ht="48" x14ac:dyDescent="0.3">
      <c r="B124" s="93">
        <v>21</v>
      </c>
      <c r="C124" s="152" t="s">
        <v>51</v>
      </c>
      <c r="D124" s="160" t="s">
        <v>25</v>
      </c>
      <c r="E124" s="69" t="s">
        <v>45</v>
      </c>
      <c r="F124" s="65">
        <v>784</v>
      </c>
      <c r="G124" s="66">
        <v>4.6619000000000002</v>
      </c>
      <c r="H124" s="66">
        <f t="shared" si="30"/>
        <v>3.4964250000000003</v>
      </c>
      <c r="I124" s="72">
        <v>6</v>
      </c>
      <c r="J124" s="80">
        <f t="shared" si="31"/>
        <v>20.978550000000002</v>
      </c>
      <c r="K124" s="80">
        <f t="shared" ref="K124:K130" si="33">SUM(J124*0.2359)</f>
        <v>4.9488399450000005</v>
      </c>
      <c r="L124" s="80">
        <f t="shared" si="32"/>
        <v>25.927389945000002</v>
      </c>
    </row>
    <row r="125" spans="2:12" ht="48" x14ac:dyDescent="0.3">
      <c r="B125" s="93">
        <v>22</v>
      </c>
      <c r="C125" s="152" t="s">
        <v>51</v>
      </c>
      <c r="D125" s="160" t="s">
        <v>27</v>
      </c>
      <c r="E125" s="69" t="s">
        <v>45</v>
      </c>
      <c r="F125" s="65">
        <v>706</v>
      </c>
      <c r="G125" s="66">
        <v>4.1981000000000002</v>
      </c>
      <c r="H125" s="66">
        <f t="shared" si="30"/>
        <v>3.1485750000000001</v>
      </c>
      <c r="I125" s="72">
        <v>10</v>
      </c>
      <c r="J125" s="80">
        <f t="shared" si="31"/>
        <v>31.485750000000003</v>
      </c>
      <c r="K125" s="80">
        <f t="shared" si="33"/>
        <v>7.4274884250000008</v>
      </c>
      <c r="L125" s="80">
        <f t="shared" si="32"/>
        <v>38.913238425000003</v>
      </c>
    </row>
    <row r="126" spans="2:12" ht="48" x14ac:dyDescent="0.3">
      <c r="B126" s="93">
        <v>23</v>
      </c>
      <c r="C126" s="152" t="s">
        <v>51</v>
      </c>
      <c r="D126" s="160" t="s">
        <v>25</v>
      </c>
      <c r="E126" s="69" t="s">
        <v>45</v>
      </c>
      <c r="F126" s="65">
        <v>784</v>
      </c>
      <c r="G126" s="66">
        <v>4.6619000000000002</v>
      </c>
      <c r="H126" s="66">
        <f t="shared" si="30"/>
        <v>3.4964250000000003</v>
      </c>
      <c r="I126" s="72">
        <v>14</v>
      </c>
      <c r="J126" s="80">
        <f t="shared" si="31"/>
        <v>48.949950000000001</v>
      </c>
      <c r="K126" s="80">
        <f t="shared" si="33"/>
        <v>11.547293205000001</v>
      </c>
      <c r="L126" s="80">
        <f t="shared" si="32"/>
        <v>60.497243205000004</v>
      </c>
    </row>
    <row r="127" spans="2:12" ht="48" x14ac:dyDescent="0.3">
      <c r="B127" s="93">
        <v>24</v>
      </c>
      <c r="C127" s="152" t="s">
        <v>51</v>
      </c>
      <c r="D127" s="160" t="s">
        <v>27</v>
      </c>
      <c r="E127" s="69" t="s">
        <v>45</v>
      </c>
      <c r="F127" s="65">
        <v>706</v>
      </c>
      <c r="G127" s="66">
        <v>4.1981000000000002</v>
      </c>
      <c r="H127" s="66">
        <f t="shared" si="30"/>
        <v>3.1485750000000001</v>
      </c>
      <c r="I127" s="72">
        <v>18</v>
      </c>
      <c r="J127" s="80">
        <f t="shared" si="31"/>
        <v>56.674350000000004</v>
      </c>
      <c r="K127" s="80">
        <f t="shared" si="33"/>
        <v>13.369479165000001</v>
      </c>
      <c r="L127" s="80">
        <f t="shared" si="32"/>
        <v>70.043829165000005</v>
      </c>
    </row>
    <row r="128" spans="2:12" ht="48" x14ac:dyDescent="0.3">
      <c r="B128" s="93">
        <v>25</v>
      </c>
      <c r="C128" s="152" t="s">
        <v>51</v>
      </c>
      <c r="D128" s="160" t="s">
        <v>27</v>
      </c>
      <c r="E128" s="69" t="s">
        <v>45</v>
      </c>
      <c r="F128" s="65">
        <v>706</v>
      </c>
      <c r="G128" s="66">
        <v>4.1981000000000002</v>
      </c>
      <c r="H128" s="66">
        <f t="shared" si="30"/>
        <v>3.1485750000000001</v>
      </c>
      <c r="I128" s="72">
        <v>14</v>
      </c>
      <c r="J128" s="80">
        <f t="shared" si="31"/>
        <v>44.08005</v>
      </c>
      <c r="K128" s="80">
        <f>SUM(J128*0.2194)</f>
        <v>9.671162970000001</v>
      </c>
      <c r="L128" s="80">
        <f t="shared" si="32"/>
        <v>53.751212969999997</v>
      </c>
    </row>
    <row r="129" spans="2:12" ht="48" x14ac:dyDescent="0.3">
      <c r="B129" s="93">
        <v>26</v>
      </c>
      <c r="C129" s="152" t="s">
        <v>51</v>
      </c>
      <c r="D129" s="160" t="s">
        <v>25</v>
      </c>
      <c r="E129" s="69" t="s">
        <v>45</v>
      </c>
      <c r="F129" s="65">
        <v>784</v>
      </c>
      <c r="G129" s="66">
        <v>4.6619000000000002</v>
      </c>
      <c r="H129" s="66">
        <f t="shared" si="30"/>
        <v>3.4964250000000003</v>
      </c>
      <c r="I129" s="72">
        <v>17</v>
      </c>
      <c r="J129" s="80">
        <f t="shared" si="31"/>
        <v>59.439225000000008</v>
      </c>
      <c r="K129" s="80">
        <f t="shared" si="33"/>
        <v>14.021713177500002</v>
      </c>
      <c r="L129" s="80">
        <f t="shared" si="32"/>
        <v>73.460938177500012</v>
      </c>
    </row>
    <row r="130" spans="2:12" ht="48" x14ac:dyDescent="0.3">
      <c r="B130" s="93">
        <v>27</v>
      </c>
      <c r="C130" s="152" t="s">
        <v>51</v>
      </c>
      <c r="D130" s="160" t="s">
        <v>27</v>
      </c>
      <c r="E130" s="69" t="s">
        <v>45</v>
      </c>
      <c r="F130" s="65">
        <v>706</v>
      </c>
      <c r="G130" s="66">
        <v>4.1981000000000002</v>
      </c>
      <c r="H130" s="66">
        <f t="shared" si="30"/>
        <v>3.1485750000000001</v>
      </c>
      <c r="I130" s="72">
        <v>17</v>
      </c>
      <c r="J130" s="80">
        <f t="shared" si="31"/>
        <v>53.525775000000003</v>
      </c>
      <c r="K130" s="80">
        <f t="shared" si="33"/>
        <v>12.6267303225</v>
      </c>
      <c r="L130" s="80">
        <f t="shared" si="32"/>
        <v>66.152505322500005</v>
      </c>
    </row>
    <row r="131" spans="2:12" ht="48" x14ac:dyDescent="0.3">
      <c r="B131" s="93">
        <v>28</v>
      </c>
      <c r="C131" s="141" t="s">
        <v>44</v>
      </c>
      <c r="D131" s="160" t="s">
        <v>25</v>
      </c>
      <c r="E131" s="69" t="s">
        <v>45</v>
      </c>
      <c r="F131" s="65">
        <v>784</v>
      </c>
      <c r="G131" s="66">
        <v>4.6619000000000002</v>
      </c>
      <c r="H131" s="66">
        <f>SUM(G131*0.75)</f>
        <v>3.4964250000000003</v>
      </c>
      <c r="I131" s="72">
        <v>28</v>
      </c>
      <c r="J131" s="80">
        <f>SUM(I131*H131)</f>
        <v>97.899900000000002</v>
      </c>
      <c r="K131" s="80">
        <f>SUM(J131*0.2359)</f>
        <v>23.094586410000002</v>
      </c>
      <c r="L131" s="80">
        <f>SUM(J131:K131)</f>
        <v>120.99448641000001</v>
      </c>
    </row>
    <row r="132" spans="2:12" ht="48" x14ac:dyDescent="0.3">
      <c r="B132" s="93">
        <v>29</v>
      </c>
      <c r="C132" s="141" t="s">
        <v>44</v>
      </c>
      <c r="D132" s="160" t="s">
        <v>27</v>
      </c>
      <c r="E132" s="69" t="s">
        <v>45</v>
      </c>
      <c r="F132" s="65">
        <v>706</v>
      </c>
      <c r="G132" s="66">
        <v>4.1981000000000002</v>
      </c>
      <c r="H132" s="66">
        <f t="shared" ref="H132:H168" si="34">SUM(G132*0.75)</f>
        <v>3.1485750000000001</v>
      </c>
      <c r="I132" s="72">
        <v>25</v>
      </c>
      <c r="J132" s="80">
        <f t="shared" ref="J132:J168" si="35">SUM(I132*H132)</f>
        <v>78.714375000000004</v>
      </c>
      <c r="K132" s="80">
        <f t="shared" ref="K132:K168" si="36">SUM(J132*0.2359)</f>
        <v>18.5687210625</v>
      </c>
      <c r="L132" s="80">
        <f t="shared" ref="L132:L168" si="37">SUM(J132:K132)</f>
        <v>97.283096062500007</v>
      </c>
    </row>
    <row r="133" spans="2:12" ht="48" x14ac:dyDescent="0.3">
      <c r="B133" s="93">
        <v>30</v>
      </c>
      <c r="C133" s="141" t="s">
        <v>44</v>
      </c>
      <c r="D133" s="160" t="s">
        <v>27</v>
      </c>
      <c r="E133" s="69" t="s">
        <v>45</v>
      </c>
      <c r="F133" s="65">
        <v>706</v>
      </c>
      <c r="G133" s="66">
        <v>4.1981000000000002</v>
      </c>
      <c r="H133" s="66">
        <f t="shared" si="34"/>
        <v>3.1485750000000001</v>
      </c>
      <c r="I133" s="72">
        <v>31</v>
      </c>
      <c r="J133" s="80">
        <f t="shared" si="35"/>
        <v>97.60582500000001</v>
      </c>
      <c r="K133" s="80">
        <f t="shared" si="36"/>
        <v>23.025214117500003</v>
      </c>
      <c r="L133" s="80">
        <f t="shared" si="37"/>
        <v>120.63103911750001</v>
      </c>
    </row>
    <row r="134" spans="2:12" ht="48" x14ac:dyDescent="0.3">
      <c r="B134" s="93">
        <v>31</v>
      </c>
      <c r="C134" s="141" t="s">
        <v>44</v>
      </c>
      <c r="D134" s="160" t="s">
        <v>27</v>
      </c>
      <c r="E134" s="69" t="s">
        <v>45</v>
      </c>
      <c r="F134" s="99">
        <v>706</v>
      </c>
      <c r="G134" s="100">
        <v>4.1981000000000002</v>
      </c>
      <c r="H134" s="100">
        <f t="shared" si="34"/>
        <v>3.1485750000000001</v>
      </c>
      <c r="I134" s="99">
        <v>25</v>
      </c>
      <c r="J134" s="163">
        <f t="shared" si="35"/>
        <v>78.714375000000004</v>
      </c>
      <c r="K134" s="80">
        <f t="shared" si="36"/>
        <v>18.5687210625</v>
      </c>
      <c r="L134" s="80">
        <f t="shared" si="37"/>
        <v>97.283096062500007</v>
      </c>
    </row>
    <row r="135" spans="2:12" ht="48" x14ac:dyDescent="0.3">
      <c r="B135" s="93">
        <v>32</v>
      </c>
      <c r="C135" s="141" t="s">
        <v>44</v>
      </c>
      <c r="D135" s="160" t="s">
        <v>25</v>
      </c>
      <c r="E135" s="69" t="s">
        <v>45</v>
      </c>
      <c r="F135" s="65">
        <v>784</v>
      </c>
      <c r="G135" s="66">
        <v>4.6619000000000002</v>
      </c>
      <c r="H135" s="66">
        <f t="shared" si="34"/>
        <v>3.4964250000000003</v>
      </c>
      <c r="I135" s="72">
        <v>22</v>
      </c>
      <c r="J135" s="80">
        <f t="shared" si="35"/>
        <v>76.921350000000004</v>
      </c>
      <c r="K135" s="80">
        <f t="shared" si="36"/>
        <v>18.145746465000002</v>
      </c>
      <c r="L135" s="80">
        <f t="shared" si="37"/>
        <v>95.067096465000006</v>
      </c>
    </row>
    <row r="136" spans="2:12" ht="48" x14ac:dyDescent="0.3">
      <c r="B136" s="93">
        <v>33</v>
      </c>
      <c r="C136" s="141" t="s">
        <v>44</v>
      </c>
      <c r="D136" s="160" t="s">
        <v>27</v>
      </c>
      <c r="E136" s="69" t="s">
        <v>45</v>
      </c>
      <c r="F136" s="65">
        <v>706</v>
      </c>
      <c r="G136" s="66">
        <v>4.1981000000000002</v>
      </c>
      <c r="H136" s="66">
        <f t="shared" si="34"/>
        <v>3.1485750000000001</v>
      </c>
      <c r="I136" s="72">
        <v>22</v>
      </c>
      <c r="J136" s="80">
        <f t="shared" si="35"/>
        <v>69.268650000000008</v>
      </c>
      <c r="K136" s="80">
        <f t="shared" si="36"/>
        <v>16.340474535000002</v>
      </c>
      <c r="L136" s="80">
        <f t="shared" si="37"/>
        <v>85.609124535000007</v>
      </c>
    </row>
    <row r="137" spans="2:12" ht="48" x14ac:dyDescent="0.3">
      <c r="B137" s="93">
        <v>34</v>
      </c>
      <c r="C137" s="141" t="s">
        <v>44</v>
      </c>
      <c r="D137" s="160" t="s">
        <v>27</v>
      </c>
      <c r="E137" s="69" t="s">
        <v>45</v>
      </c>
      <c r="F137" s="65">
        <v>706</v>
      </c>
      <c r="G137" s="66">
        <v>4.1981000000000002</v>
      </c>
      <c r="H137" s="66">
        <f t="shared" si="34"/>
        <v>3.1485750000000001</v>
      </c>
      <c r="I137" s="72">
        <v>15</v>
      </c>
      <c r="J137" s="80">
        <f t="shared" si="35"/>
        <v>47.228625000000001</v>
      </c>
      <c r="K137" s="80">
        <f t="shared" si="36"/>
        <v>11.1412326375</v>
      </c>
      <c r="L137" s="80">
        <f t="shared" si="37"/>
        <v>58.369857637500004</v>
      </c>
    </row>
    <row r="138" spans="2:12" ht="48" x14ac:dyDescent="0.3">
      <c r="B138" s="93">
        <v>35</v>
      </c>
      <c r="C138" s="141" t="s">
        <v>44</v>
      </c>
      <c r="D138" s="160" t="s">
        <v>27</v>
      </c>
      <c r="E138" s="69" t="s">
        <v>45</v>
      </c>
      <c r="F138" s="65">
        <v>706</v>
      </c>
      <c r="G138" s="66">
        <v>4.1981000000000002</v>
      </c>
      <c r="H138" s="66">
        <f t="shared" si="34"/>
        <v>3.1485750000000001</v>
      </c>
      <c r="I138" s="72">
        <v>23</v>
      </c>
      <c r="J138" s="80">
        <f t="shared" si="35"/>
        <v>72.417225000000002</v>
      </c>
      <c r="K138" s="80">
        <f t="shared" si="36"/>
        <v>17.083223377500001</v>
      </c>
      <c r="L138" s="80">
        <f t="shared" si="37"/>
        <v>89.500448377500007</v>
      </c>
    </row>
    <row r="139" spans="2:12" ht="48" x14ac:dyDescent="0.3">
      <c r="B139" s="93">
        <v>36</v>
      </c>
      <c r="C139" s="141" t="s">
        <v>44</v>
      </c>
      <c r="D139" s="160" t="s">
        <v>25</v>
      </c>
      <c r="E139" s="69" t="s">
        <v>45</v>
      </c>
      <c r="F139" s="65">
        <v>784</v>
      </c>
      <c r="G139" s="66">
        <v>4.6619000000000002</v>
      </c>
      <c r="H139" s="66">
        <f t="shared" si="34"/>
        <v>3.4964250000000003</v>
      </c>
      <c r="I139" s="72">
        <v>14</v>
      </c>
      <c r="J139" s="80">
        <f t="shared" si="35"/>
        <v>48.949950000000001</v>
      </c>
      <c r="K139" s="80">
        <f t="shared" si="36"/>
        <v>11.547293205000001</v>
      </c>
      <c r="L139" s="80">
        <f t="shared" si="37"/>
        <v>60.497243205000004</v>
      </c>
    </row>
    <row r="140" spans="2:12" ht="48" x14ac:dyDescent="0.3">
      <c r="B140" s="93">
        <v>37</v>
      </c>
      <c r="C140" s="141" t="s">
        <v>44</v>
      </c>
      <c r="D140" s="160" t="s">
        <v>53</v>
      </c>
      <c r="E140" s="69" t="s">
        <v>45</v>
      </c>
      <c r="F140" s="65">
        <v>706</v>
      </c>
      <c r="G140" s="66">
        <v>4.1981000000000002</v>
      </c>
      <c r="H140" s="66">
        <f t="shared" si="34"/>
        <v>3.1485750000000001</v>
      </c>
      <c r="I140" s="72">
        <v>8</v>
      </c>
      <c r="J140" s="80">
        <f t="shared" si="35"/>
        <v>25.188600000000001</v>
      </c>
      <c r="K140" s="80">
        <f t="shared" si="36"/>
        <v>5.9419907400000005</v>
      </c>
      <c r="L140" s="80">
        <f t="shared" si="37"/>
        <v>31.130590740000002</v>
      </c>
    </row>
    <row r="141" spans="2:12" ht="48" x14ac:dyDescent="0.3">
      <c r="B141" s="93">
        <v>38</v>
      </c>
      <c r="C141" s="141" t="s">
        <v>44</v>
      </c>
      <c r="D141" s="160" t="s">
        <v>27</v>
      </c>
      <c r="E141" s="69" t="s">
        <v>45</v>
      </c>
      <c r="F141" s="65">
        <v>706</v>
      </c>
      <c r="G141" s="66">
        <v>4.1981000000000002</v>
      </c>
      <c r="H141" s="66">
        <f t="shared" si="34"/>
        <v>3.1485750000000001</v>
      </c>
      <c r="I141" s="72">
        <v>28</v>
      </c>
      <c r="J141" s="80">
        <f t="shared" si="35"/>
        <v>88.1601</v>
      </c>
      <c r="K141" s="80">
        <f t="shared" si="36"/>
        <v>20.796967590000001</v>
      </c>
      <c r="L141" s="80">
        <f t="shared" si="37"/>
        <v>108.95706759000001</v>
      </c>
    </row>
    <row r="142" spans="2:12" ht="48" x14ac:dyDescent="0.3">
      <c r="B142" s="93">
        <v>39</v>
      </c>
      <c r="C142" s="141" t="s">
        <v>44</v>
      </c>
      <c r="D142" s="160" t="s">
        <v>27</v>
      </c>
      <c r="E142" s="69" t="s">
        <v>45</v>
      </c>
      <c r="F142" s="65">
        <v>706</v>
      </c>
      <c r="G142" s="66">
        <v>4.1981000000000002</v>
      </c>
      <c r="H142" s="66">
        <f t="shared" si="34"/>
        <v>3.1485750000000001</v>
      </c>
      <c r="I142" s="72">
        <v>15</v>
      </c>
      <c r="J142" s="80">
        <f t="shared" si="35"/>
        <v>47.228625000000001</v>
      </c>
      <c r="K142" s="80">
        <f t="shared" si="36"/>
        <v>11.1412326375</v>
      </c>
      <c r="L142" s="80">
        <f t="shared" si="37"/>
        <v>58.369857637500004</v>
      </c>
    </row>
    <row r="143" spans="2:12" ht="48" x14ac:dyDescent="0.3">
      <c r="B143" s="93">
        <v>40</v>
      </c>
      <c r="C143" s="141" t="s">
        <v>44</v>
      </c>
      <c r="D143" s="160" t="s">
        <v>27</v>
      </c>
      <c r="E143" s="69" t="s">
        <v>45</v>
      </c>
      <c r="F143" s="65">
        <v>706</v>
      </c>
      <c r="G143" s="66">
        <v>4.1981000000000002</v>
      </c>
      <c r="H143" s="66">
        <f t="shared" si="34"/>
        <v>3.1485750000000001</v>
      </c>
      <c r="I143" s="72">
        <v>8</v>
      </c>
      <c r="J143" s="80">
        <f t="shared" si="35"/>
        <v>25.188600000000001</v>
      </c>
      <c r="K143" s="80">
        <f t="shared" si="36"/>
        <v>5.9419907400000005</v>
      </c>
      <c r="L143" s="80">
        <f t="shared" si="37"/>
        <v>31.130590740000002</v>
      </c>
    </row>
    <row r="144" spans="2:12" ht="48" x14ac:dyDescent="0.3">
      <c r="B144" s="93">
        <v>41</v>
      </c>
      <c r="C144" s="141" t="s">
        <v>44</v>
      </c>
      <c r="D144" s="160" t="s">
        <v>27</v>
      </c>
      <c r="E144" s="69" t="s">
        <v>45</v>
      </c>
      <c r="F144" s="65">
        <v>706</v>
      </c>
      <c r="G144" s="66">
        <v>4.1981000000000002</v>
      </c>
      <c r="H144" s="66">
        <f t="shared" si="34"/>
        <v>3.1485750000000001</v>
      </c>
      <c r="I144" s="72">
        <v>15</v>
      </c>
      <c r="J144" s="80">
        <f t="shared" si="35"/>
        <v>47.228625000000001</v>
      </c>
      <c r="K144" s="80">
        <f t="shared" si="36"/>
        <v>11.1412326375</v>
      </c>
      <c r="L144" s="80">
        <f t="shared" si="37"/>
        <v>58.369857637500004</v>
      </c>
    </row>
    <row r="145" spans="2:12" ht="48" x14ac:dyDescent="0.3">
      <c r="B145" s="93">
        <v>42</v>
      </c>
      <c r="C145" s="141" t="s">
        <v>44</v>
      </c>
      <c r="D145" s="160" t="s">
        <v>25</v>
      </c>
      <c r="E145" s="69" t="s">
        <v>45</v>
      </c>
      <c r="F145" s="65">
        <v>784</v>
      </c>
      <c r="G145" s="66">
        <v>4.6619000000000002</v>
      </c>
      <c r="H145" s="66">
        <f t="shared" si="34"/>
        <v>3.4964250000000003</v>
      </c>
      <c r="I145" s="72">
        <v>19</v>
      </c>
      <c r="J145" s="80">
        <f t="shared" si="35"/>
        <v>66.432075000000012</v>
      </c>
      <c r="K145" s="80">
        <f t="shared" si="36"/>
        <v>15.671326492500002</v>
      </c>
      <c r="L145" s="80">
        <f t="shared" si="37"/>
        <v>82.103401492500012</v>
      </c>
    </row>
    <row r="146" spans="2:12" ht="48" x14ac:dyDescent="0.3">
      <c r="B146" s="93">
        <v>43</v>
      </c>
      <c r="C146" s="141" t="s">
        <v>44</v>
      </c>
      <c r="D146" s="160" t="s">
        <v>25</v>
      </c>
      <c r="E146" s="69" t="s">
        <v>45</v>
      </c>
      <c r="F146" s="65">
        <v>784</v>
      </c>
      <c r="G146" s="66">
        <v>4.6619000000000002</v>
      </c>
      <c r="H146" s="66">
        <f t="shared" si="34"/>
        <v>3.4964250000000003</v>
      </c>
      <c r="I146" s="72">
        <v>26</v>
      </c>
      <c r="J146" s="80">
        <f t="shared" si="35"/>
        <v>90.907050000000012</v>
      </c>
      <c r="K146" s="80">
        <f t="shared" si="36"/>
        <v>21.444973095000002</v>
      </c>
      <c r="L146" s="80">
        <f t="shared" si="37"/>
        <v>112.35202309500002</v>
      </c>
    </row>
    <row r="147" spans="2:12" ht="48" x14ac:dyDescent="0.3">
      <c r="B147" s="93">
        <v>44</v>
      </c>
      <c r="C147" s="141" t="s">
        <v>44</v>
      </c>
      <c r="D147" s="160" t="s">
        <v>53</v>
      </c>
      <c r="E147" s="69" t="s">
        <v>45</v>
      </c>
      <c r="F147" s="65">
        <v>706</v>
      </c>
      <c r="G147" s="66">
        <v>4.1981000000000002</v>
      </c>
      <c r="H147" s="66">
        <f t="shared" si="34"/>
        <v>3.1485750000000001</v>
      </c>
      <c r="I147" s="72">
        <v>27</v>
      </c>
      <c r="J147" s="80">
        <f t="shared" si="35"/>
        <v>85.011525000000006</v>
      </c>
      <c r="K147" s="80">
        <f t="shared" si="36"/>
        <v>20.054218747500002</v>
      </c>
      <c r="L147" s="80">
        <f t="shared" si="37"/>
        <v>105.06574374750001</v>
      </c>
    </row>
    <row r="148" spans="2:12" ht="48" x14ac:dyDescent="0.3">
      <c r="B148" s="93">
        <v>45</v>
      </c>
      <c r="C148" s="141" t="s">
        <v>44</v>
      </c>
      <c r="D148" s="160" t="s">
        <v>38</v>
      </c>
      <c r="E148" s="69" t="s">
        <v>45</v>
      </c>
      <c r="F148" s="65">
        <v>642</v>
      </c>
      <c r="G148" s="66">
        <v>3.8176000000000001</v>
      </c>
      <c r="H148" s="66">
        <f t="shared" si="34"/>
        <v>2.8632</v>
      </c>
      <c r="I148" s="72">
        <v>30</v>
      </c>
      <c r="J148" s="80">
        <f t="shared" si="35"/>
        <v>85.896000000000001</v>
      </c>
      <c r="K148" s="80">
        <f t="shared" si="36"/>
        <v>20.2628664</v>
      </c>
      <c r="L148" s="80">
        <f t="shared" si="37"/>
        <v>106.15886639999999</v>
      </c>
    </row>
    <row r="149" spans="2:12" ht="48" x14ac:dyDescent="0.3">
      <c r="B149" s="93">
        <v>46</v>
      </c>
      <c r="C149" s="141" t="s">
        <v>44</v>
      </c>
      <c r="D149" s="160" t="s">
        <v>27</v>
      </c>
      <c r="E149" s="69" t="s">
        <v>45</v>
      </c>
      <c r="F149" s="65">
        <v>706</v>
      </c>
      <c r="G149" s="66">
        <v>4.1981000000000002</v>
      </c>
      <c r="H149" s="66">
        <f t="shared" si="34"/>
        <v>3.1485750000000001</v>
      </c>
      <c r="I149" s="72">
        <v>21</v>
      </c>
      <c r="J149" s="80">
        <f t="shared" si="35"/>
        <v>66.120075</v>
      </c>
      <c r="K149" s="80">
        <f t="shared" si="36"/>
        <v>15.597725692499999</v>
      </c>
      <c r="L149" s="80">
        <f t="shared" si="37"/>
        <v>81.717800692499992</v>
      </c>
    </row>
    <row r="150" spans="2:12" ht="48" x14ac:dyDescent="0.3">
      <c r="B150" s="93">
        <v>47</v>
      </c>
      <c r="C150" s="141" t="s">
        <v>44</v>
      </c>
      <c r="D150" s="160" t="s">
        <v>25</v>
      </c>
      <c r="E150" s="69" t="s">
        <v>45</v>
      </c>
      <c r="F150" s="65">
        <v>784</v>
      </c>
      <c r="G150" s="66">
        <v>4.6619000000000002</v>
      </c>
      <c r="H150" s="66">
        <f t="shared" si="34"/>
        <v>3.4964250000000003</v>
      </c>
      <c r="I150" s="72">
        <v>28</v>
      </c>
      <c r="J150" s="80">
        <f t="shared" si="35"/>
        <v>97.899900000000002</v>
      </c>
      <c r="K150" s="80">
        <f t="shared" si="36"/>
        <v>23.094586410000002</v>
      </c>
      <c r="L150" s="80">
        <f t="shared" si="37"/>
        <v>120.99448641000001</v>
      </c>
    </row>
    <row r="151" spans="2:12" ht="48" x14ac:dyDescent="0.3">
      <c r="B151" s="93">
        <v>48</v>
      </c>
      <c r="C151" s="141" t="s">
        <v>44</v>
      </c>
      <c r="D151" s="160" t="s">
        <v>27</v>
      </c>
      <c r="E151" s="69" t="s">
        <v>45</v>
      </c>
      <c r="F151" s="65">
        <v>706</v>
      </c>
      <c r="G151" s="66">
        <v>4.1981000000000002</v>
      </c>
      <c r="H151" s="66">
        <f t="shared" si="34"/>
        <v>3.1485750000000001</v>
      </c>
      <c r="I151" s="72">
        <v>16</v>
      </c>
      <c r="J151" s="80">
        <f t="shared" si="35"/>
        <v>50.377200000000002</v>
      </c>
      <c r="K151" s="80">
        <f t="shared" si="36"/>
        <v>11.883981480000001</v>
      </c>
      <c r="L151" s="80">
        <f t="shared" si="37"/>
        <v>62.261181480000005</v>
      </c>
    </row>
    <row r="152" spans="2:12" ht="48" x14ac:dyDescent="0.3">
      <c r="B152" s="93">
        <v>49</v>
      </c>
      <c r="C152" s="141" t="s">
        <v>44</v>
      </c>
      <c r="D152" s="160" t="s">
        <v>27</v>
      </c>
      <c r="E152" s="69" t="s">
        <v>45</v>
      </c>
      <c r="F152" s="65">
        <v>706</v>
      </c>
      <c r="G152" s="66">
        <v>4.1981000000000002</v>
      </c>
      <c r="H152" s="66">
        <f t="shared" si="34"/>
        <v>3.1485750000000001</v>
      </c>
      <c r="I152" s="72">
        <v>29</v>
      </c>
      <c r="J152" s="80">
        <f t="shared" si="35"/>
        <v>91.308675000000008</v>
      </c>
      <c r="K152" s="80">
        <f t="shared" si="36"/>
        <v>21.539716432500001</v>
      </c>
      <c r="L152" s="80">
        <f t="shared" si="37"/>
        <v>112.84839143250001</v>
      </c>
    </row>
    <row r="153" spans="2:12" ht="48" x14ac:dyDescent="0.3">
      <c r="B153" s="93">
        <v>50</v>
      </c>
      <c r="C153" s="141" t="s">
        <v>44</v>
      </c>
      <c r="D153" s="160" t="s">
        <v>53</v>
      </c>
      <c r="E153" s="69" t="s">
        <v>45</v>
      </c>
      <c r="F153" s="65">
        <v>706</v>
      </c>
      <c r="G153" s="66">
        <v>4.1981000000000002</v>
      </c>
      <c r="H153" s="66">
        <f t="shared" si="34"/>
        <v>3.1485750000000001</v>
      </c>
      <c r="I153" s="72">
        <v>22</v>
      </c>
      <c r="J153" s="80">
        <f t="shared" si="35"/>
        <v>69.268650000000008</v>
      </c>
      <c r="K153" s="80">
        <f t="shared" si="36"/>
        <v>16.340474535000002</v>
      </c>
      <c r="L153" s="80">
        <f t="shared" si="37"/>
        <v>85.609124535000007</v>
      </c>
    </row>
    <row r="154" spans="2:12" ht="48" x14ac:dyDescent="0.3">
      <c r="B154" s="93">
        <v>51</v>
      </c>
      <c r="C154" s="141" t="s">
        <v>44</v>
      </c>
      <c r="D154" s="160" t="s">
        <v>27</v>
      </c>
      <c r="E154" s="69" t="s">
        <v>45</v>
      </c>
      <c r="F154" s="65">
        <v>706</v>
      </c>
      <c r="G154" s="66">
        <v>4.1981000000000002</v>
      </c>
      <c r="H154" s="66">
        <f t="shared" si="34"/>
        <v>3.1485750000000001</v>
      </c>
      <c r="I154" s="72">
        <v>17</v>
      </c>
      <c r="J154" s="80">
        <f t="shared" si="35"/>
        <v>53.525775000000003</v>
      </c>
      <c r="K154" s="80">
        <f t="shared" si="36"/>
        <v>12.6267303225</v>
      </c>
      <c r="L154" s="80">
        <f t="shared" si="37"/>
        <v>66.152505322500005</v>
      </c>
    </row>
    <row r="155" spans="2:12" ht="48" x14ac:dyDescent="0.3">
      <c r="B155" s="93">
        <v>52</v>
      </c>
      <c r="C155" s="141" t="s">
        <v>44</v>
      </c>
      <c r="D155" s="160" t="s">
        <v>57</v>
      </c>
      <c r="E155" s="69" t="s">
        <v>45</v>
      </c>
      <c r="F155" s="65">
        <v>784</v>
      </c>
      <c r="G155" s="66">
        <v>4.6619000000000002</v>
      </c>
      <c r="H155" s="66">
        <f t="shared" si="34"/>
        <v>3.4964250000000003</v>
      </c>
      <c r="I155" s="72">
        <v>34</v>
      </c>
      <c r="J155" s="80">
        <f t="shared" si="35"/>
        <v>118.87845000000002</v>
      </c>
      <c r="K155" s="80">
        <f t="shared" si="36"/>
        <v>28.043426355000005</v>
      </c>
      <c r="L155" s="80">
        <f t="shared" si="37"/>
        <v>146.92187635500002</v>
      </c>
    </row>
    <row r="156" spans="2:12" ht="48" x14ac:dyDescent="0.3">
      <c r="B156" s="93">
        <v>53</v>
      </c>
      <c r="C156" s="141" t="s">
        <v>44</v>
      </c>
      <c r="D156" s="160" t="s">
        <v>25</v>
      </c>
      <c r="E156" s="69" t="s">
        <v>45</v>
      </c>
      <c r="F156" s="65">
        <v>784</v>
      </c>
      <c r="G156" s="66">
        <v>4.6619000000000002</v>
      </c>
      <c r="H156" s="66">
        <f t="shared" si="34"/>
        <v>3.4964250000000003</v>
      </c>
      <c r="I156" s="72">
        <v>9</v>
      </c>
      <c r="J156" s="80">
        <f t="shared" si="35"/>
        <v>31.467825000000005</v>
      </c>
      <c r="K156" s="80">
        <f t="shared" si="36"/>
        <v>7.4232599175000011</v>
      </c>
      <c r="L156" s="80">
        <f t="shared" si="37"/>
        <v>38.89108491750001</v>
      </c>
    </row>
    <row r="157" spans="2:12" ht="48" x14ac:dyDescent="0.3">
      <c r="B157" s="93">
        <v>54</v>
      </c>
      <c r="C157" s="141" t="s">
        <v>44</v>
      </c>
      <c r="D157" s="160" t="s">
        <v>53</v>
      </c>
      <c r="E157" s="69" t="s">
        <v>45</v>
      </c>
      <c r="F157" s="65">
        <v>706</v>
      </c>
      <c r="G157" s="66">
        <v>4.1981000000000002</v>
      </c>
      <c r="H157" s="66">
        <f t="shared" si="34"/>
        <v>3.1485750000000001</v>
      </c>
      <c r="I157" s="72">
        <v>16</v>
      </c>
      <c r="J157" s="80">
        <f t="shared" si="35"/>
        <v>50.377200000000002</v>
      </c>
      <c r="K157" s="80">
        <f t="shared" si="36"/>
        <v>11.883981480000001</v>
      </c>
      <c r="L157" s="80">
        <f t="shared" si="37"/>
        <v>62.261181480000005</v>
      </c>
    </row>
    <row r="158" spans="2:12" ht="48" x14ac:dyDescent="0.3">
      <c r="B158" s="93">
        <v>55</v>
      </c>
      <c r="C158" s="141" t="s">
        <v>44</v>
      </c>
      <c r="D158" s="160" t="s">
        <v>27</v>
      </c>
      <c r="E158" s="69" t="s">
        <v>45</v>
      </c>
      <c r="F158" s="65">
        <v>706</v>
      </c>
      <c r="G158" s="66">
        <v>4.1981000000000002</v>
      </c>
      <c r="H158" s="66">
        <f t="shared" si="34"/>
        <v>3.1485750000000001</v>
      </c>
      <c r="I158" s="72">
        <v>22</v>
      </c>
      <c r="J158" s="80">
        <f t="shared" si="35"/>
        <v>69.268650000000008</v>
      </c>
      <c r="K158" s="80">
        <f t="shared" si="36"/>
        <v>16.340474535000002</v>
      </c>
      <c r="L158" s="80">
        <f t="shared" si="37"/>
        <v>85.609124535000007</v>
      </c>
    </row>
    <row r="159" spans="2:12" ht="48" x14ac:dyDescent="0.3">
      <c r="B159" s="93">
        <v>56</v>
      </c>
      <c r="C159" s="141" t="s">
        <v>44</v>
      </c>
      <c r="D159" s="160" t="s">
        <v>27</v>
      </c>
      <c r="E159" s="69" t="s">
        <v>45</v>
      </c>
      <c r="F159" s="65">
        <v>706</v>
      </c>
      <c r="G159" s="66">
        <v>4.1981000000000002</v>
      </c>
      <c r="H159" s="66">
        <f t="shared" si="34"/>
        <v>3.1485750000000001</v>
      </c>
      <c r="I159" s="72">
        <v>21</v>
      </c>
      <c r="J159" s="80">
        <f t="shared" si="35"/>
        <v>66.120075</v>
      </c>
      <c r="K159" s="80">
        <f t="shared" si="36"/>
        <v>15.597725692499999</v>
      </c>
      <c r="L159" s="80">
        <f t="shared" si="37"/>
        <v>81.717800692499992</v>
      </c>
    </row>
    <row r="160" spans="2:12" ht="48" x14ac:dyDescent="0.3">
      <c r="B160" s="93">
        <v>57</v>
      </c>
      <c r="C160" s="141" t="s">
        <v>44</v>
      </c>
      <c r="D160" s="160" t="s">
        <v>27</v>
      </c>
      <c r="E160" s="69" t="s">
        <v>45</v>
      </c>
      <c r="F160" s="65">
        <v>706</v>
      </c>
      <c r="G160" s="66">
        <v>4.1981000000000002</v>
      </c>
      <c r="H160" s="66">
        <f t="shared" si="34"/>
        <v>3.1485750000000001</v>
      </c>
      <c r="I160" s="72">
        <v>24</v>
      </c>
      <c r="J160" s="80">
        <f t="shared" si="35"/>
        <v>75.565799999999996</v>
      </c>
      <c r="K160" s="80">
        <f t="shared" si="36"/>
        <v>17.825972220000001</v>
      </c>
      <c r="L160" s="80">
        <f t="shared" si="37"/>
        <v>93.391772219999993</v>
      </c>
    </row>
    <row r="161" spans="2:12" ht="48" x14ac:dyDescent="0.3">
      <c r="B161" s="93">
        <v>58</v>
      </c>
      <c r="C161" s="141" t="s">
        <v>44</v>
      </c>
      <c r="D161" s="160" t="s">
        <v>27</v>
      </c>
      <c r="E161" s="69" t="s">
        <v>45</v>
      </c>
      <c r="F161" s="65">
        <v>706</v>
      </c>
      <c r="G161" s="66">
        <v>4.1981000000000002</v>
      </c>
      <c r="H161" s="66">
        <f t="shared" si="34"/>
        <v>3.1485750000000001</v>
      </c>
      <c r="I161" s="72">
        <v>22</v>
      </c>
      <c r="J161" s="80">
        <f t="shared" si="35"/>
        <v>69.268650000000008</v>
      </c>
      <c r="K161" s="80">
        <f t="shared" si="36"/>
        <v>16.340474535000002</v>
      </c>
      <c r="L161" s="80">
        <f t="shared" si="37"/>
        <v>85.609124535000007</v>
      </c>
    </row>
    <row r="162" spans="2:12" ht="48" x14ac:dyDescent="0.3">
      <c r="B162" s="93">
        <v>59</v>
      </c>
      <c r="C162" s="141" t="s">
        <v>44</v>
      </c>
      <c r="D162" s="160" t="s">
        <v>38</v>
      </c>
      <c r="E162" s="69" t="s">
        <v>45</v>
      </c>
      <c r="F162" s="65">
        <v>513.6</v>
      </c>
      <c r="G162" s="100">
        <v>3.0541</v>
      </c>
      <c r="H162" s="66">
        <f t="shared" si="34"/>
        <v>2.290575</v>
      </c>
      <c r="I162" s="72">
        <v>15</v>
      </c>
      <c r="J162" s="80">
        <f t="shared" si="35"/>
        <v>34.358625000000004</v>
      </c>
      <c r="K162" s="80">
        <f t="shared" si="36"/>
        <v>8.1051996375000002</v>
      </c>
      <c r="L162" s="80">
        <f t="shared" si="37"/>
        <v>42.463824637500004</v>
      </c>
    </row>
    <row r="163" spans="2:12" ht="48" x14ac:dyDescent="0.3">
      <c r="B163" s="93">
        <v>60</v>
      </c>
      <c r="C163" s="141" t="s">
        <v>44</v>
      </c>
      <c r="D163" s="160" t="s">
        <v>121</v>
      </c>
      <c r="E163" s="69" t="s">
        <v>45</v>
      </c>
      <c r="F163" s="65">
        <v>642</v>
      </c>
      <c r="G163" s="66">
        <v>3.8176000000000001</v>
      </c>
      <c r="H163" s="66">
        <f t="shared" si="34"/>
        <v>2.8632</v>
      </c>
      <c r="I163" s="72">
        <v>19</v>
      </c>
      <c r="J163" s="80">
        <f t="shared" si="35"/>
        <v>54.400799999999997</v>
      </c>
      <c r="K163" s="80">
        <f t="shared" si="36"/>
        <v>12.833148719999999</v>
      </c>
      <c r="L163" s="80">
        <f t="shared" si="37"/>
        <v>67.233948720000001</v>
      </c>
    </row>
    <row r="164" spans="2:12" ht="48" x14ac:dyDescent="0.3">
      <c r="B164" s="93">
        <v>61</v>
      </c>
      <c r="C164" s="141" t="s">
        <v>44</v>
      </c>
      <c r="D164" s="160" t="s">
        <v>121</v>
      </c>
      <c r="E164" s="69" t="s">
        <v>45</v>
      </c>
      <c r="F164" s="65">
        <v>642</v>
      </c>
      <c r="G164" s="66">
        <v>3.8176000000000001</v>
      </c>
      <c r="H164" s="66">
        <f t="shared" si="34"/>
        <v>2.8632</v>
      </c>
      <c r="I164" s="72">
        <v>19</v>
      </c>
      <c r="J164" s="80">
        <f t="shared" si="35"/>
        <v>54.400799999999997</v>
      </c>
      <c r="K164" s="80">
        <f t="shared" si="36"/>
        <v>12.833148719999999</v>
      </c>
      <c r="L164" s="80">
        <f t="shared" si="37"/>
        <v>67.233948720000001</v>
      </c>
    </row>
    <row r="165" spans="2:12" ht="48" x14ac:dyDescent="0.3">
      <c r="B165" s="93">
        <v>62</v>
      </c>
      <c r="C165" s="141" t="s">
        <v>44</v>
      </c>
      <c r="D165" s="160" t="s">
        <v>121</v>
      </c>
      <c r="E165" s="69" t="s">
        <v>45</v>
      </c>
      <c r="F165" s="65">
        <v>642</v>
      </c>
      <c r="G165" s="66">
        <v>3.8176000000000001</v>
      </c>
      <c r="H165" s="66">
        <f t="shared" si="34"/>
        <v>2.8632</v>
      </c>
      <c r="I165" s="72">
        <v>3</v>
      </c>
      <c r="J165" s="80">
        <f t="shared" si="35"/>
        <v>8.5896000000000008</v>
      </c>
      <c r="K165" s="80">
        <f>SUM(J165*0.2077)</f>
        <v>1.78405992</v>
      </c>
      <c r="L165" s="80">
        <f t="shared" si="37"/>
        <v>10.373659920000001</v>
      </c>
    </row>
    <row r="166" spans="2:12" ht="48" x14ac:dyDescent="0.3">
      <c r="B166" s="93">
        <v>63</v>
      </c>
      <c r="C166" s="141" t="s">
        <v>44</v>
      </c>
      <c r="D166" s="160" t="s">
        <v>121</v>
      </c>
      <c r="E166" s="69" t="s">
        <v>45</v>
      </c>
      <c r="F166" s="65">
        <v>642</v>
      </c>
      <c r="G166" s="66">
        <v>3.8176000000000001</v>
      </c>
      <c r="H166" s="66">
        <f t="shared" si="34"/>
        <v>2.8632</v>
      </c>
      <c r="I166" s="72">
        <v>13</v>
      </c>
      <c r="J166" s="80">
        <f t="shared" si="35"/>
        <v>37.221600000000002</v>
      </c>
      <c r="K166" s="80">
        <f t="shared" si="36"/>
        <v>8.7805754399999998</v>
      </c>
      <c r="L166" s="80">
        <f t="shared" si="37"/>
        <v>46.002175440000002</v>
      </c>
    </row>
    <row r="167" spans="2:12" ht="48" x14ac:dyDescent="0.3">
      <c r="B167" s="93">
        <v>64</v>
      </c>
      <c r="C167" s="141" t="s">
        <v>44</v>
      </c>
      <c r="D167" s="160" t="s">
        <v>121</v>
      </c>
      <c r="E167" s="69" t="s">
        <v>45</v>
      </c>
      <c r="F167" s="99">
        <v>513.6</v>
      </c>
      <c r="G167" s="100">
        <v>3.0541</v>
      </c>
      <c r="H167" s="66">
        <f t="shared" si="34"/>
        <v>2.290575</v>
      </c>
      <c r="I167" s="72">
        <v>13</v>
      </c>
      <c r="J167" s="80">
        <f t="shared" si="35"/>
        <v>29.777474999999999</v>
      </c>
      <c r="K167" s="80">
        <v>8.7805754399999998</v>
      </c>
      <c r="L167" s="80">
        <v>46.002175440000002</v>
      </c>
    </row>
    <row r="168" spans="2:12" ht="48" x14ac:dyDescent="0.3">
      <c r="B168" s="93">
        <v>65</v>
      </c>
      <c r="C168" s="141" t="s">
        <v>44</v>
      </c>
      <c r="D168" s="160" t="s">
        <v>121</v>
      </c>
      <c r="E168" s="69" t="s">
        <v>45</v>
      </c>
      <c r="F168" s="65">
        <v>642</v>
      </c>
      <c r="G168" s="66">
        <v>3.8176000000000001</v>
      </c>
      <c r="H168" s="66">
        <f t="shared" si="34"/>
        <v>2.8632</v>
      </c>
      <c r="I168" s="72">
        <v>19</v>
      </c>
      <c r="J168" s="80">
        <f t="shared" si="35"/>
        <v>54.400799999999997</v>
      </c>
      <c r="K168" s="80">
        <f t="shared" si="36"/>
        <v>12.833148719999999</v>
      </c>
      <c r="L168" s="80">
        <f t="shared" si="37"/>
        <v>67.233948720000001</v>
      </c>
    </row>
    <row r="169" spans="2:12" ht="48" x14ac:dyDescent="0.3">
      <c r="B169" s="93">
        <v>66</v>
      </c>
      <c r="C169" s="152" t="s">
        <v>49</v>
      </c>
      <c r="D169" s="160" t="s">
        <v>47</v>
      </c>
      <c r="E169" s="69" t="s">
        <v>45</v>
      </c>
      <c r="F169" s="65">
        <v>583</v>
      </c>
      <c r="G169" s="66">
        <v>3.4666999999999999</v>
      </c>
      <c r="H169" s="66">
        <f>G169*0.75</f>
        <v>2.600025</v>
      </c>
      <c r="I169" s="72">
        <v>15</v>
      </c>
      <c r="J169" s="80">
        <f>SUM(H169*I169)</f>
        <v>39.000374999999998</v>
      </c>
      <c r="K169" s="80">
        <f>SUM(J169*0.2194)</f>
        <v>8.556682275</v>
      </c>
      <c r="L169" s="80">
        <f>SUM(J169:K169)</f>
        <v>47.557057274999998</v>
      </c>
    </row>
    <row r="170" spans="2:12" ht="48" x14ac:dyDescent="0.3">
      <c r="B170" s="93">
        <v>67</v>
      </c>
      <c r="C170" s="152" t="s">
        <v>49</v>
      </c>
      <c r="D170" s="160" t="s">
        <v>27</v>
      </c>
      <c r="E170" s="69" t="s">
        <v>45</v>
      </c>
      <c r="F170" s="65">
        <v>583</v>
      </c>
      <c r="G170" s="66">
        <v>3.4666999999999999</v>
      </c>
      <c r="H170" s="66">
        <f t="shared" ref="H170:H177" si="38">G170*0.75</f>
        <v>2.600025</v>
      </c>
      <c r="I170" s="72">
        <v>31</v>
      </c>
      <c r="J170" s="80">
        <f>SUM(H170*I170)</f>
        <v>80.600774999999999</v>
      </c>
      <c r="K170" s="80">
        <f>SUM(J170*0.2077)</f>
        <v>16.740780967500001</v>
      </c>
      <c r="L170" s="80">
        <f>SUM(J170:K170)</f>
        <v>97.3415559675</v>
      </c>
    </row>
    <row r="171" spans="2:12" ht="48" x14ac:dyDescent="0.3">
      <c r="B171" s="93">
        <v>68</v>
      </c>
      <c r="C171" s="152" t="s">
        <v>49</v>
      </c>
      <c r="D171" s="160" t="s">
        <v>27</v>
      </c>
      <c r="E171" s="69" t="s">
        <v>45</v>
      </c>
      <c r="F171" s="65">
        <v>583</v>
      </c>
      <c r="G171" s="66">
        <v>3.4666999999999999</v>
      </c>
      <c r="H171" s="66">
        <f t="shared" si="38"/>
        <v>2.600025</v>
      </c>
      <c r="I171" s="72">
        <v>28</v>
      </c>
      <c r="J171" s="80">
        <f>SUM(H171*I171)</f>
        <v>72.800700000000006</v>
      </c>
      <c r="K171" s="80">
        <f t="shared" ref="K171:K173" si="39">SUM(J171*0.2359)</f>
        <v>17.173685130000003</v>
      </c>
      <c r="L171" s="80">
        <f t="shared" ref="L171:L177" si="40">SUM(J171:K171)</f>
        <v>89.974385130000002</v>
      </c>
    </row>
    <row r="172" spans="2:12" ht="48" x14ac:dyDescent="0.3">
      <c r="B172" s="93">
        <v>69</v>
      </c>
      <c r="C172" s="152" t="s">
        <v>49</v>
      </c>
      <c r="D172" s="160" t="s">
        <v>27</v>
      </c>
      <c r="E172" s="69" t="s">
        <v>45</v>
      </c>
      <c r="F172" s="65">
        <v>583</v>
      </c>
      <c r="G172" s="66">
        <v>3.4666999999999999</v>
      </c>
      <c r="H172" s="66">
        <f t="shared" si="38"/>
        <v>2.600025</v>
      </c>
      <c r="I172" s="72">
        <v>23</v>
      </c>
      <c r="J172" s="80">
        <f>SUM(H172*I172)</f>
        <v>59.800575000000002</v>
      </c>
      <c r="K172" s="80">
        <f>SUM(J172*0.2077)</f>
        <v>12.4205794275</v>
      </c>
      <c r="L172" s="80">
        <f t="shared" si="40"/>
        <v>72.221154427499997</v>
      </c>
    </row>
    <row r="173" spans="2:12" ht="48" x14ac:dyDescent="0.3">
      <c r="B173" s="93">
        <v>70</v>
      </c>
      <c r="C173" s="152" t="s">
        <v>49</v>
      </c>
      <c r="D173" s="160" t="s">
        <v>47</v>
      </c>
      <c r="E173" s="69" t="s">
        <v>45</v>
      </c>
      <c r="F173" s="65">
        <v>583</v>
      </c>
      <c r="G173" s="66">
        <v>3.4666999999999999</v>
      </c>
      <c r="H173" s="66">
        <f t="shared" si="38"/>
        <v>2.600025</v>
      </c>
      <c r="I173" s="72">
        <v>16</v>
      </c>
      <c r="J173" s="80">
        <f>SUM(H173*I173)</f>
        <v>41.6004</v>
      </c>
      <c r="K173" s="80">
        <f t="shared" si="39"/>
        <v>9.8135343600000002</v>
      </c>
      <c r="L173" s="80">
        <f t="shared" si="40"/>
        <v>51.413934359999999</v>
      </c>
    </row>
    <row r="174" spans="2:12" ht="48" x14ac:dyDescent="0.3">
      <c r="B174" s="93">
        <v>71</v>
      </c>
      <c r="C174" s="152" t="s">
        <v>49</v>
      </c>
      <c r="D174" s="160" t="s">
        <v>47</v>
      </c>
      <c r="E174" s="69" t="s">
        <v>45</v>
      </c>
      <c r="F174" s="65">
        <v>583</v>
      </c>
      <c r="G174" s="66">
        <v>3.4666999999999999</v>
      </c>
      <c r="H174" s="66">
        <f t="shared" si="38"/>
        <v>2.600025</v>
      </c>
      <c r="I174" s="72">
        <v>18</v>
      </c>
      <c r="J174" s="80">
        <f t="shared" ref="J174:J175" si="41">SUM(H174*I174)</f>
        <v>46.800449999999998</v>
      </c>
      <c r="K174" s="80">
        <f>SUM(J174*0.2077)</f>
        <v>9.7204534649999985</v>
      </c>
      <c r="L174" s="80">
        <f t="shared" si="40"/>
        <v>56.520903464999996</v>
      </c>
    </row>
    <row r="175" spans="2:12" ht="48" x14ac:dyDescent="0.3">
      <c r="B175" s="93">
        <v>72</v>
      </c>
      <c r="C175" s="152" t="s">
        <v>49</v>
      </c>
      <c r="D175" s="160" t="s">
        <v>27</v>
      </c>
      <c r="E175" s="69" t="s">
        <v>45</v>
      </c>
      <c r="F175" s="65">
        <v>583</v>
      </c>
      <c r="G175" s="66">
        <v>3.4666999999999999</v>
      </c>
      <c r="H175" s="66">
        <f t="shared" si="38"/>
        <v>2.600025</v>
      </c>
      <c r="I175" s="72">
        <v>16</v>
      </c>
      <c r="J175" s="80">
        <f t="shared" si="41"/>
        <v>41.6004</v>
      </c>
      <c r="K175" s="80">
        <f>SUM(J175*0.2359)</f>
        <v>9.8135343600000002</v>
      </c>
      <c r="L175" s="80">
        <f t="shared" si="40"/>
        <v>51.413934359999999</v>
      </c>
    </row>
    <row r="176" spans="2:12" ht="48" x14ac:dyDescent="0.3">
      <c r="B176" s="93">
        <v>73</v>
      </c>
      <c r="C176" s="152" t="s">
        <v>49</v>
      </c>
      <c r="D176" s="160" t="s">
        <v>47</v>
      </c>
      <c r="E176" s="69" t="s">
        <v>45</v>
      </c>
      <c r="F176" s="65">
        <v>583</v>
      </c>
      <c r="G176" s="66">
        <v>3.4666999999999999</v>
      </c>
      <c r="H176" s="66">
        <f t="shared" si="38"/>
        <v>2.600025</v>
      </c>
      <c r="I176" s="72">
        <v>4</v>
      </c>
      <c r="J176" s="80">
        <f>SUM(H176*I176)</f>
        <v>10.4001</v>
      </c>
      <c r="K176" s="80">
        <f>SUM(J176*0.2359)</f>
        <v>2.4533835900000001</v>
      </c>
      <c r="L176" s="80">
        <f t="shared" si="40"/>
        <v>12.85348359</v>
      </c>
    </row>
    <row r="177" spans="1:12" ht="48" x14ac:dyDescent="0.3">
      <c r="B177" s="93">
        <v>74</v>
      </c>
      <c r="C177" s="152" t="s">
        <v>49</v>
      </c>
      <c r="D177" s="160" t="s">
        <v>56</v>
      </c>
      <c r="E177" s="69" t="s">
        <v>45</v>
      </c>
      <c r="F177" s="65">
        <v>583</v>
      </c>
      <c r="G177" s="66">
        <v>3.4666999999999999</v>
      </c>
      <c r="H177" s="66">
        <f t="shared" si="38"/>
        <v>2.600025</v>
      </c>
      <c r="I177" s="72">
        <v>8</v>
      </c>
      <c r="J177" s="80">
        <f t="shared" ref="J177" si="42">SUM(H177*I177)</f>
        <v>20.8002</v>
      </c>
      <c r="K177" s="80">
        <f t="shared" ref="K177" si="43">SUM(J177*0.2359)</f>
        <v>4.9067671800000001</v>
      </c>
      <c r="L177" s="80">
        <f t="shared" si="40"/>
        <v>25.706967179999999</v>
      </c>
    </row>
    <row r="178" spans="1:12" ht="48" x14ac:dyDescent="0.3">
      <c r="B178" s="93">
        <v>75</v>
      </c>
      <c r="C178" s="152" t="s">
        <v>46</v>
      </c>
      <c r="D178" s="160" t="s">
        <v>47</v>
      </c>
      <c r="E178" s="69" t="s">
        <v>45</v>
      </c>
      <c r="F178" s="65">
        <v>706</v>
      </c>
      <c r="G178" s="66">
        <v>4.1981000000000002</v>
      </c>
      <c r="H178" s="66">
        <f>SUM(G178*0.75)</f>
        <v>3.1485750000000001</v>
      </c>
      <c r="I178" s="72">
        <v>2</v>
      </c>
      <c r="J178" s="80">
        <f>SUM(H178*I178)</f>
        <v>6.2971500000000002</v>
      </c>
      <c r="K178" s="80">
        <f>SUM(J178*0.2359)</f>
        <v>1.4854976850000001</v>
      </c>
      <c r="L178" s="80">
        <f>SUM(J178:K178)</f>
        <v>7.7826476850000006</v>
      </c>
    </row>
    <row r="179" spans="1:12" ht="48" x14ac:dyDescent="0.3">
      <c r="B179" s="93">
        <v>76</v>
      </c>
      <c r="C179" s="152" t="s">
        <v>46</v>
      </c>
      <c r="D179" s="160" t="s">
        <v>27</v>
      </c>
      <c r="E179" s="69" t="s">
        <v>45</v>
      </c>
      <c r="F179" s="65">
        <v>706</v>
      </c>
      <c r="G179" s="66">
        <v>4.1981000000000002</v>
      </c>
      <c r="H179" s="66">
        <f>SUM(G179*0.75)</f>
        <v>3.1485750000000001</v>
      </c>
      <c r="I179" s="72">
        <v>6</v>
      </c>
      <c r="J179" s="80">
        <f>SUM(H179*I179)</f>
        <v>18.891449999999999</v>
      </c>
      <c r="K179" s="80">
        <f>SUM(J179*0.2359)</f>
        <v>4.4564930550000001</v>
      </c>
      <c r="L179" s="80">
        <f>SUM(J179:K179)</f>
        <v>23.347943054999998</v>
      </c>
    </row>
    <row r="180" spans="1:12" ht="48" x14ac:dyDescent="0.3">
      <c r="B180" s="93">
        <v>77</v>
      </c>
      <c r="C180" s="152" t="s">
        <v>46</v>
      </c>
      <c r="D180" s="160" t="s">
        <v>25</v>
      </c>
      <c r="E180" s="69" t="s">
        <v>45</v>
      </c>
      <c r="F180" s="65">
        <v>784</v>
      </c>
      <c r="G180" s="66">
        <v>4.6619000000000002</v>
      </c>
      <c r="H180" s="66">
        <f t="shared" ref="H180:H188" si="44">SUM(G180*0.75)</f>
        <v>3.4964250000000003</v>
      </c>
      <c r="I180" s="72">
        <v>4</v>
      </c>
      <c r="J180" s="80">
        <f>SUM(H180*I180)</f>
        <v>13.985700000000001</v>
      </c>
      <c r="K180" s="80">
        <f t="shared" ref="K180:K188" si="45">SUM(J180*0.2359)</f>
        <v>3.2992266300000002</v>
      </c>
      <c r="L180" s="80">
        <f t="shared" ref="L180:L188" si="46">SUM(J180:K180)</f>
        <v>17.284926630000001</v>
      </c>
    </row>
    <row r="181" spans="1:12" ht="48" x14ac:dyDescent="0.3">
      <c r="B181" s="93">
        <v>78</v>
      </c>
      <c r="C181" s="152" t="s">
        <v>46</v>
      </c>
      <c r="D181" s="160" t="s">
        <v>27</v>
      </c>
      <c r="E181" s="69" t="s">
        <v>45</v>
      </c>
      <c r="F181" s="65">
        <v>706</v>
      </c>
      <c r="G181" s="66">
        <v>4.1981000000000002</v>
      </c>
      <c r="H181" s="66">
        <f t="shared" si="44"/>
        <v>3.1485750000000001</v>
      </c>
      <c r="I181" s="72">
        <v>2</v>
      </c>
      <c r="J181" s="80">
        <f>SUM(H181*I181)</f>
        <v>6.2971500000000002</v>
      </c>
      <c r="K181" s="80">
        <f t="shared" si="45"/>
        <v>1.4854976850000001</v>
      </c>
      <c r="L181" s="80">
        <f t="shared" si="46"/>
        <v>7.7826476850000006</v>
      </c>
    </row>
    <row r="182" spans="1:12" ht="48" x14ac:dyDescent="0.3">
      <c r="B182" s="93">
        <v>79</v>
      </c>
      <c r="C182" s="152" t="s">
        <v>46</v>
      </c>
      <c r="D182" s="160" t="s">
        <v>47</v>
      </c>
      <c r="E182" s="69" t="s">
        <v>45</v>
      </c>
      <c r="F182" s="65">
        <v>706</v>
      </c>
      <c r="G182" s="66">
        <v>4.1981000000000002</v>
      </c>
      <c r="H182" s="66">
        <f t="shared" si="44"/>
        <v>3.1485750000000001</v>
      </c>
      <c r="I182" s="72">
        <v>5</v>
      </c>
      <c r="J182" s="80">
        <f>SUM(H182*I182)</f>
        <v>15.742875000000002</v>
      </c>
      <c r="K182" s="80">
        <f t="shared" si="45"/>
        <v>3.7137442125000004</v>
      </c>
      <c r="L182" s="80">
        <f t="shared" si="46"/>
        <v>19.456619212500001</v>
      </c>
    </row>
    <row r="183" spans="1:12" ht="48" x14ac:dyDescent="0.3">
      <c r="B183" s="93">
        <v>80</v>
      </c>
      <c r="C183" s="152" t="s">
        <v>46</v>
      </c>
      <c r="D183" s="160" t="s">
        <v>25</v>
      </c>
      <c r="E183" s="69" t="s">
        <v>45</v>
      </c>
      <c r="F183" s="65">
        <v>784</v>
      </c>
      <c r="G183" s="66">
        <v>4.6619000000000002</v>
      </c>
      <c r="H183" s="66">
        <f t="shared" si="44"/>
        <v>3.4964250000000003</v>
      </c>
      <c r="I183" s="72">
        <v>5</v>
      </c>
      <c r="J183" s="80">
        <f t="shared" ref="J183:J184" si="47">SUM(H183*I183)</f>
        <v>17.482125000000003</v>
      </c>
      <c r="K183" s="80">
        <f t="shared" si="45"/>
        <v>4.1240332875000005</v>
      </c>
      <c r="L183" s="80">
        <f t="shared" si="46"/>
        <v>21.606158287500005</v>
      </c>
    </row>
    <row r="184" spans="1:12" ht="48" x14ac:dyDescent="0.3">
      <c r="B184" s="93">
        <v>81</v>
      </c>
      <c r="C184" s="152" t="s">
        <v>46</v>
      </c>
      <c r="D184" s="160" t="s">
        <v>27</v>
      </c>
      <c r="E184" s="69" t="s">
        <v>45</v>
      </c>
      <c r="F184" s="65">
        <v>706</v>
      </c>
      <c r="G184" s="66">
        <v>4.1981000000000002</v>
      </c>
      <c r="H184" s="66">
        <f t="shared" si="44"/>
        <v>3.1485750000000001</v>
      </c>
      <c r="I184" s="72">
        <v>5</v>
      </c>
      <c r="J184" s="80">
        <f t="shared" si="47"/>
        <v>15.742875000000002</v>
      </c>
      <c r="K184" s="80">
        <f t="shared" si="45"/>
        <v>3.7137442125000004</v>
      </c>
      <c r="L184" s="80">
        <f t="shared" si="46"/>
        <v>19.456619212500001</v>
      </c>
    </row>
    <row r="185" spans="1:12" ht="48" x14ac:dyDescent="0.3">
      <c r="B185" s="93">
        <v>82</v>
      </c>
      <c r="C185" s="152" t="s">
        <v>46</v>
      </c>
      <c r="D185" s="160" t="s">
        <v>47</v>
      </c>
      <c r="E185" s="69" t="s">
        <v>45</v>
      </c>
      <c r="F185" s="65">
        <v>706</v>
      </c>
      <c r="G185" s="66">
        <v>4.1981000000000002</v>
      </c>
      <c r="H185" s="66">
        <f t="shared" si="44"/>
        <v>3.1485750000000001</v>
      </c>
      <c r="I185" s="72">
        <v>1</v>
      </c>
      <c r="J185" s="80">
        <f>SUM(H185*I185)</f>
        <v>3.1485750000000001</v>
      </c>
      <c r="K185" s="80">
        <f t="shared" si="45"/>
        <v>0.74274884250000006</v>
      </c>
      <c r="L185" s="80">
        <f t="shared" si="46"/>
        <v>3.8913238425000003</v>
      </c>
    </row>
    <row r="186" spans="1:12" ht="48" x14ac:dyDescent="0.3">
      <c r="B186" s="93">
        <v>83</v>
      </c>
      <c r="C186" s="152" t="s">
        <v>46</v>
      </c>
      <c r="D186" s="160" t="s">
        <v>25</v>
      </c>
      <c r="E186" s="69" t="s">
        <v>45</v>
      </c>
      <c r="F186" s="65">
        <v>784</v>
      </c>
      <c r="G186" s="66">
        <v>4.6619000000000002</v>
      </c>
      <c r="H186" s="66">
        <f t="shared" si="44"/>
        <v>3.4964250000000003</v>
      </c>
      <c r="I186" s="72">
        <v>5</v>
      </c>
      <c r="J186" s="80">
        <f t="shared" ref="J186" si="48">SUM(H186*I186)</f>
        <v>17.482125000000003</v>
      </c>
      <c r="K186" s="80">
        <f t="shared" si="45"/>
        <v>4.1240332875000005</v>
      </c>
      <c r="L186" s="80">
        <f t="shared" si="46"/>
        <v>21.606158287500005</v>
      </c>
    </row>
    <row r="187" spans="1:12" ht="48" x14ac:dyDescent="0.3">
      <c r="B187" s="93">
        <v>84</v>
      </c>
      <c r="C187" s="152" t="s">
        <v>46</v>
      </c>
      <c r="D187" s="160" t="s">
        <v>47</v>
      </c>
      <c r="E187" s="69" t="s">
        <v>45</v>
      </c>
      <c r="F187" s="65">
        <v>706</v>
      </c>
      <c r="G187" s="66">
        <v>4.1981000000000002</v>
      </c>
      <c r="H187" s="66">
        <f t="shared" si="44"/>
        <v>3.1485750000000001</v>
      </c>
      <c r="I187" s="72">
        <v>5</v>
      </c>
      <c r="J187" s="80">
        <f>SUM(H187*I187)</f>
        <v>15.742875000000002</v>
      </c>
      <c r="K187" s="80">
        <f t="shared" si="45"/>
        <v>3.7137442125000004</v>
      </c>
      <c r="L187" s="80">
        <f t="shared" si="46"/>
        <v>19.456619212500001</v>
      </c>
    </row>
    <row r="188" spans="1:12" ht="48" x14ac:dyDescent="0.3">
      <c r="B188" s="93">
        <v>85</v>
      </c>
      <c r="C188" s="152" t="s">
        <v>46</v>
      </c>
      <c r="D188" s="160" t="s">
        <v>25</v>
      </c>
      <c r="E188" s="69" t="s">
        <v>45</v>
      </c>
      <c r="F188" s="65">
        <v>784</v>
      </c>
      <c r="G188" s="66">
        <v>4.6619000000000002</v>
      </c>
      <c r="H188" s="66">
        <f t="shared" si="44"/>
        <v>3.4964250000000003</v>
      </c>
      <c r="I188" s="72">
        <v>5</v>
      </c>
      <c r="J188" s="80">
        <f t="shared" ref="J188" si="49">SUM(H188*I188)</f>
        <v>17.482125000000003</v>
      </c>
      <c r="K188" s="80">
        <f t="shared" si="45"/>
        <v>4.1240332875000005</v>
      </c>
      <c r="L188" s="80">
        <f t="shared" si="46"/>
        <v>21.606158287500005</v>
      </c>
    </row>
    <row r="189" spans="1:12" x14ac:dyDescent="0.3">
      <c r="C189" s="164" t="s">
        <v>10</v>
      </c>
      <c r="D189" s="165"/>
      <c r="E189" s="90"/>
      <c r="F189" s="55"/>
      <c r="G189" s="56"/>
      <c r="H189" s="57"/>
      <c r="I189" s="28">
        <f>SUM(I104:I188)</f>
        <v>1502</v>
      </c>
      <c r="J189" s="27">
        <f>SUM(J104:J188)</f>
        <v>4650.7930147058842</v>
      </c>
      <c r="K189" s="27">
        <f>SUM(K104:K188)</f>
        <v>1088.7661046766175</v>
      </c>
      <c r="L189" s="27">
        <f>ROUND(SUM(L104:L188),2)</f>
        <v>5747</v>
      </c>
    </row>
    <row r="190" spans="1:12" x14ac:dyDescent="0.3">
      <c r="A190" s="8" t="s">
        <v>59</v>
      </c>
      <c r="B190" s="70" t="s">
        <v>60</v>
      </c>
      <c r="C190" s="139"/>
      <c r="D190" s="144"/>
      <c r="E190" s="74"/>
      <c r="F190" s="20"/>
      <c r="G190" s="6"/>
      <c r="H190" s="6"/>
      <c r="I190" s="19"/>
      <c r="J190" s="46"/>
      <c r="K190" s="46"/>
      <c r="L190" s="47"/>
    </row>
    <row r="191" spans="1:12" ht="197.4" customHeight="1" x14ac:dyDescent="0.3">
      <c r="B191" s="201">
        <v>1</v>
      </c>
      <c r="C191" s="25" t="s">
        <v>60</v>
      </c>
      <c r="D191" s="166" t="s">
        <v>40</v>
      </c>
      <c r="E191" s="67" t="s">
        <v>171</v>
      </c>
      <c r="F191" s="72">
        <v>1090</v>
      </c>
      <c r="G191" s="66">
        <f>F191/168</f>
        <v>6.4880952380952381</v>
      </c>
      <c r="H191" s="66">
        <f>G191*0.75</f>
        <v>4.8660714285714288</v>
      </c>
      <c r="I191" s="84">
        <v>19</v>
      </c>
      <c r="J191" s="80">
        <f>H191*I191</f>
        <v>92.455357142857153</v>
      </c>
      <c r="K191" s="80">
        <f>J191*0.2359</f>
        <v>21.810218750000001</v>
      </c>
      <c r="L191" s="80">
        <f>J191+K191</f>
        <v>114.26557589285716</v>
      </c>
    </row>
    <row r="192" spans="1:12" ht="144" x14ac:dyDescent="0.3">
      <c r="B192" s="201">
        <v>2</v>
      </c>
      <c r="C192" s="25" t="s">
        <v>60</v>
      </c>
      <c r="D192" s="166" t="s">
        <v>41</v>
      </c>
      <c r="E192" s="167" t="s">
        <v>172</v>
      </c>
      <c r="F192" s="72">
        <v>1090</v>
      </c>
      <c r="G192" s="66">
        <f t="shared" ref="G192:G203" si="50">F192/168</f>
        <v>6.4880952380952381</v>
      </c>
      <c r="H192" s="66">
        <f t="shared" ref="H192:H203" si="51">G192*0.75</f>
        <v>4.8660714285714288</v>
      </c>
      <c r="I192" s="84">
        <v>8</v>
      </c>
      <c r="J192" s="80">
        <f t="shared" ref="J192:J203" si="52">H192*I192</f>
        <v>38.928571428571431</v>
      </c>
      <c r="K192" s="80">
        <f t="shared" ref="K192:K200" si="53">J192*0.2359</f>
        <v>9.183250000000001</v>
      </c>
      <c r="L192" s="80">
        <f t="shared" ref="L192:L203" si="54">J192+K192</f>
        <v>48.111821428571432</v>
      </c>
    </row>
    <row r="193" spans="1:12" ht="144" x14ac:dyDescent="0.3">
      <c r="B193" s="201">
        <v>3</v>
      </c>
      <c r="C193" s="25" t="s">
        <v>60</v>
      </c>
      <c r="D193" s="166" t="s">
        <v>41</v>
      </c>
      <c r="E193" s="67" t="s">
        <v>173</v>
      </c>
      <c r="F193" s="72">
        <v>1000</v>
      </c>
      <c r="G193" s="66">
        <f t="shared" si="50"/>
        <v>5.9523809523809526</v>
      </c>
      <c r="H193" s="66">
        <f t="shared" si="51"/>
        <v>4.4642857142857144</v>
      </c>
      <c r="I193" s="84">
        <v>15</v>
      </c>
      <c r="J193" s="80">
        <f t="shared" si="52"/>
        <v>66.964285714285722</v>
      </c>
      <c r="K193" s="80">
        <f t="shared" si="53"/>
        <v>15.796875000000002</v>
      </c>
      <c r="L193" s="80">
        <f t="shared" si="54"/>
        <v>82.761160714285722</v>
      </c>
    </row>
    <row r="194" spans="1:12" ht="108" x14ac:dyDescent="0.3">
      <c r="B194" s="201">
        <v>4</v>
      </c>
      <c r="C194" s="25" t="s">
        <v>60</v>
      </c>
      <c r="D194" s="166" t="s">
        <v>41</v>
      </c>
      <c r="E194" s="91" t="s">
        <v>174</v>
      </c>
      <c r="F194" s="72">
        <v>1090</v>
      </c>
      <c r="G194" s="66">
        <f t="shared" si="50"/>
        <v>6.4880952380952381</v>
      </c>
      <c r="H194" s="66">
        <f t="shared" si="51"/>
        <v>4.8660714285714288</v>
      </c>
      <c r="I194" s="84">
        <v>12</v>
      </c>
      <c r="J194" s="80">
        <f t="shared" si="52"/>
        <v>58.392857142857146</v>
      </c>
      <c r="K194" s="80">
        <f t="shared" si="53"/>
        <v>13.774875</v>
      </c>
      <c r="L194" s="80">
        <v>72.16</v>
      </c>
    </row>
    <row r="195" spans="1:12" ht="168" x14ac:dyDescent="0.3">
      <c r="B195" s="201">
        <v>5</v>
      </c>
      <c r="C195" s="25" t="s">
        <v>60</v>
      </c>
      <c r="D195" s="166" t="s">
        <v>41</v>
      </c>
      <c r="E195" s="92" t="s">
        <v>175</v>
      </c>
      <c r="F195" s="72">
        <v>970</v>
      </c>
      <c r="G195" s="66">
        <f t="shared" si="50"/>
        <v>5.7738095238095237</v>
      </c>
      <c r="H195" s="66">
        <f t="shared" si="51"/>
        <v>4.3303571428571423</v>
      </c>
      <c r="I195" s="84">
        <v>8</v>
      </c>
      <c r="J195" s="80">
        <f t="shared" si="52"/>
        <v>34.642857142857139</v>
      </c>
      <c r="K195" s="80">
        <f t="shared" si="53"/>
        <v>8.1722499999999982</v>
      </c>
      <c r="L195" s="80">
        <v>42.81</v>
      </c>
    </row>
    <row r="196" spans="1:12" ht="204" x14ac:dyDescent="0.3">
      <c r="B196" s="201">
        <v>6</v>
      </c>
      <c r="C196" s="25" t="s">
        <v>60</v>
      </c>
      <c r="D196" s="166" t="s">
        <v>41</v>
      </c>
      <c r="E196" s="67" t="s">
        <v>176</v>
      </c>
      <c r="F196" s="72">
        <v>1000</v>
      </c>
      <c r="G196" s="66">
        <f t="shared" si="50"/>
        <v>5.9523809523809526</v>
      </c>
      <c r="H196" s="66">
        <f t="shared" si="51"/>
        <v>4.4642857142857144</v>
      </c>
      <c r="I196" s="84">
        <v>20</v>
      </c>
      <c r="J196" s="80">
        <f t="shared" si="52"/>
        <v>89.285714285714292</v>
      </c>
      <c r="K196" s="80">
        <f t="shared" si="53"/>
        <v>21.0625</v>
      </c>
      <c r="L196" s="80">
        <f t="shared" si="54"/>
        <v>110.34821428571429</v>
      </c>
    </row>
    <row r="197" spans="1:12" ht="108" x14ac:dyDescent="0.3">
      <c r="B197" s="201">
        <v>7</v>
      </c>
      <c r="C197" s="25" t="s">
        <v>60</v>
      </c>
      <c r="D197" s="166" t="s">
        <v>41</v>
      </c>
      <c r="E197" s="67" t="s">
        <v>177</v>
      </c>
      <c r="F197" s="72">
        <v>970</v>
      </c>
      <c r="G197" s="66">
        <f t="shared" si="50"/>
        <v>5.7738095238095237</v>
      </c>
      <c r="H197" s="66">
        <f t="shared" si="51"/>
        <v>4.3303571428571423</v>
      </c>
      <c r="I197" s="84">
        <v>7</v>
      </c>
      <c r="J197" s="80">
        <f t="shared" si="52"/>
        <v>30.312499999999996</v>
      </c>
      <c r="K197" s="80">
        <f t="shared" si="53"/>
        <v>7.1507187499999993</v>
      </c>
      <c r="L197" s="80">
        <f>J197+K197</f>
        <v>37.463218749999996</v>
      </c>
    </row>
    <row r="198" spans="1:12" ht="120" x14ac:dyDescent="0.3">
      <c r="B198" s="201">
        <v>8</v>
      </c>
      <c r="C198" s="25" t="s">
        <v>60</v>
      </c>
      <c r="D198" s="166" t="s">
        <v>61</v>
      </c>
      <c r="E198" s="67" t="s">
        <v>178</v>
      </c>
      <c r="F198" s="72">
        <v>830</v>
      </c>
      <c r="G198" s="66">
        <f t="shared" si="50"/>
        <v>4.9404761904761907</v>
      </c>
      <c r="H198" s="66">
        <f t="shared" si="51"/>
        <v>3.7053571428571432</v>
      </c>
      <c r="I198" s="84">
        <v>31</v>
      </c>
      <c r="J198" s="80">
        <f t="shared" si="52"/>
        <v>114.86607142857144</v>
      </c>
      <c r="K198" s="80">
        <f>J198*0.2194</f>
        <v>25.201616071428575</v>
      </c>
      <c r="L198" s="80">
        <f t="shared" si="54"/>
        <v>140.06768750000003</v>
      </c>
    </row>
    <row r="199" spans="1:12" ht="120" x14ac:dyDescent="0.3">
      <c r="B199" s="201">
        <v>9</v>
      </c>
      <c r="C199" s="25" t="s">
        <v>60</v>
      </c>
      <c r="D199" s="166" t="s">
        <v>61</v>
      </c>
      <c r="E199" s="67" t="s">
        <v>178</v>
      </c>
      <c r="F199" s="72">
        <v>830</v>
      </c>
      <c r="G199" s="66">
        <f t="shared" si="50"/>
        <v>4.9404761904761907</v>
      </c>
      <c r="H199" s="66">
        <f t="shared" si="51"/>
        <v>3.7053571428571432</v>
      </c>
      <c r="I199" s="84">
        <v>31</v>
      </c>
      <c r="J199" s="80">
        <f t="shared" si="52"/>
        <v>114.86607142857144</v>
      </c>
      <c r="K199" s="80">
        <f>J199*0.2194</f>
        <v>25.201616071428575</v>
      </c>
      <c r="L199" s="80">
        <f t="shared" si="54"/>
        <v>140.06768750000003</v>
      </c>
    </row>
    <row r="200" spans="1:12" ht="120" x14ac:dyDescent="0.3">
      <c r="B200" s="201">
        <v>10</v>
      </c>
      <c r="C200" s="25" t="s">
        <v>60</v>
      </c>
      <c r="D200" s="166" t="s">
        <v>61</v>
      </c>
      <c r="E200" s="67" t="s">
        <v>178</v>
      </c>
      <c r="F200" s="72">
        <v>830</v>
      </c>
      <c r="G200" s="66">
        <f t="shared" si="50"/>
        <v>4.9404761904761907</v>
      </c>
      <c r="H200" s="66">
        <f t="shared" si="51"/>
        <v>3.7053571428571432</v>
      </c>
      <c r="I200" s="84">
        <v>21</v>
      </c>
      <c r="J200" s="80">
        <f t="shared" si="52"/>
        <v>77.812500000000014</v>
      </c>
      <c r="K200" s="80">
        <f t="shared" si="53"/>
        <v>18.355968750000002</v>
      </c>
      <c r="L200" s="80">
        <f t="shared" si="54"/>
        <v>96.168468750000017</v>
      </c>
    </row>
    <row r="201" spans="1:12" ht="120" x14ac:dyDescent="0.3">
      <c r="B201" s="201">
        <v>11</v>
      </c>
      <c r="C201" s="25" t="s">
        <v>60</v>
      </c>
      <c r="D201" s="166" t="s">
        <v>61</v>
      </c>
      <c r="E201" s="67" t="s">
        <v>178</v>
      </c>
      <c r="F201" s="72">
        <v>697</v>
      </c>
      <c r="G201" s="66">
        <f t="shared" si="50"/>
        <v>4.1488095238095237</v>
      </c>
      <c r="H201" s="66">
        <f t="shared" si="51"/>
        <v>3.1116071428571428</v>
      </c>
      <c r="I201" s="84">
        <v>23</v>
      </c>
      <c r="J201" s="80">
        <f t="shared" si="52"/>
        <v>71.566964285714278</v>
      </c>
      <c r="K201" s="80">
        <f>J201*0.2194</f>
        <v>15.701791964285713</v>
      </c>
      <c r="L201" s="80">
        <f t="shared" si="54"/>
        <v>87.268756249999996</v>
      </c>
    </row>
    <row r="202" spans="1:12" ht="156" x14ac:dyDescent="0.3">
      <c r="B202" s="201">
        <v>12</v>
      </c>
      <c r="C202" s="25" t="s">
        <v>60</v>
      </c>
      <c r="D202" s="166" t="s">
        <v>27</v>
      </c>
      <c r="E202" s="67" t="s">
        <v>179</v>
      </c>
      <c r="F202" s="72">
        <v>1090</v>
      </c>
      <c r="G202" s="66">
        <f t="shared" si="50"/>
        <v>6.4880952380952381</v>
      </c>
      <c r="H202" s="66">
        <f t="shared" si="51"/>
        <v>4.8660714285714288</v>
      </c>
      <c r="I202" s="84">
        <v>8</v>
      </c>
      <c r="J202" s="80">
        <f t="shared" si="52"/>
        <v>38.928571428571431</v>
      </c>
      <c r="K202" s="80">
        <f>J202*0.2194</f>
        <v>8.540928571428573</v>
      </c>
      <c r="L202" s="80">
        <f t="shared" si="54"/>
        <v>47.469500000000004</v>
      </c>
    </row>
    <row r="203" spans="1:12" ht="167.4" customHeight="1" x14ac:dyDescent="0.3">
      <c r="B203" s="201">
        <v>13</v>
      </c>
      <c r="C203" s="25" t="s">
        <v>60</v>
      </c>
      <c r="D203" s="166" t="s">
        <v>27</v>
      </c>
      <c r="E203" s="67" t="s">
        <v>180</v>
      </c>
      <c r="F203" s="72">
        <v>1090</v>
      </c>
      <c r="G203" s="66">
        <f t="shared" si="50"/>
        <v>6.4880952380952381</v>
      </c>
      <c r="H203" s="66">
        <f t="shared" si="51"/>
        <v>4.8660714285714288</v>
      </c>
      <c r="I203" s="84">
        <v>9</v>
      </c>
      <c r="J203" s="80">
        <f t="shared" si="52"/>
        <v>43.794642857142861</v>
      </c>
      <c r="K203" s="80">
        <f>J203*0.2194</f>
        <v>9.6085446428571437</v>
      </c>
      <c r="L203" s="80">
        <f t="shared" si="54"/>
        <v>53.403187500000001</v>
      </c>
    </row>
    <row r="204" spans="1:12" x14ac:dyDescent="0.3">
      <c r="C204" s="168" t="s">
        <v>10</v>
      </c>
      <c r="D204" s="146"/>
      <c r="E204" s="63"/>
      <c r="F204" s="17"/>
      <c r="G204" s="5"/>
      <c r="H204" s="5"/>
      <c r="I204" s="16">
        <f>SUM(I191:I203)</f>
        <v>212</v>
      </c>
      <c r="J204" s="27">
        <f>SUM(J191:J203)</f>
        <v>872.81696428571433</v>
      </c>
      <c r="K204" s="27">
        <f>SUM(K191:K203)</f>
        <v>199.56115357142855</v>
      </c>
      <c r="L204" s="27">
        <f>ROUND(SUM(L191:L203),2)</f>
        <v>1072.3699999999999</v>
      </c>
    </row>
    <row r="205" spans="1:12" x14ac:dyDescent="0.3">
      <c r="A205" s="8" t="s">
        <v>62</v>
      </c>
      <c r="B205" s="70" t="s">
        <v>281</v>
      </c>
      <c r="C205" s="139"/>
      <c r="D205" s="74"/>
      <c r="E205" s="74"/>
      <c r="F205" s="20"/>
      <c r="G205" s="6"/>
      <c r="H205" s="6"/>
      <c r="I205" s="19"/>
      <c r="J205" s="46"/>
      <c r="K205" s="46"/>
      <c r="L205" s="47"/>
    </row>
    <row r="206" spans="1:12" ht="48" x14ac:dyDescent="0.3">
      <c r="B206" s="201">
        <v>1</v>
      </c>
      <c r="C206" s="141" t="s">
        <v>181</v>
      </c>
      <c r="D206" s="160" t="s">
        <v>143</v>
      </c>
      <c r="E206" s="94" t="s">
        <v>144</v>
      </c>
      <c r="F206" s="65">
        <v>510</v>
      </c>
      <c r="G206" s="66">
        <v>3.04</v>
      </c>
      <c r="H206" s="66">
        <f>SUM(G206*75%)</f>
        <v>2.2800000000000002</v>
      </c>
      <c r="I206" s="72">
        <v>2</v>
      </c>
      <c r="J206" s="80">
        <f>SUM(H206*I206)</f>
        <v>4.5600000000000005</v>
      </c>
      <c r="K206" s="80">
        <f>SUM(J206*21.94%)</f>
        <v>1.0004640000000002</v>
      </c>
      <c r="L206" s="80">
        <f>J206+K206</f>
        <v>5.5604640000000005</v>
      </c>
    </row>
    <row r="207" spans="1:12" ht="48" x14ac:dyDescent="0.3">
      <c r="B207" s="201">
        <v>2</v>
      </c>
      <c r="C207" s="141" t="s">
        <v>181</v>
      </c>
      <c r="D207" s="160" t="s">
        <v>145</v>
      </c>
      <c r="E207" s="94" t="s">
        <v>144</v>
      </c>
      <c r="F207" s="65">
        <v>940</v>
      </c>
      <c r="G207" s="66">
        <v>5.6</v>
      </c>
      <c r="H207" s="66">
        <f t="shared" ref="H207:H231" si="55">SUM(G207*75%)</f>
        <v>4.1999999999999993</v>
      </c>
      <c r="I207" s="72">
        <v>2</v>
      </c>
      <c r="J207" s="80">
        <f t="shared" ref="J207:J232" si="56">SUM(H207*I207)</f>
        <v>8.3999999999999986</v>
      </c>
      <c r="K207" s="80">
        <f t="shared" ref="K207:K232" si="57">SUM(J207*23.59%)</f>
        <v>1.9815599999999995</v>
      </c>
      <c r="L207" s="80">
        <f t="shared" ref="L207:L231" si="58">J207+K207</f>
        <v>10.381559999999999</v>
      </c>
    </row>
    <row r="208" spans="1:12" ht="48" x14ac:dyDescent="0.3">
      <c r="B208" s="201">
        <v>3</v>
      </c>
      <c r="C208" s="141" t="s">
        <v>146</v>
      </c>
      <c r="D208" s="160" t="s">
        <v>147</v>
      </c>
      <c r="E208" s="94" t="s">
        <v>144</v>
      </c>
      <c r="F208" s="65">
        <v>600</v>
      </c>
      <c r="G208" s="66">
        <v>3.57</v>
      </c>
      <c r="H208" s="66">
        <f t="shared" si="55"/>
        <v>2.6774999999999998</v>
      </c>
      <c r="I208" s="72">
        <v>18.73</v>
      </c>
      <c r="J208" s="80">
        <f t="shared" si="56"/>
        <v>50.149574999999999</v>
      </c>
      <c r="K208" s="80">
        <f t="shared" si="57"/>
        <v>11.8302847425</v>
      </c>
      <c r="L208" s="80">
        <f t="shared" si="58"/>
        <v>61.979859742499997</v>
      </c>
    </row>
    <row r="209" spans="2:12" ht="48" x14ac:dyDescent="0.3">
      <c r="B209" s="201">
        <v>4</v>
      </c>
      <c r="C209" s="141" t="s">
        <v>146</v>
      </c>
      <c r="D209" s="160" t="s">
        <v>147</v>
      </c>
      <c r="E209" s="94" t="s">
        <v>144</v>
      </c>
      <c r="F209" s="65">
        <v>560</v>
      </c>
      <c r="G209" s="66">
        <v>3.33</v>
      </c>
      <c r="H209" s="66">
        <f t="shared" si="55"/>
        <v>2.4975000000000001</v>
      </c>
      <c r="I209" s="72">
        <v>1.58</v>
      </c>
      <c r="J209" s="80">
        <f t="shared" si="56"/>
        <v>3.9460500000000001</v>
      </c>
      <c r="K209" s="80">
        <f t="shared" si="57"/>
        <v>0.93087319499999999</v>
      </c>
      <c r="L209" s="80">
        <f t="shared" si="58"/>
        <v>4.8769231949999998</v>
      </c>
    </row>
    <row r="210" spans="2:12" ht="48" x14ac:dyDescent="0.3">
      <c r="B210" s="201">
        <v>5</v>
      </c>
      <c r="C210" s="141" t="s">
        <v>146</v>
      </c>
      <c r="D210" s="160" t="s">
        <v>147</v>
      </c>
      <c r="E210" s="94" t="s">
        <v>144</v>
      </c>
      <c r="F210" s="65">
        <v>600</v>
      </c>
      <c r="G210" s="66">
        <v>3.57</v>
      </c>
      <c r="H210" s="66">
        <f t="shared" si="55"/>
        <v>2.6774999999999998</v>
      </c>
      <c r="I210" s="72">
        <v>17.149999999999999</v>
      </c>
      <c r="J210" s="80">
        <f t="shared" si="56"/>
        <v>45.919124999999994</v>
      </c>
      <c r="K210" s="80">
        <f t="shared" si="57"/>
        <v>10.832321587499999</v>
      </c>
      <c r="L210" s="80">
        <f t="shared" si="58"/>
        <v>56.751446587499991</v>
      </c>
    </row>
    <row r="211" spans="2:12" ht="48" x14ac:dyDescent="0.3">
      <c r="B211" s="201">
        <v>6</v>
      </c>
      <c r="C211" s="141" t="s">
        <v>146</v>
      </c>
      <c r="D211" s="160" t="s">
        <v>182</v>
      </c>
      <c r="E211" s="94" t="s">
        <v>144</v>
      </c>
      <c r="F211" s="65">
        <v>1180</v>
      </c>
      <c r="G211" s="66">
        <v>7.0237999999999996</v>
      </c>
      <c r="H211" s="66">
        <f t="shared" si="55"/>
        <v>5.2678499999999993</v>
      </c>
      <c r="I211" s="72">
        <v>5.5</v>
      </c>
      <c r="J211" s="80">
        <f t="shared" si="56"/>
        <v>28.973174999999998</v>
      </c>
      <c r="K211" s="80">
        <f t="shared" si="57"/>
        <v>6.8347719824999995</v>
      </c>
      <c r="L211" s="80">
        <v>35.799999999999997</v>
      </c>
    </row>
    <row r="212" spans="2:12" ht="48" x14ac:dyDescent="0.3">
      <c r="B212" s="201">
        <v>7</v>
      </c>
      <c r="C212" s="141" t="s">
        <v>181</v>
      </c>
      <c r="D212" s="160" t="s">
        <v>145</v>
      </c>
      <c r="E212" s="94" t="s">
        <v>144</v>
      </c>
      <c r="F212" s="65">
        <v>850</v>
      </c>
      <c r="G212" s="66">
        <v>5.6</v>
      </c>
      <c r="H212" s="66">
        <f t="shared" si="55"/>
        <v>4.1999999999999993</v>
      </c>
      <c r="I212" s="72">
        <v>2.5</v>
      </c>
      <c r="J212" s="80">
        <f t="shared" si="56"/>
        <v>10.499999999999998</v>
      </c>
      <c r="K212" s="80">
        <f t="shared" si="57"/>
        <v>2.4769499999999995</v>
      </c>
      <c r="L212" s="80">
        <f t="shared" si="58"/>
        <v>12.976949999999999</v>
      </c>
    </row>
    <row r="213" spans="2:12" ht="48" x14ac:dyDescent="0.3">
      <c r="B213" s="201">
        <v>8</v>
      </c>
      <c r="C213" s="141" t="s">
        <v>181</v>
      </c>
      <c r="D213" s="160" t="s">
        <v>147</v>
      </c>
      <c r="E213" s="94" t="s">
        <v>144</v>
      </c>
      <c r="F213" s="65">
        <v>600</v>
      </c>
      <c r="G213" s="66">
        <v>3.57</v>
      </c>
      <c r="H213" s="66">
        <f t="shared" si="55"/>
        <v>2.6774999999999998</v>
      </c>
      <c r="I213" s="72">
        <v>5.75</v>
      </c>
      <c r="J213" s="80">
        <f t="shared" si="56"/>
        <v>15.395624999999999</v>
      </c>
      <c r="K213" s="80">
        <f t="shared" si="57"/>
        <v>3.6318279374999998</v>
      </c>
      <c r="L213" s="80">
        <f t="shared" si="58"/>
        <v>19.027452937499998</v>
      </c>
    </row>
    <row r="214" spans="2:12" ht="48" x14ac:dyDescent="0.3">
      <c r="B214" s="201">
        <v>9</v>
      </c>
      <c r="C214" s="141" t="s">
        <v>181</v>
      </c>
      <c r="D214" s="160" t="s">
        <v>149</v>
      </c>
      <c r="E214" s="94" t="s">
        <v>144</v>
      </c>
      <c r="F214" s="65">
        <v>680</v>
      </c>
      <c r="G214" s="66">
        <v>4.05</v>
      </c>
      <c r="H214" s="66">
        <f t="shared" si="55"/>
        <v>3.0374999999999996</v>
      </c>
      <c r="I214" s="72">
        <v>1.25</v>
      </c>
      <c r="J214" s="80">
        <f t="shared" si="56"/>
        <v>3.7968749999999996</v>
      </c>
      <c r="K214" s="80">
        <f t="shared" si="57"/>
        <v>0.89568281249999993</v>
      </c>
      <c r="L214" s="80">
        <v>4.7</v>
      </c>
    </row>
    <row r="215" spans="2:12" ht="48" x14ac:dyDescent="0.3">
      <c r="B215" s="201">
        <v>10</v>
      </c>
      <c r="C215" s="141" t="s">
        <v>181</v>
      </c>
      <c r="D215" s="160" t="s">
        <v>147</v>
      </c>
      <c r="E215" s="94" t="s">
        <v>144</v>
      </c>
      <c r="F215" s="65">
        <v>600</v>
      </c>
      <c r="G215" s="66">
        <v>3.57</v>
      </c>
      <c r="H215" s="66">
        <f t="shared" si="55"/>
        <v>2.6774999999999998</v>
      </c>
      <c r="I215" s="72">
        <v>2.75</v>
      </c>
      <c r="J215" s="80">
        <f t="shared" si="56"/>
        <v>7.3631249999999993</v>
      </c>
      <c r="K215" s="80">
        <f t="shared" si="57"/>
        <v>1.7369611874999997</v>
      </c>
      <c r="L215" s="80">
        <f t="shared" si="58"/>
        <v>9.1000861874999988</v>
      </c>
    </row>
    <row r="216" spans="2:12" ht="48" x14ac:dyDescent="0.3">
      <c r="B216" s="201">
        <v>11</v>
      </c>
      <c r="C216" s="141" t="s">
        <v>181</v>
      </c>
      <c r="D216" s="160" t="s">
        <v>147</v>
      </c>
      <c r="E216" s="94" t="s">
        <v>144</v>
      </c>
      <c r="F216" s="65">
        <v>520</v>
      </c>
      <c r="G216" s="66">
        <v>3.1</v>
      </c>
      <c r="H216" s="66">
        <f t="shared" si="55"/>
        <v>2.3250000000000002</v>
      </c>
      <c r="I216" s="72">
        <v>15.5</v>
      </c>
      <c r="J216" s="80">
        <f t="shared" si="56"/>
        <v>36.037500000000001</v>
      </c>
      <c r="K216" s="80">
        <f t="shared" si="57"/>
        <v>8.5012462499999994</v>
      </c>
      <c r="L216" s="80">
        <f t="shared" si="58"/>
        <v>44.538746250000003</v>
      </c>
    </row>
    <row r="217" spans="2:12" ht="48" x14ac:dyDescent="0.3">
      <c r="B217" s="201">
        <v>12</v>
      </c>
      <c r="C217" s="141" t="s">
        <v>181</v>
      </c>
      <c r="D217" s="160" t="s">
        <v>147</v>
      </c>
      <c r="E217" s="94" t="s">
        <v>144</v>
      </c>
      <c r="F217" s="65">
        <v>560</v>
      </c>
      <c r="G217" s="66">
        <v>3.33</v>
      </c>
      <c r="H217" s="66">
        <f t="shared" si="55"/>
        <v>2.4975000000000001</v>
      </c>
      <c r="I217" s="72">
        <v>14</v>
      </c>
      <c r="J217" s="80">
        <f t="shared" si="56"/>
        <v>34.965000000000003</v>
      </c>
      <c r="K217" s="80">
        <f t="shared" si="57"/>
        <v>8.2482435000000009</v>
      </c>
      <c r="L217" s="80">
        <v>43.22</v>
      </c>
    </row>
    <row r="218" spans="2:12" ht="48" x14ac:dyDescent="0.3">
      <c r="B218" s="201">
        <v>13</v>
      </c>
      <c r="C218" s="141" t="s">
        <v>181</v>
      </c>
      <c r="D218" s="160" t="s">
        <v>149</v>
      </c>
      <c r="E218" s="94" t="s">
        <v>144</v>
      </c>
      <c r="F218" s="65">
        <v>680</v>
      </c>
      <c r="G218" s="66">
        <v>4.05</v>
      </c>
      <c r="H218" s="66">
        <f t="shared" si="55"/>
        <v>3.0374999999999996</v>
      </c>
      <c r="I218" s="72">
        <v>1.25</v>
      </c>
      <c r="J218" s="80">
        <f t="shared" si="56"/>
        <v>3.7968749999999996</v>
      </c>
      <c r="K218" s="80">
        <f t="shared" si="57"/>
        <v>0.89568281249999993</v>
      </c>
      <c r="L218" s="80">
        <v>4.7</v>
      </c>
    </row>
    <row r="219" spans="2:12" ht="48" x14ac:dyDescent="0.3">
      <c r="B219" s="201">
        <v>14</v>
      </c>
      <c r="C219" s="141" t="s">
        <v>181</v>
      </c>
      <c r="D219" s="160" t="s">
        <v>149</v>
      </c>
      <c r="E219" s="94" t="s">
        <v>144</v>
      </c>
      <c r="F219" s="65">
        <v>680</v>
      </c>
      <c r="G219" s="66">
        <v>4.05</v>
      </c>
      <c r="H219" s="66">
        <f t="shared" si="55"/>
        <v>3.0374999999999996</v>
      </c>
      <c r="I219" s="72">
        <v>1.5</v>
      </c>
      <c r="J219" s="80">
        <f t="shared" si="56"/>
        <v>4.5562499999999995</v>
      </c>
      <c r="K219" s="80">
        <f t="shared" si="57"/>
        <v>1.0748193749999999</v>
      </c>
      <c r="L219" s="80">
        <f t="shared" si="58"/>
        <v>5.6310693749999992</v>
      </c>
    </row>
    <row r="220" spans="2:12" ht="48" x14ac:dyDescent="0.3">
      <c r="B220" s="204">
        <v>15</v>
      </c>
      <c r="C220" s="141" t="s">
        <v>181</v>
      </c>
      <c r="D220" s="160" t="s">
        <v>149</v>
      </c>
      <c r="E220" s="94" t="s">
        <v>144</v>
      </c>
      <c r="F220" s="65">
        <v>630</v>
      </c>
      <c r="G220" s="66">
        <v>3.75</v>
      </c>
      <c r="H220" s="66">
        <f t="shared" si="55"/>
        <v>2.8125</v>
      </c>
      <c r="I220" s="72">
        <v>1</v>
      </c>
      <c r="J220" s="80">
        <f t="shared" si="56"/>
        <v>2.8125</v>
      </c>
      <c r="K220" s="80">
        <f>SUM(J220*21.94%)</f>
        <v>0.61706250000000007</v>
      </c>
      <c r="L220" s="80">
        <f t="shared" si="58"/>
        <v>3.4295625000000003</v>
      </c>
    </row>
    <row r="221" spans="2:12" ht="48" x14ac:dyDescent="0.3">
      <c r="B221" s="201">
        <v>16</v>
      </c>
      <c r="C221" s="141" t="s">
        <v>181</v>
      </c>
      <c r="D221" s="160" t="s">
        <v>147</v>
      </c>
      <c r="E221" s="94" t="s">
        <v>144</v>
      </c>
      <c r="F221" s="65">
        <v>560</v>
      </c>
      <c r="G221" s="66">
        <v>3.33</v>
      </c>
      <c r="H221" s="66">
        <f t="shared" si="55"/>
        <v>2.4975000000000001</v>
      </c>
      <c r="I221" s="72">
        <v>3</v>
      </c>
      <c r="J221" s="80">
        <f t="shared" si="56"/>
        <v>7.4924999999999997</v>
      </c>
      <c r="K221" s="80">
        <f t="shared" si="57"/>
        <v>1.7674807499999998</v>
      </c>
      <c r="L221" s="80">
        <f t="shared" si="58"/>
        <v>9.2599807500000004</v>
      </c>
    </row>
    <row r="222" spans="2:12" ht="48" x14ac:dyDescent="0.3">
      <c r="B222" s="201">
        <v>17</v>
      </c>
      <c r="C222" s="141" t="s">
        <v>181</v>
      </c>
      <c r="D222" s="160" t="s">
        <v>147</v>
      </c>
      <c r="E222" s="94" t="s">
        <v>144</v>
      </c>
      <c r="F222" s="65">
        <v>560</v>
      </c>
      <c r="G222" s="66">
        <v>3.33</v>
      </c>
      <c r="H222" s="66">
        <f t="shared" si="55"/>
        <v>2.4975000000000001</v>
      </c>
      <c r="I222" s="72">
        <v>2</v>
      </c>
      <c r="J222" s="80">
        <f t="shared" si="56"/>
        <v>4.9950000000000001</v>
      </c>
      <c r="K222" s="80">
        <f t="shared" si="57"/>
        <v>1.1783205000000001</v>
      </c>
      <c r="L222" s="80">
        <v>6.18</v>
      </c>
    </row>
    <row r="223" spans="2:12" ht="48" x14ac:dyDescent="0.3">
      <c r="B223" s="201">
        <v>18</v>
      </c>
      <c r="C223" s="141" t="s">
        <v>148</v>
      </c>
      <c r="D223" s="160" t="s">
        <v>149</v>
      </c>
      <c r="E223" s="94" t="s">
        <v>144</v>
      </c>
      <c r="F223" s="65">
        <v>630</v>
      </c>
      <c r="G223" s="66">
        <v>3.75</v>
      </c>
      <c r="H223" s="66">
        <f t="shared" si="55"/>
        <v>2.8125</v>
      </c>
      <c r="I223" s="72">
        <v>17</v>
      </c>
      <c r="J223" s="80">
        <f t="shared" si="56"/>
        <v>47.8125</v>
      </c>
      <c r="K223" s="80">
        <f t="shared" si="57"/>
        <v>11.278968750000001</v>
      </c>
      <c r="L223" s="80">
        <f t="shared" si="58"/>
        <v>59.091468750000004</v>
      </c>
    </row>
    <row r="224" spans="2:12" ht="48" x14ac:dyDescent="0.3">
      <c r="B224" s="201">
        <v>19</v>
      </c>
      <c r="C224" s="141" t="s">
        <v>148</v>
      </c>
      <c r="D224" s="160" t="s">
        <v>147</v>
      </c>
      <c r="E224" s="94" t="s">
        <v>144</v>
      </c>
      <c r="F224" s="65">
        <v>600</v>
      </c>
      <c r="G224" s="66">
        <v>3.57</v>
      </c>
      <c r="H224" s="66">
        <f t="shared" si="55"/>
        <v>2.6774999999999998</v>
      </c>
      <c r="I224" s="72">
        <v>9.5</v>
      </c>
      <c r="J224" s="80">
        <f t="shared" si="56"/>
        <v>25.436249999999998</v>
      </c>
      <c r="K224" s="80">
        <f t="shared" si="57"/>
        <v>6.0004113749999997</v>
      </c>
      <c r="L224" s="80">
        <f t="shared" si="58"/>
        <v>31.436661374999996</v>
      </c>
    </row>
    <row r="225" spans="1:12" ht="48" x14ac:dyDescent="0.3">
      <c r="B225" s="201">
        <v>20</v>
      </c>
      <c r="C225" s="141" t="s">
        <v>148</v>
      </c>
      <c r="D225" s="160" t="s">
        <v>147</v>
      </c>
      <c r="E225" s="94" t="s">
        <v>144</v>
      </c>
      <c r="F225" s="65">
        <v>600</v>
      </c>
      <c r="G225" s="66">
        <v>3.57</v>
      </c>
      <c r="H225" s="66">
        <f t="shared" si="55"/>
        <v>2.6774999999999998</v>
      </c>
      <c r="I225" s="72">
        <v>9.5</v>
      </c>
      <c r="J225" s="80">
        <f t="shared" si="56"/>
        <v>25.436249999999998</v>
      </c>
      <c r="K225" s="80">
        <f t="shared" si="57"/>
        <v>6.0004113749999997</v>
      </c>
      <c r="L225" s="80">
        <f t="shared" si="58"/>
        <v>31.436661374999996</v>
      </c>
    </row>
    <row r="226" spans="1:12" ht="48" x14ac:dyDescent="0.3">
      <c r="B226" s="201">
        <v>21</v>
      </c>
      <c r="C226" s="141" t="s">
        <v>148</v>
      </c>
      <c r="D226" s="160" t="s">
        <v>147</v>
      </c>
      <c r="E226" s="94" t="s">
        <v>144</v>
      </c>
      <c r="F226" s="65">
        <v>560</v>
      </c>
      <c r="G226" s="66">
        <v>3.33</v>
      </c>
      <c r="H226" s="66">
        <f t="shared" si="55"/>
        <v>2.4975000000000001</v>
      </c>
      <c r="I226" s="72">
        <v>19.75</v>
      </c>
      <c r="J226" s="80">
        <f t="shared" si="56"/>
        <v>49.325625000000002</v>
      </c>
      <c r="K226" s="80">
        <f t="shared" si="57"/>
        <v>11.635914937500001</v>
      </c>
      <c r="L226" s="80">
        <v>60.97</v>
      </c>
    </row>
    <row r="227" spans="1:12" ht="48" x14ac:dyDescent="0.3">
      <c r="B227" s="201">
        <v>22</v>
      </c>
      <c r="C227" s="141" t="s">
        <v>146</v>
      </c>
      <c r="D227" s="160" t="s">
        <v>147</v>
      </c>
      <c r="E227" s="94" t="s">
        <v>144</v>
      </c>
      <c r="F227" s="65">
        <v>600</v>
      </c>
      <c r="G227" s="66">
        <v>3.57</v>
      </c>
      <c r="H227" s="66">
        <f t="shared" si="55"/>
        <v>2.6774999999999998</v>
      </c>
      <c r="I227" s="72">
        <v>4.32</v>
      </c>
      <c r="J227" s="80">
        <f t="shared" si="56"/>
        <v>11.566800000000001</v>
      </c>
      <c r="K227" s="80">
        <f t="shared" si="57"/>
        <v>2.7286081200000001</v>
      </c>
      <c r="L227" s="80">
        <f t="shared" si="58"/>
        <v>14.295408120000001</v>
      </c>
    </row>
    <row r="228" spans="1:12" ht="48" x14ac:dyDescent="0.3">
      <c r="B228" s="201">
        <v>23</v>
      </c>
      <c r="C228" s="141" t="s">
        <v>181</v>
      </c>
      <c r="D228" s="160" t="s">
        <v>147</v>
      </c>
      <c r="E228" s="94" t="s">
        <v>144</v>
      </c>
      <c r="F228" s="65">
        <v>560</v>
      </c>
      <c r="G228" s="66">
        <v>3.33</v>
      </c>
      <c r="H228" s="66">
        <f t="shared" si="55"/>
        <v>2.4975000000000001</v>
      </c>
      <c r="I228" s="72">
        <v>3</v>
      </c>
      <c r="J228" s="80">
        <f t="shared" si="56"/>
        <v>7.4924999999999997</v>
      </c>
      <c r="K228" s="80">
        <f t="shared" si="57"/>
        <v>1.7674807499999998</v>
      </c>
      <c r="L228" s="80">
        <f t="shared" si="58"/>
        <v>9.2599807500000004</v>
      </c>
    </row>
    <row r="229" spans="1:12" ht="48" x14ac:dyDescent="0.3">
      <c r="B229" s="201">
        <v>24</v>
      </c>
      <c r="C229" s="141" t="s">
        <v>181</v>
      </c>
      <c r="D229" s="160" t="s">
        <v>143</v>
      </c>
      <c r="E229" s="94" t="s">
        <v>144</v>
      </c>
      <c r="F229" s="65">
        <v>510</v>
      </c>
      <c r="G229" s="66">
        <v>3.04</v>
      </c>
      <c r="H229" s="66">
        <f t="shared" si="55"/>
        <v>2.2800000000000002</v>
      </c>
      <c r="I229" s="72">
        <v>3.5</v>
      </c>
      <c r="J229" s="80">
        <f t="shared" si="56"/>
        <v>7.98</v>
      </c>
      <c r="K229" s="80">
        <f t="shared" si="57"/>
        <v>1.882482</v>
      </c>
      <c r="L229" s="80">
        <f t="shared" si="58"/>
        <v>9.862482</v>
      </c>
    </row>
    <row r="230" spans="1:12" ht="48" x14ac:dyDescent="0.3">
      <c r="B230" s="201">
        <v>25</v>
      </c>
      <c r="C230" s="141" t="s">
        <v>181</v>
      </c>
      <c r="D230" s="160" t="s">
        <v>149</v>
      </c>
      <c r="E230" s="94" t="s">
        <v>144</v>
      </c>
      <c r="F230" s="65">
        <v>680</v>
      </c>
      <c r="G230" s="66">
        <v>4.05</v>
      </c>
      <c r="H230" s="66">
        <f t="shared" si="55"/>
        <v>3.0374999999999996</v>
      </c>
      <c r="I230" s="72">
        <v>12.82</v>
      </c>
      <c r="J230" s="80">
        <f t="shared" si="56"/>
        <v>38.940749999999994</v>
      </c>
      <c r="K230" s="80">
        <f>SUM(J230*21.94%)</f>
        <v>8.543600549999999</v>
      </c>
      <c r="L230" s="80">
        <f t="shared" si="58"/>
        <v>47.484350549999995</v>
      </c>
    </row>
    <row r="231" spans="1:12" ht="48" x14ac:dyDescent="0.3">
      <c r="B231" s="201">
        <v>26</v>
      </c>
      <c r="C231" s="141" t="s">
        <v>146</v>
      </c>
      <c r="D231" s="160" t="s">
        <v>143</v>
      </c>
      <c r="E231" s="94" t="s">
        <v>144</v>
      </c>
      <c r="F231" s="65">
        <v>510</v>
      </c>
      <c r="G231" s="66">
        <v>3.04</v>
      </c>
      <c r="H231" s="66">
        <f t="shared" si="55"/>
        <v>2.2800000000000002</v>
      </c>
      <c r="I231" s="72">
        <v>4.32</v>
      </c>
      <c r="J231" s="80">
        <f t="shared" si="56"/>
        <v>9.8496000000000024</v>
      </c>
      <c r="K231" s="80">
        <f t="shared" si="57"/>
        <v>2.3235206400000004</v>
      </c>
      <c r="L231" s="80">
        <f t="shared" si="58"/>
        <v>12.173120640000002</v>
      </c>
    </row>
    <row r="232" spans="1:12" ht="48" x14ac:dyDescent="0.3">
      <c r="B232" s="201">
        <v>27</v>
      </c>
      <c r="C232" s="141" t="s">
        <v>181</v>
      </c>
      <c r="D232" s="160" t="s">
        <v>149</v>
      </c>
      <c r="E232" s="94" t="s">
        <v>144</v>
      </c>
      <c r="F232" s="65">
        <v>680</v>
      </c>
      <c r="G232" s="66">
        <v>4.05</v>
      </c>
      <c r="H232" s="66">
        <f>SUM(G232*75%)</f>
        <v>3.0374999999999996</v>
      </c>
      <c r="I232" s="72">
        <v>10.5</v>
      </c>
      <c r="J232" s="80">
        <f t="shared" si="56"/>
        <v>31.893749999999997</v>
      </c>
      <c r="K232" s="80">
        <f t="shared" si="57"/>
        <v>7.5237356249999996</v>
      </c>
      <c r="L232" s="80">
        <v>39.409999999999997</v>
      </c>
    </row>
    <row r="233" spans="1:12" x14ac:dyDescent="0.3">
      <c r="B233" s="205"/>
      <c r="C233" s="168" t="s">
        <v>10</v>
      </c>
      <c r="D233" s="146"/>
      <c r="E233" s="63"/>
      <c r="F233" s="17"/>
      <c r="G233" s="5"/>
      <c r="H233" s="5"/>
      <c r="I233" s="16">
        <f t="shared" ref="I233:J233" si="59">SUM(I206:I232)</f>
        <v>191.67</v>
      </c>
      <c r="J233" s="27">
        <f t="shared" si="59"/>
        <v>529.39319999999998</v>
      </c>
      <c r="K233" s="27">
        <f>SUM(K206:K232)</f>
        <v>124.119687255</v>
      </c>
      <c r="L233" s="27">
        <f>ROUNDUP(SUM(L206:L232),2)</f>
        <v>653.54</v>
      </c>
    </row>
    <row r="234" spans="1:12" ht="27.6" customHeight="1" x14ac:dyDescent="0.3">
      <c r="B234" s="205"/>
      <c r="C234" s="210" t="s">
        <v>282</v>
      </c>
      <c r="D234" s="211"/>
      <c r="E234" s="211"/>
      <c r="F234" s="211"/>
      <c r="G234" s="211"/>
      <c r="H234" s="211"/>
      <c r="I234" s="211"/>
      <c r="J234" s="211"/>
      <c r="K234" s="211"/>
      <c r="L234" s="212"/>
    </row>
    <row r="235" spans="1:12" x14ac:dyDescent="0.3">
      <c r="A235" s="8" t="s">
        <v>65</v>
      </c>
      <c r="B235" s="70" t="s">
        <v>66</v>
      </c>
      <c r="C235" s="139"/>
      <c r="D235" s="144"/>
      <c r="E235" s="74"/>
      <c r="F235" s="20"/>
      <c r="G235" s="6"/>
      <c r="H235" s="6"/>
      <c r="I235" s="19"/>
      <c r="J235" s="46"/>
      <c r="K235" s="46"/>
      <c r="L235" s="47"/>
    </row>
    <row r="236" spans="1:12" ht="72" x14ac:dyDescent="0.3">
      <c r="B236" s="201">
        <v>1</v>
      </c>
      <c r="C236" s="141" t="s">
        <v>67</v>
      </c>
      <c r="D236" s="147" t="s">
        <v>25</v>
      </c>
      <c r="E236" s="67" t="s">
        <v>183</v>
      </c>
      <c r="F236" s="65">
        <v>1198</v>
      </c>
      <c r="G236" s="66">
        <v>7.1239999999999997</v>
      </c>
      <c r="H236" s="66">
        <v>5.343</v>
      </c>
      <c r="I236" s="72">
        <v>40</v>
      </c>
      <c r="J236" s="77">
        <v>213.72</v>
      </c>
      <c r="K236" s="77">
        <v>50.42</v>
      </c>
      <c r="L236" s="77">
        <v>264.14</v>
      </c>
    </row>
    <row r="237" spans="1:12" ht="48" x14ac:dyDescent="0.3">
      <c r="B237" s="201">
        <v>2</v>
      </c>
      <c r="C237" s="141" t="s">
        <v>67</v>
      </c>
      <c r="D237" s="147" t="s">
        <v>25</v>
      </c>
      <c r="E237" s="67" t="s">
        <v>184</v>
      </c>
      <c r="F237" s="65">
        <v>1198</v>
      </c>
      <c r="G237" s="66">
        <v>7.1239999999999997</v>
      </c>
      <c r="H237" s="66">
        <v>5.343</v>
      </c>
      <c r="I237" s="72">
        <v>28</v>
      </c>
      <c r="J237" s="77">
        <v>149.6</v>
      </c>
      <c r="K237" s="77">
        <v>35.29</v>
      </c>
      <c r="L237" s="77">
        <v>184.89</v>
      </c>
    </row>
    <row r="238" spans="1:12" ht="48" x14ac:dyDescent="0.3">
      <c r="B238" s="201">
        <v>3</v>
      </c>
      <c r="C238" s="141" t="s">
        <v>67</v>
      </c>
      <c r="D238" s="147" t="s">
        <v>25</v>
      </c>
      <c r="E238" s="67" t="s">
        <v>184</v>
      </c>
      <c r="F238" s="65">
        <v>1198</v>
      </c>
      <c r="G238" s="66">
        <v>7.1239999999999997</v>
      </c>
      <c r="H238" s="66">
        <v>5.343</v>
      </c>
      <c r="I238" s="72">
        <v>35</v>
      </c>
      <c r="J238" s="77">
        <v>187.01</v>
      </c>
      <c r="K238" s="77">
        <v>44.12</v>
      </c>
      <c r="L238" s="77">
        <v>231.12</v>
      </c>
    </row>
    <row r="239" spans="1:12" ht="72" x14ac:dyDescent="0.3">
      <c r="B239" s="201">
        <v>4</v>
      </c>
      <c r="C239" s="141" t="s">
        <v>67</v>
      </c>
      <c r="D239" s="147" t="s">
        <v>27</v>
      </c>
      <c r="E239" s="67" t="s">
        <v>183</v>
      </c>
      <c r="F239" s="65">
        <v>1173</v>
      </c>
      <c r="G239" s="66">
        <v>6.9749999999999996</v>
      </c>
      <c r="H239" s="66">
        <v>5.2309999999999999</v>
      </c>
      <c r="I239" s="72">
        <v>40</v>
      </c>
      <c r="J239" s="77">
        <v>209.25</v>
      </c>
      <c r="K239" s="77">
        <v>49.36</v>
      </c>
      <c r="L239" s="77">
        <v>258.61</v>
      </c>
    </row>
    <row r="240" spans="1:12" ht="48" x14ac:dyDescent="0.3">
      <c r="B240" s="201">
        <v>5</v>
      </c>
      <c r="C240" s="141" t="s">
        <v>67</v>
      </c>
      <c r="D240" s="147" t="s">
        <v>27</v>
      </c>
      <c r="E240" s="67" t="s">
        <v>184</v>
      </c>
      <c r="F240" s="65">
        <v>1161</v>
      </c>
      <c r="G240" s="66">
        <v>6.9039999999999999</v>
      </c>
      <c r="H240" s="66">
        <v>5.1779999999999999</v>
      </c>
      <c r="I240" s="72">
        <v>16</v>
      </c>
      <c r="J240" s="77">
        <v>82.85</v>
      </c>
      <c r="K240" s="77">
        <v>19.54</v>
      </c>
      <c r="L240" s="77">
        <v>102.39</v>
      </c>
    </row>
    <row r="241" spans="2:12" ht="48" x14ac:dyDescent="0.3">
      <c r="B241" s="201">
        <v>6</v>
      </c>
      <c r="C241" s="141" t="s">
        <v>67</v>
      </c>
      <c r="D241" s="147" t="s">
        <v>27</v>
      </c>
      <c r="E241" s="67" t="s">
        <v>184</v>
      </c>
      <c r="F241" s="65">
        <v>1173</v>
      </c>
      <c r="G241" s="66">
        <v>6.9749999999999996</v>
      </c>
      <c r="H241" s="66">
        <v>5.2309999999999999</v>
      </c>
      <c r="I241" s="72">
        <v>36</v>
      </c>
      <c r="J241" s="77">
        <v>188.33</v>
      </c>
      <c r="K241" s="77">
        <v>44.43</v>
      </c>
      <c r="L241" s="77">
        <v>232.76</v>
      </c>
    </row>
    <row r="242" spans="2:12" ht="132" x14ac:dyDescent="0.3">
      <c r="B242" s="201">
        <v>7</v>
      </c>
      <c r="C242" s="141" t="s">
        <v>67</v>
      </c>
      <c r="D242" s="147" t="s">
        <v>27</v>
      </c>
      <c r="E242" s="67" t="s">
        <v>185</v>
      </c>
      <c r="F242" s="65">
        <v>1161</v>
      </c>
      <c r="G242" s="66">
        <v>6.9039999999999999</v>
      </c>
      <c r="H242" s="66">
        <v>5.1779999999999999</v>
      </c>
      <c r="I242" s="72">
        <v>10</v>
      </c>
      <c r="J242" s="77">
        <v>51.78</v>
      </c>
      <c r="K242" s="77">
        <v>12.22</v>
      </c>
      <c r="L242" s="77">
        <v>64</v>
      </c>
    </row>
    <row r="243" spans="2:12" ht="48" x14ac:dyDescent="0.3">
      <c r="B243" s="201">
        <v>8</v>
      </c>
      <c r="C243" s="141" t="s">
        <v>67</v>
      </c>
      <c r="D243" s="147" t="s">
        <v>27</v>
      </c>
      <c r="E243" s="67" t="s">
        <v>184</v>
      </c>
      <c r="F243" s="65">
        <v>1178</v>
      </c>
      <c r="G243" s="66">
        <v>7.0049999999999999</v>
      </c>
      <c r="H243" s="66">
        <v>5.2539999999999996</v>
      </c>
      <c r="I243" s="72">
        <v>7</v>
      </c>
      <c r="J243" s="77">
        <v>36.78</v>
      </c>
      <c r="K243" s="77">
        <v>8.68</v>
      </c>
      <c r="L243" s="77">
        <v>45.46</v>
      </c>
    </row>
    <row r="244" spans="2:12" ht="72" x14ac:dyDescent="0.3">
      <c r="B244" s="201">
        <v>9</v>
      </c>
      <c r="C244" s="141" t="s">
        <v>67</v>
      </c>
      <c r="D244" s="147" t="s">
        <v>27</v>
      </c>
      <c r="E244" s="67" t="s">
        <v>183</v>
      </c>
      <c r="F244" s="65">
        <v>1173</v>
      </c>
      <c r="G244" s="66">
        <v>6.9749999999999996</v>
      </c>
      <c r="H244" s="66">
        <v>5.2309999999999999</v>
      </c>
      <c r="I244" s="72">
        <v>37</v>
      </c>
      <c r="J244" s="77">
        <v>193.56</v>
      </c>
      <c r="K244" s="77">
        <v>45.66</v>
      </c>
      <c r="L244" s="77">
        <v>239.22</v>
      </c>
    </row>
    <row r="245" spans="2:12" ht="72" x14ac:dyDescent="0.3">
      <c r="B245" s="201">
        <v>10</v>
      </c>
      <c r="C245" s="141" t="s">
        <v>67</v>
      </c>
      <c r="D245" s="147" t="s">
        <v>27</v>
      </c>
      <c r="E245" s="67" t="s">
        <v>183</v>
      </c>
      <c r="F245" s="65">
        <v>1161</v>
      </c>
      <c r="G245" s="66">
        <v>6.9039999999999999</v>
      </c>
      <c r="H245" s="66">
        <v>5.1779999999999999</v>
      </c>
      <c r="I245" s="72">
        <v>8</v>
      </c>
      <c r="J245" s="77">
        <v>41.42</v>
      </c>
      <c r="K245" s="77">
        <v>9.77</v>
      </c>
      <c r="L245" s="77">
        <v>51.19</v>
      </c>
    </row>
    <row r="246" spans="2:12" ht="72" x14ac:dyDescent="0.3">
      <c r="B246" s="201">
        <v>11</v>
      </c>
      <c r="C246" s="141" t="s">
        <v>67</v>
      </c>
      <c r="D246" s="147" t="s">
        <v>27</v>
      </c>
      <c r="E246" s="67" t="s">
        <v>183</v>
      </c>
      <c r="F246" s="65">
        <v>1161</v>
      </c>
      <c r="G246" s="66">
        <v>6.9039999999999999</v>
      </c>
      <c r="H246" s="66">
        <v>5.1779999999999999</v>
      </c>
      <c r="I246" s="72">
        <v>2</v>
      </c>
      <c r="J246" s="77">
        <v>10.36</v>
      </c>
      <c r="K246" s="77">
        <v>2.44</v>
      </c>
      <c r="L246" s="77">
        <v>12.8</v>
      </c>
    </row>
    <row r="247" spans="2:12" ht="72" x14ac:dyDescent="0.3">
      <c r="B247" s="201">
        <v>12</v>
      </c>
      <c r="C247" s="141" t="s">
        <v>67</v>
      </c>
      <c r="D247" s="147" t="s">
        <v>40</v>
      </c>
      <c r="E247" s="67" t="s">
        <v>183</v>
      </c>
      <c r="F247" s="65">
        <v>1095</v>
      </c>
      <c r="G247" s="66">
        <v>6.5110000000000001</v>
      </c>
      <c r="H247" s="66">
        <v>4.883</v>
      </c>
      <c r="I247" s="72">
        <v>10</v>
      </c>
      <c r="J247" s="77">
        <v>48.83</v>
      </c>
      <c r="K247" s="77">
        <v>11.52</v>
      </c>
      <c r="L247" s="77">
        <v>60.35</v>
      </c>
    </row>
    <row r="248" spans="2:12" ht="72" x14ac:dyDescent="0.3">
      <c r="B248" s="201">
        <v>13</v>
      </c>
      <c r="C248" s="141" t="s">
        <v>67</v>
      </c>
      <c r="D248" s="147" t="s">
        <v>40</v>
      </c>
      <c r="E248" s="67" t="s">
        <v>183</v>
      </c>
      <c r="F248" s="65">
        <v>1112</v>
      </c>
      <c r="G248" s="66">
        <v>6.6120000000000001</v>
      </c>
      <c r="H248" s="66">
        <v>4.9589999999999996</v>
      </c>
      <c r="I248" s="72">
        <v>14</v>
      </c>
      <c r="J248" s="77">
        <v>69.430000000000007</v>
      </c>
      <c r="K248" s="77">
        <v>16.38</v>
      </c>
      <c r="L248" s="77">
        <v>85.81</v>
      </c>
    </row>
    <row r="249" spans="2:12" ht="48" x14ac:dyDescent="0.3">
      <c r="B249" s="201">
        <v>14</v>
      </c>
      <c r="C249" s="141" t="s">
        <v>67</v>
      </c>
      <c r="D249" s="147" t="s">
        <v>27</v>
      </c>
      <c r="E249" s="67" t="s">
        <v>184</v>
      </c>
      <c r="F249" s="65">
        <v>1173</v>
      </c>
      <c r="G249" s="66">
        <v>6.9749999999999996</v>
      </c>
      <c r="H249" s="66">
        <v>5.2309999999999999</v>
      </c>
      <c r="I249" s="72">
        <v>35</v>
      </c>
      <c r="J249" s="77">
        <v>183.09</v>
      </c>
      <c r="K249" s="77">
        <v>43.19</v>
      </c>
      <c r="L249" s="77">
        <v>226.28</v>
      </c>
    </row>
    <row r="250" spans="2:12" ht="48" x14ac:dyDescent="0.3">
      <c r="B250" s="201">
        <v>15</v>
      </c>
      <c r="C250" s="141" t="s">
        <v>67</v>
      </c>
      <c r="D250" s="147" t="s">
        <v>27</v>
      </c>
      <c r="E250" s="67" t="s">
        <v>184</v>
      </c>
      <c r="F250" s="65">
        <v>1173</v>
      </c>
      <c r="G250" s="66">
        <v>6.9749999999999996</v>
      </c>
      <c r="H250" s="66">
        <v>5.2309999999999999</v>
      </c>
      <c r="I250" s="72">
        <v>32</v>
      </c>
      <c r="J250" s="77">
        <v>167.4</v>
      </c>
      <c r="K250" s="77">
        <v>39.49</v>
      </c>
      <c r="L250" s="77">
        <v>206.89</v>
      </c>
    </row>
    <row r="251" spans="2:12" ht="72" x14ac:dyDescent="0.3">
      <c r="B251" s="201">
        <v>16</v>
      </c>
      <c r="C251" s="141" t="s">
        <v>67</v>
      </c>
      <c r="D251" s="147" t="s">
        <v>27</v>
      </c>
      <c r="E251" s="67" t="s">
        <v>183</v>
      </c>
      <c r="F251" s="65">
        <v>1161</v>
      </c>
      <c r="G251" s="66">
        <v>6.9039999999999999</v>
      </c>
      <c r="H251" s="66">
        <v>5.1779999999999999</v>
      </c>
      <c r="I251" s="72">
        <v>31</v>
      </c>
      <c r="J251" s="77">
        <v>160.52000000000001</v>
      </c>
      <c r="K251" s="77">
        <v>37.869999999999997</v>
      </c>
      <c r="L251" s="77">
        <v>198.39</v>
      </c>
    </row>
    <row r="252" spans="2:12" ht="48" x14ac:dyDescent="0.3">
      <c r="B252" s="201">
        <v>17</v>
      </c>
      <c r="C252" s="106" t="s">
        <v>186</v>
      </c>
      <c r="D252" s="169" t="s">
        <v>55</v>
      </c>
      <c r="E252" s="67" t="s">
        <v>184</v>
      </c>
      <c r="F252" s="65">
        <v>1131</v>
      </c>
      <c r="G252" s="66">
        <v>6.6920000000000002</v>
      </c>
      <c r="H252" s="66">
        <v>5.0190000000000001</v>
      </c>
      <c r="I252" s="72">
        <v>21</v>
      </c>
      <c r="J252" s="77">
        <v>105.4</v>
      </c>
      <c r="K252" s="77">
        <v>24.87</v>
      </c>
      <c r="L252" s="77">
        <v>130.27000000000001</v>
      </c>
    </row>
    <row r="253" spans="2:12" ht="48" x14ac:dyDescent="0.3">
      <c r="B253" s="201">
        <v>18</v>
      </c>
      <c r="C253" s="106" t="s">
        <v>186</v>
      </c>
      <c r="D253" s="170" t="s">
        <v>122</v>
      </c>
      <c r="E253" s="67" t="s">
        <v>184</v>
      </c>
      <c r="F253" s="65">
        <v>990</v>
      </c>
      <c r="G253" s="66">
        <v>5.8579999999999997</v>
      </c>
      <c r="H253" s="66">
        <v>4.3940000000000001</v>
      </c>
      <c r="I253" s="72">
        <v>21</v>
      </c>
      <c r="J253" s="77">
        <v>92.26</v>
      </c>
      <c r="K253" s="77">
        <v>21.77</v>
      </c>
      <c r="L253" s="77">
        <v>114.03</v>
      </c>
    </row>
    <row r="254" spans="2:12" ht="48" x14ac:dyDescent="0.3">
      <c r="B254" s="201">
        <v>19</v>
      </c>
      <c r="C254" s="106" t="s">
        <v>186</v>
      </c>
      <c r="D254" s="170" t="s">
        <v>122</v>
      </c>
      <c r="E254" s="67" t="s">
        <v>184</v>
      </c>
      <c r="F254" s="65">
        <v>990</v>
      </c>
      <c r="G254" s="66">
        <v>5.8579999999999997</v>
      </c>
      <c r="H254" s="66">
        <v>4.3940000000000001</v>
      </c>
      <c r="I254" s="72">
        <v>16</v>
      </c>
      <c r="J254" s="77">
        <v>70.3</v>
      </c>
      <c r="K254" s="77">
        <v>16.59</v>
      </c>
      <c r="L254" s="77">
        <v>86.89</v>
      </c>
    </row>
    <row r="255" spans="2:12" ht="96" x14ac:dyDescent="0.3">
      <c r="B255" s="201">
        <v>20</v>
      </c>
      <c r="C255" s="171" t="s">
        <v>68</v>
      </c>
      <c r="D255" s="169" t="s">
        <v>27</v>
      </c>
      <c r="E255" s="67" t="s">
        <v>187</v>
      </c>
      <c r="F255" s="65">
        <v>1178</v>
      </c>
      <c r="G255" s="66">
        <v>7.0119999999999996</v>
      </c>
      <c r="H255" s="66">
        <v>5.2590000000000003</v>
      </c>
      <c r="I255" s="72">
        <v>22</v>
      </c>
      <c r="J255" s="77">
        <v>115.7</v>
      </c>
      <c r="K255" s="77">
        <v>27.29</v>
      </c>
      <c r="L255" s="77">
        <v>142.99</v>
      </c>
    </row>
    <row r="256" spans="2:12" ht="168" x14ac:dyDescent="0.3">
      <c r="B256" s="201">
        <v>21</v>
      </c>
      <c r="C256" s="171" t="s">
        <v>68</v>
      </c>
      <c r="D256" s="169" t="s">
        <v>27</v>
      </c>
      <c r="E256" s="67" t="s">
        <v>188</v>
      </c>
      <c r="F256" s="65">
        <v>1178</v>
      </c>
      <c r="G256" s="66">
        <v>7.0119999999999996</v>
      </c>
      <c r="H256" s="66">
        <v>5.2590000000000003</v>
      </c>
      <c r="I256" s="72">
        <v>22.5</v>
      </c>
      <c r="J256" s="77">
        <v>118.33</v>
      </c>
      <c r="K256" s="77">
        <v>27.91</v>
      </c>
      <c r="L256" s="77">
        <v>146.24</v>
      </c>
    </row>
    <row r="257" spans="2:12" ht="96" x14ac:dyDescent="0.3">
      <c r="B257" s="201">
        <v>22</v>
      </c>
      <c r="C257" s="171" t="s">
        <v>68</v>
      </c>
      <c r="D257" s="169" t="s">
        <v>27</v>
      </c>
      <c r="E257" s="67" t="s">
        <v>187</v>
      </c>
      <c r="F257" s="65">
        <v>1161</v>
      </c>
      <c r="G257" s="66">
        <v>6.9109999999999996</v>
      </c>
      <c r="H257" s="66">
        <v>5.1829999999999998</v>
      </c>
      <c r="I257" s="72">
        <v>20.5</v>
      </c>
      <c r="J257" s="77">
        <v>106.26</v>
      </c>
      <c r="K257" s="77">
        <v>25.07</v>
      </c>
      <c r="L257" s="77">
        <v>131.33000000000001</v>
      </c>
    </row>
    <row r="258" spans="2:12" ht="108" x14ac:dyDescent="0.3">
      <c r="B258" s="201">
        <v>23</v>
      </c>
      <c r="C258" s="141" t="s">
        <v>69</v>
      </c>
      <c r="D258" s="147" t="s">
        <v>27</v>
      </c>
      <c r="E258" s="67" t="s">
        <v>189</v>
      </c>
      <c r="F258" s="65">
        <v>1178</v>
      </c>
      <c r="G258" s="66">
        <v>7.0119999999999996</v>
      </c>
      <c r="H258" s="66">
        <v>5.2590000000000003</v>
      </c>
      <c r="I258" s="72">
        <v>10</v>
      </c>
      <c r="J258" s="77">
        <v>52.59</v>
      </c>
      <c r="K258" s="77">
        <v>12.41</v>
      </c>
      <c r="L258" s="77">
        <v>65</v>
      </c>
    </row>
    <row r="259" spans="2:12" ht="108" x14ac:dyDescent="0.3">
      <c r="B259" s="201">
        <v>24</v>
      </c>
      <c r="C259" s="141" t="s">
        <v>69</v>
      </c>
      <c r="D259" s="147" t="s">
        <v>27</v>
      </c>
      <c r="E259" s="67" t="s">
        <v>189</v>
      </c>
      <c r="F259" s="65">
        <v>1161</v>
      </c>
      <c r="G259" s="66">
        <v>6.9109999999999996</v>
      </c>
      <c r="H259" s="66">
        <v>5.1829999999999998</v>
      </c>
      <c r="I259" s="72">
        <v>20</v>
      </c>
      <c r="J259" s="77">
        <v>103.66</v>
      </c>
      <c r="K259" s="77">
        <v>24.45</v>
      </c>
      <c r="L259" s="77">
        <v>128.11000000000001</v>
      </c>
    </row>
    <row r="260" spans="2:12" ht="72" x14ac:dyDescent="0.3">
      <c r="B260" s="201">
        <v>25</v>
      </c>
      <c r="C260" s="141" t="s">
        <v>69</v>
      </c>
      <c r="D260" s="147" t="s">
        <v>27</v>
      </c>
      <c r="E260" s="67" t="s">
        <v>190</v>
      </c>
      <c r="F260" s="65">
        <v>1161</v>
      </c>
      <c r="G260" s="66">
        <v>6.9109999999999996</v>
      </c>
      <c r="H260" s="66">
        <v>5.1829999999999998</v>
      </c>
      <c r="I260" s="72">
        <v>9</v>
      </c>
      <c r="J260" s="77">
        <v>46.65</v>
      </c>
      <c r="K260" s="77">
        <v>11</v>
      </c>
      <c r="L260" s="77">
        <v>57.65</v>
      </c>
    </row>
    <row r="261" spans="2:12" ht="132" x14ac:dyDescent="0.3">
      <c r="B261" s="201">
        <v>26</v>
      </c>
      <c r="C261" s="141" t="s">
        <v>69</v>
      </c>
      <c r="D261" s="147" t="s">
        <v>40</v>
      </c>
      <c r="E261" s="67" t="s">
        <v>191</v>
      </c>
      <c r="F261" s="65">
        <v>1095</v>
      </c>
      <c r="G261" s="66">
        <v>6.5179999999999998</v>
      </c>
      <c r="H261" s="66">
        <v>4.8879999999999999</v>
      </c>
      <c r="I261" s="72">
        <v>9</v>
      </c>
      <c r="J261" s="77">
        <v>44</v>
      </c>
      <c r="K261" s="77">
        <v>10.38</v>
      </c>
      <c r="L261" s="77">
        <v>54.38</v>
      </c>
    </row>
    <row r="262" spans="2:12" ht="132" x14ac:dyDescent="0.3">
      <c r="B262" s="201">
        <v>27</v>
      </c>
      <c r="C262" s="141" t="s">
        <v>69</v>
      </c>
      <c r="D262" s="147" t="s">
        <v>40</v>
      </c>
      <c r="E262" s="67" t="s">
        <v>191</v>
      </c>
      <c r="F262" s="65">
        <v>1095</v>
      </c>
      <c r="G262" s="66">
        <v>6.5179999999999998</v>
      </c>
      <c r="H262" s="66">
        <v>4.8879999999999999</v>
      </c>
      <c r="I262" s="72">
        <v>22</v>
      </c>
      <c r="J262" s="77">
        <v>107.54</v>
      </c>
      <c r="K262" s="77">
        <v>25.37</v>
      </c>
      <c r="L262" s="77">
        <v>132.91</v>
      </c>
    </row>
    <row r="263" spans="2:12" ht="144" x14ac:dyDescent="0.3">
      <c r="B263" s="201">
        <v>28</v>
      </c>
      <c r="C263" s="141" t="s">
        <v>70</v>
      </c>
      <c r="D263" s="147" t="s">
        <v>55</v>
      </c>
      <c r="E263" s="67" t="s">
        <v>192</v>
      </c>
      <c r="F263" s="65">
        <v>1387</v>
      </c>
      <c r="G263" s="66">
        <v>8.2560000000000002</v>
      </c>
      <c r="H263" s="66">
        <v>6.1920000000000002</v>
      </c>
      <c r="I263" s="72">
        <v>29.5</v>
      </c>
      <c r="J263" s="77">
        <v>182.66</v>
      </c>
      <c r="K263" s="77">
        <v>43.09</v>
      </c>
      <c r="L263" s="77">
        <v>225.75</v>
      </c>
    </row>
    <row r="264" spans="2:12" ht="144" x14ac:dyDescent="0.3">
      <c r="B264" s="201">
        <v>29</v>
      </c>
      <c r="C264" s="141" t="s">
        <v>70</v>
      </c>
      <c r="D264" s="147" t="s">
        <v>25</v>
      </c>
      <c r="E264" s="67" t="s">
        <v>192</v>
      </c>
      <c r="F264" s="65">
        <v>1215</v>
      </c>
      <c r="G264" s="66">
        <v>7.2320000000000002</v>
      </c>
      <c r="H264" s="66">
        <v>5.4240000000000004</v>
      </c>
      <c r="I264" s="72">
        <v>29.5</v>
      </c>
      <c r="J264" s="77">
        <v>160.01</v>
      </c>
      <c r="K264" s="77">
        <v>37.75</v>
      </c>
      <c r="L264" s="77">
        <v>197.76</v>
      </c>
    </row>
    <row r="265" spans="2:12" ht="84" x14ac:dyDescent="0.3">
      <c r="B265" s="201">
        <v>30</v>
      </c>
      <c r="C265" s="141" t="s">
        <v>70</v>
      </c>
      <c r="D265" s="147" t="s">
        <v>27</v>
      </c>
      <c r="E265" s="67" t="s">
        <v>193</v>
      </c>
      <c r="F265" s="65">
        <v>1161</v>
      </c>
      <c r="G265" s="66">
        <v>6.9109999999999996</v>
      </c>
      <c r="H265" s="66">
        <v>5.1829999999999998</v>
      </c>
      <c r="I265" s="72">
        <v>4.5</v>
      </c>
      <c r="J265" s="77">
        <v>23.32</v>
      </c>
      <c r="K265" s="77">
        <v>5.5</v>
      </c>
      <c r="L265" s="77">
        <v>28.82</v>
      </c>
    </row>
    <row r="266" spans="2:12" ht="84" x14ac:dyDescent="0.3">
      <c r="B266" s="201">
        <v>31</v>
      </c>
      <c r="C266" s="141" t="s">
        <v>70</v>
      </c>
      <c r="D266" s="147" t="s">
        <v>27</v>
      </c>
      <c r="E266" s="67" t="s">
        <v>193</v>
      </c>
      <c r="F266" s="65">
        <v>1178</v>
      </c>
      <c r="G266" s="66">
        <v>7.0119999999999996</v>
      </c>
      <c r="H266" s="66">
        <v>5.2590000000000003</v>
      </c>
      <c r="I266" s="72">
        <v>10</v>
      </c>
      <c r="J266" s="77">
        <v>52.59</v>
      </c>
      <c r="K266" s="77">
        <v>12.41</v>
      </c>
      <c r="L266" s="77">
        <v>65</v>
      </c>
    </row>
    <row r="267" spans="2:12" ht="108" x14ac:dyDescent="0.3">
      <c r="B267" s="201">
        <v>32</v>
      </c>
      <c r="C267" s="141" t="s">
        <v>70</v>
      </c>
      <c r="D267" s="147" t="s">
        <v>27</v>
      </c>
      <c r="E267" s="67" t="s">
        <v>194</v>
      </c>
      <c r="F267" s="65">
        <v>1178</v>
      </c>
      <c r="G267" s="66">
        <v>7.0119999999999996</v>
      </c>
      <c r="H267" s="66">
        <v>5.2590000000000003</v>
      </c>
      <c r="I267" s="72">
        <v>27.5</v>
      </c>
      <c r="J267" s="77">
        <v>144.62</v>
      </c>
      <c r="K267" s="77">
        <v>34.119999999999997</v>
      </c>
      <c r="L267" s="77">
        <v>178.74</v>
      </c>
    </row>
    <row r="268" spans="2:12" ht="84" x14ac:dyDescent="0.3">
      <c r="B268" s="201">
        <v>33</v>
      </c>
      <c r="C268" s="141" t="s">
        <v>70</v>
      </c>
      <c r="D268" s="147" t="s">
        <v>27</v>
      </c>
      <c r="E268" s="67" t="s">
        <v>193</v>
      </c>
      <c r="F268" s="65">
        <v>1178</v>
      </c>
      <c r="G268" s="66">
        <v>7.0119999999999996</v>
      </c>
      <c r="H268" s="66">
        <v>5.2590000000000003</v>
      </c>
      <c r="I268" s="72">
        <v>30</v>
      </c>
      <c r="J268" s="77">
        <v>157.77000000000001</v>
      </c>
      <c r="K268" s="77">
        <v>37.22</v>
      </c>
      <c r="L268" s="77">
        <v>194.99</v>
      </c>
    </row>
    <row r="269" spans="2:12" ht="159" customHeight="1" x14ac:dyDescent="0.3">
      <c r="B269" s="201">
        <v>34</v>
      </c>
      <c r="C269" s="141" t="s">
        <v>70</v>
      </c>
      <c r="D269" s="147" t="s">
        <v>27</v>
      </c>
      <c r="E269" s="67" t="s">
        <v>195</v>
      </c>
      <c r="F269" s="65">
        <v>1161</v>
      </c>
      <c r="G269" s="66">
        <v>6.9109999999999996</v>
      </c>
      <c r="H269" s="66">
        <v>5.1829999999999998</v>
      </c>
      <c r="I269" s="72">
        <v>69.5</v>
      </c>
      <c r="J269" s="77">
        <v>360.24</v>
      </c>
      <c r="K269" s="77">
        <v>84.98</v>
      </c>
      <c r="L269" s="77">
        <v>445.22</v>
      </c>
    </row>
    <row r="270" spans="2:12" ht="48" x14ac:dyDescent="0.3">
      <c r="B270" s="201">
        <v>35</v>
      </c>
      <c r="C270" s="141" t="s">
        <v>70</v>
      </c>
      <c r="D270" s="147" t="s">
        <v>40</v>
      </c>
      <c r="E270" s="67" t="s">
        <v>184</v>
      </c>
      <c r="F270" s="65">
        <v>1095</v>
      </c>
      <c r="G270" s="66">
        <v>6.5179999999999998</v>
      </c>
      <c r="H270" s="66">
        <v>4.8879999999999999</v>
      </c>
      <c r="I270" s="72">
        <v>2</v>
      </c>
      <c r="J270" s="77">
        <v>9.7799999999999994</v>
      </c>
      <c r="K270" s="77">
        <v>2.31</v>
      </c>
      <c r="L270" s="77">
        <v>12.09</v>
      </c>
    </row>
    <row r="271" spans="2:12" ht="84" x14ac:dyDescent="0.3">
      <c r="B271" s="201">
        <v>36</v>
      </c>
      <c r="C271" s="141" t="s">
        <v>70</v>
      </c>
      <c r="D271" s="147" t="s">
        <v>40</v>
      </c>
      <c r="E271" s="67" t="s">
        <v>193</v>
      </c>
      <c r="F271" s="65">
        <v>1095</v>
      </c>
      <c r="G271" s="66">
        <v>6.5179999999999998</v>
      </c>
      <c r="H271" s="66">
        <v>4.8879999999999999</v>
      </c>
      <c r="I271" s="72">
        <v>13</v>
      </c>
      <c r="J271" s="77">
        <v>63.55</v>
      </c>
      <c r="K271" s="77">
        <v>14.99</v>
      </c>
      <c r="L271" s="77">
        <v>78.540000000000006</v>
      </c>
    </row>
    <row r="272" spans="2:12" ht="108" x14ac:dyDescent="0.3">
      <c r="B272" s="201">
        <v>37</v>
      </c>
      <c r="C272" s="141" t="s">
        <v>70</v>
      </c>
      <c r="D272" s="147" t="s">
        <v>40</v>
      </c>
      <c r="E272" s="67" t="s">
        <v>194</v>
      </c>
      <c r="F272" s="65">
        <v>1095</v>
      </c>
      <c r="G272" s="66">
        <v>6.5179999999999998</v>
      </c>
      <c r="H272" s="66">
        <v>4.8879999999999999</v>
      </c>
      <c r="I272" s="72">
        <v>27.5</v>
      </c>
      <c r="J272" s="77">
        <v>134.43</v>
      </c>
      <c r="K272" s="77">
        <v>31.71</v>
      </c>
      <c r="L272" s="77">
        <v>166.14</v>
      </c>
    </row>
    <row r="273" spans="1:12" ht="108" x14ac:dyDescent="0.3">
      <c r="B273" s="201">
        <v>38</v>
      </c>
      <c r="C273" s="141" t="s">
        <v>70</v>
      </c>
      <c r="D273" s="147" t="s">
        <v>41</v>
      </c>
      <c r="E273" s="67" t="s">
        <v>194</v>
      </c>
      <c r="F273" s="65">
        <v>1065</v>
      </c>
      <c r="G273" s="66">
        <v>6.3390000000000004</v>
      </c>
      <c r="H273" s="66">
        <v>4.7549999999999999</v>
      </c>
      <c r="I273" s="72">
        <v>34.5</v>
      </c>
      <c r="J273" s="77">
        <v>164.02</v>
      </c>
      <c r="K273" s="77">
        <v>38.69</v>
      </c>
      <c r="L273" s="77">
        <v>202.71</v>
      </c>
    </row>
    <row r="274" spans="1:12" ht="72" x14ac:dyDescent="0.3">
      <c r="B274" s="201">
        <v>39</v>
      </c>
      <c r="C274" s="141" t="s">
        <v>70</v>
      </c>
      <c r="D274" s="147" t="s">
        <v>41</v>
      </c>
      <c r="E274" s="67" t="s">
        <v>183</v>
      </c>
      <c r="F274" s="65">
        <v>1065</v>
      </c>
      <c r="G274" s="66">
        <v>6.3390000000000004</v>
      </c>
      <c r="H274" s="66">
        <v>4.7549999999999999</v>
      </c>
      <c r="I274" s="72">
        <v>10</v>
      </c>
      <c r="J274" s="77">
        <v>47.54</v>
      </c>
      <c r="K274" s="77">
        <v>11.22</v>
      </c>
      <c r="L274" s="77">
        <v>58.76</v>
      </c>
    </row>
    <row r="275" spans="1:12" ht="144" x14ac:dyDescent="0.3">
      <c r="B275" s="201">
        <v>40</v>
      </c>
      <c r="C275" s="141" t="s">
        <v>70</v>
      </c>
      <c r="D275" s="147" t="s">
        <v>41</v>
      </c>
      <c r="E275" s="67" t="s">
        <v>192</v>
      </c>
      <c r="F275" s="65">
        <v>1082</v>
      </c>
      <c r="G275" s="66">
        <v>6.4409999999999998</v>
      </c>
      <c r="H275" s="66">
        <v>4.83</v>
      </c>
      <c r="I275" s="72">
        <v>12</v>
      </c>
      <c r="J275" s="77">
        <v>57.96</v>
      </c>
      <c r="K275" s="77">
        <v>13.67</v>
      </c>
      <c r="L275" s="77">
        <v>71.63</v>
      </c>
    </row>
    <row r="276" spans="1:12" ht="144" x14ac:dyDescent="0.3">
      <c r="B276" s="201">
        <v>41</v>
      </c>
      <c r="C276" s="141" t="s">
        <v>70</v>
      </c>
      <c r="D276" s="147" t="s">
        <v>41</v>
      </c>
      <c r="E276" s="67" t="s">
        <v>195</v>
      </c>
      <c r="F276" s="65">
        <v>1082</v>
      </c>
      <c r="G276" s="66">
        <v>6.4409999999999998</v>
      </c>
      <c r="H276" s="66">
        <v>4.83</v>
      </c>
      <c r="I276" s="72">
        <v>62</v>
      </c>
      <c r="J276" s="77">
        <v>299.45999999999998</v>
      </c>
      <c r="K276" s="77">
        <v>70.64</v>
      </c>
      <c r="L276" s="77">
        <v>370.1</v>
      </c>
    </row>
    <row r="277" spans="1:12" ht="108" x14ac:dyDescent="0.3">
      <c r="B277" s="201">
        <v>42</v>
      </c>
      <c r="C277" s="141" t="s">
        <v>70</v>
      </c>
      <c r="D277" s="147" t="s">
        <v>41</v>
      </c>
      <c r="E277" s="67" t="s">
        <v>189</v>
      </c>
      <c r="F277" s="65">
        <v>1065</v>
      </c>
      <c r="G277" s="66">
        <v>6.3390000000000004</v>
      </c>
      <c r="H277" s="66">
        <v>4.7549999999999999</v>
      </c>
      <c r="I277" s="72">
        <v>36</v>
      </c>
      <c r="J277" s="77">
        <v>171.15</v>
      </c>
      <c r="K277" s="77">
        <v>40.369999999999997</v>
      </c>
      <c r="L277" s="77">
        <v>211.52</v>
      </c>
    </row>
    <row r="278" spans="1:12" ht="144" x14ac:dyDescent="0.3">
      <c r="B278" s="201">
        <v>43</v>
      </c>
      <c r="C278" s="141" t="s">
        <v>70</v>
      </c>
      <c r="D278" s="147" t="s">
        <v>41</v>
      </c>
      <c r="E278" s="67" t="s">
        <v>195</v>
      </c>
      <c r="F278" s="65">
        <v>1065</v>
      </c>
      <c r="G278" s="66">
        <v>6.3390000000000004</v>
      </c>
      <c r="H278" s="66">
        <v>4.7549999999999999</v>
      </c>
      <c r="I278" s="72">
        <v>60.5</v>
      </c>
      <c r="J278" s="77">
        <v>287.63</v>
      </c>
      <c r="K278" s="77">
        <v>67.849999999999994</v>
      </c>
      <c r="L278" s="77">
        <v>355.48</v>
      </c>
    </row>
    <row r="279" spans="1:12" ht="108" x14ac:dyDescent="0.3">
      <c r="B279" s="201">
        <v>44</v>
      </c>
      <c r="C279" s="141" t="s">
        <v>70</v>
      </c>
      <c r="D279" s="147" t="s">
        <v>41</v>
      </c>
      <c r="E279" s="67" t="s">
        <v>194</v>
      </c>
      <c r="F279" s="65">
        <v>1065</v>
      </c>
      <c r="G279" s="66">
        <v>6.3390000000000004</v>
      </c>
      <c r="H279" s="66">
        <v>4.7549999999999999</v>
      </c>
      <c r="I279" s="72">
        <v>26</v>
      </c>
      <c r="J279" s="77">
        <v>123.61</v>
      </c>
      <c r="K279" s="77">
        <v>29.16</v>
      </c>
      <c r="L279" s="77">
        <v>152.77000000000001</v>
      </c>
    </row>
    <row r="280" spans="1:12" ht="144" x14ac:dyDescent="0.3">
      <c r="B280" s="201">
        <v>45</v>
      </c>
      <c r="C280" s="141" t="s">
        <v>70</v>
      </c>
      <c r="D280" s="147" t="s">
        <v>41</v>
      </c>
      <c r="E280" s="67" t="s">
        <v>195</v>
      </c>
      <c r="F280" s="65">
        <v>1065</v>
      </c>
      <c r="G280" s="66">
        <v>6.3390000000000004</v>
      </c>
      <c r="H280" s="66">
        <v>4.7549999999999999</v>
      </c>
      <c r="I280" s="72">
        <v>60.5</v>
      </c>
      <c r="J280" s="77">
        <v>287.63</v>
      </c>
      <c r="K280" s="77">
        <v>67.849999999999994</v>
      </c>
      <c r="L280" s="77">
        <v>355.48</v>
      </c>
    </row>
    <row r="281" spans="1:12" ht="84" x14ac:dyDescent="0.3">
      <c r="B281" s="201">
        <v>46</v>
      </c>
      <c r="C281" s="141" t="s">
        <v>70</v>
      </c>
      <c r="D281" s="147" t="s">
        <v>41</v>
      </c>
      <c r="E281" s="67" t="s">
        <v>193</v>
      </c>
      <c r="F281" s="65">
        <v>1065</v>
      </c>
      <c r="G281" s="66">
        <v>6.3390000000000004</v>
      </c>
      <c r="H281" s="66">
        <v>4.7549999999999999</v>
      </c>
      <c r="I281" s="72">
        <v>7.5</v>
      </c>
      <c r="J281" s="77">
        <v>35.659999999999997</v>
      </c>
      <c r="K281" s="77">
        <v>8.41</v>
      </c>
      <c r="L281" s="77">
        <v>44.07</v>
      </c>
    </row>
    <row r="282" spans="1:12" ht="84" x14ac:dyDescent="0.3">
      <c r="B282" s="201">
        <v>47</v>
      </c>
      <c r="C282" s="141" t="s">
        <v>70</v>
      </c>
      <c r="D282" s="147" t="s">
        <v>41</v>
      </c>
      <c r="E282" s="67" t="s">
        <v>193</v>
      </c>
      <c r="F282" s="65">
        <v>1065</v>
      </c>
      <c r="G282" s="66">
        <v>6.3390000000000004</v>
      </c>
      <c r="H282" s="66">
        <v>4.7549999999999999</v>
      </c>
      <c r="I282" s="72">
        <v>20</v>
      </c>
      <c r="J282" s="77">
        <v>95.09</v>
      </c>
      <c r="K282" s="77">
        <v>22.43</v>
      </c>
      <c r="L282" s="77">
        <v>117.52</v>
      </c>
    </row>
    <row r="283" spans="1:12" x14ac:dyDescent="0.3">
      <c r="B283" s="205"/>
      <c r="C283" s="143" t="s">
        <v>10</v>
      </c>
      <c r="D283" s="146"/>
      <c r="E283" s="63"/>
      <c r="F283" s="17"/>
      <c r="G283" s="5"/>
      <c r="H283" s="5"/>
      <c r="I283" s="22">
        <f>SUM(I236:I282)</f>
        <v>1146</v>
      </c>
      <c r="J283" s="27">
        <f>SUM(J236:J282)</f>
        <v>5815.34</v>
      </c>
      <c r="K283" s="27">
        <f>SUM(K236:K282)</f>
        <v>1371.8600000000001</v>
      </c>
      <c r="L283" s="27">
        <f>ROUNDUP(SUM(L236:L282),2)</f>
        <v>7187.19</v>
      </c>
    </row>
    <row r="284" spans="1:12" x14ac:dyDescent="0.3">
      <c r="A284" s="32" t="s">
        <v>71</v>
      </c>
      <c r="B284" s="206" t="s">
        <v>76</v>
      </c>
      <c r="C284" s="139"/>
      <c r="D284" s="139"/>
      <c r="E284" s="71"/>
      <c r="F284" s="35"/>
      <c r="G284" s="34"/>
      <c r="H284" s="34"/>
      <c r="I284" s="33"/>
      <c r="J284" s="58"/>
      <c r="K284" s="58"/>
      <c r="L284" s="59"/>
    </row>
    <row r="285" spans="1:12" x14ac:dyDescent="0.3">
      <c r="A285" s="32" t="s">
        <v>196</v>
      </c>
      <c r="B285" s="70" t="s">
        <v>77</v>
      </c>
      <c r="C285" s="139"/>
      <c r="D285" s="144"/>
      <c r="E285" s="74"/>
      <c r="F285" s="20"/>
      <c r="G285" s="6"/>
      <c r="H285" s="6"/>
      <c r="I285" s="19"/>
      <c r="J285" s="46"/>
      <c r="K285" s="46"/>
      <c r="L285" s="47"/>
    </row>
    <row r="286" spans="1:12" ht="144" customHeight="1" x14ac:dyDescent="0.3">
      <c r="B286" s="201">
        <v>1</v>
      </c>
      <c r="C286" s="25" t="s">
        <v>77</v>
      </c>
      <c r="D286" s="147" t="s">
        <v>8</v>
      </c>
      <c r="E286" s="102" t="s">
        <v>197</v>
      </c>
      <c r="F286" s="66">
        <v>620</v>
      </c>
      <c r="G286" s="5">
        <f>SUM(F286/168)</f>
        <v>3.6904761904761907</v>
      </c>
      <c r="H286" s="5">
        <f>SUM(G286*0.75)</f>
        <v>2.7678571428571432</v>
      </c>
      <c r="I286" s="9">
        <v>128</v>
      </c>
      <c r="J286" s="151">
        <f>SUM(H286*I286)</f>
        <v>354.28571428571433</v>
      </c>
      <c r="K286" s="151">
        <f>SUM(0.2359*J286)</f>
        <v>83.576000000000008</v>
      </c>
      <c r="L286" s="151">
        <f>SUM(K286+J286)</f>
        <v>437.86171428571436</v>
      </c>
    </row>
    <row r="287" spans="1:12" ht="153.6" customHeight="1" x14ac:dyDescent="0.3">
      <c r="B287" s="201">
        <v>2</v>
      </c>
      <c r="C287" s="25" t="s">
        <v>77</v>
      </c>
      <c r="D287" s="147" t="s">
        <v>198</v>
      </c>
      <c r="E287" s="102" t="s">
        <v>199</v>
      </c>
      <c r="F287" s="66">
        <v>584</v>
      </c>
      <c r="G287" s="5">
        <f>SUM(F287/168)</f>
        <v>3.4761904761904763</v>
      </c>
      <c r="H287" s="5">
        <f t="shared" ref="H287:H309" si="60">SUM(G287*0.75)</f>
        <v>2.6071428571428572</v>
      </c>
      <c r="I287" s="72">
        <v>32</v>
      </c>
      <c r="J287" s="151">
        <f t="shared" ref="J287:J309" si="61">SUM(H287*I287)</f>
        <v>83.428571428571431</v>
      </c>
      <c r="K287" s="151">
        <f t="shared" ref="K287:K309" si="62">SUM(0.2359*J287)</f>
        <v>19.680800000000001</v>
      </c>
      <c r="L287" s="151">
        <f t="shared" ref="L287:L309" si="63">SUM(K287+J287)</f>
        <v>103.10937142857144</v>
      </c>
    </row>
    <row r="288" spans="1:12" ht="144" customHeight="1" x14ac:dyDescent="0.3">
      <c r="B288" s="201">
        <v>3</v>
      </c>
      <c r="C288" s="25" t="s">
        <v>77</v>
      </c>
      <c r="D288" s="147" t="s">
        <v>8</v>
      </c>
      <c r="E288" s="102" t="s">
        <v>200</v>
      </c>
      <c r="F288" s="66">
        <v>620</v>
      </c>
      <c r="G288" s="5">
        <f t="shared" ref="G288:G309" si="64">SUM(F288/168)</f>
        <v>3.6904761904761907</v>
      </c>
      <c r="H288" s="5">
        <f t="shared" si="60"/>
        <v>2.7678571428571432</v>
      </c>
      <c r="I288" s="72">
        <v>139</v>
      </c>
      <c r="J288" s="151">
        <f t="shared" si="61"/>
        <v>384.73214285714289</v>
      </c>
      <c r="K288" s="151">
        <f t="shared" si="62"/>
        <v>90.758312500000002</v>
      </c>
      <c r="L288" s="151">
        <f t="shared" si="63"/>
        <v>475.49045535714288</v>
      </c>
    </row>
    <row r="289" spans="2:12" ht="132.6" x14ac:dyDescent="0.3">
      <c r="B289" s="201">
        <v>4</v>
      </c>
      <c r="C289" s="25" t="s">
        <v>77</v>
      </c>
      <c r="D289" s="147" t="s">
        <v>9</v>
      </c>
      <c r="E289" s="102" t="s">
        <v>150</v>
      </c>
      <c r="F289" s="66">
        <v>534</v>
      </c>
      <c r="G289" s="5">
        <f t="shared" si="64"/>
        <v>3.1785714285714284</v>
      </c>
      <c r="H289" s="5">
        <f t="shared" si="60"/>
        <v>2.3839285714285712</v>
      </c>
      <c r="I289" s="72">
        <v>55</v>
      </c>
      <c r="J289" s="151">
        <f t="shared" si="61"/>
        <v>131.11607142857142</v>
      </c>
      <c r="K289" s="151">
        <f t="shared" si="62"/>
        <v>30.930281249999997</v>
      </c>
      <c r="L289" s="151">
        <f t="shared" si="63"/>
        <v>162.04635267857142</v>
      </c>
    </row>
    <row r="290" spans="2:12" ht="152.4" customHeight="1" x14ac:dyDescent="0.3">
      <c r="B290" s="201">
        <v>5</v>
      </c>
      <c r="C290" s="25" t="s">
        <v>77</v>
      </c>
      <c r="D290" s="147" t="s">
        <v>8</v>
      </c>
      <c r="E290" s="102" t="s">
        <v>201</v>
      </c>
      <c r="F290" s="66">
        <v>620</v>
      </c>
      <c r="G290" s="5">
        <f t="shared" si="64"/>
        <v>3.6904761904761907</v>
      </c>
      <c r="H290" s="5">
        <f t="shared" si="60"/>
        <v>2.7678571428571432</v>
      </c>
      <c r="I290" s="72">
        <v>140</v>
      </c>
      <c r="J290" s="151">
        <f t="shared" si="61"/>
        <v>387.50000000000006</v>
      </c>
      <c r="K290" s="151">
        <f t="shared" si="62"/>
        <v>91.41125000000001</v>
      </c>
      <c r="L290" s="151">
        <f t="shared" si="63"/>
        <v>478.91125000000005</v>
      </c>
    </row>
    <row r="291" spans="2:12" ht="130.80000000000001" customHeight="1" x14ac:dyDescent="0.3">
      <c r="B291" s="201">
        <v>6</v>
      </c>
      <c r="C291" s="25" t="s">
        <v>77</v>
      </c>
      <c r="D291" s="147" t="s">
        <v>8</v>
      </c>
      <c r="E291" s="102" t="s">
        <v>202</v>
      </c>
      <c r="F291" s="66">
        <v>620</v>
      </c>
      <c r="G291" s="5">
        <f t="shared" si="64"/>
        <v>3.6904761904761907</v>
      </c>
      <c r="H291" s="5">
        <f t="shared" si="60"/>
        <v>2.7678571428571432</v>
      </c>
      <c r="I291" s="72">
        <v>57</v>
      </c>
      <c r="J291" s="151">
        <f t="shared" si="61"/>
        <v>157.76785714285717</v>
      </c>
      <c r="K291" s="151">
        <f t="shared" si="62"/>
        <v>37.217437500000003</v>
      </c>
      <c r="L291" s="151">
        <f t="shared" si="63"/>
        <v>194.98529464285718</v>
      </c>
    </row>
    <row r="292" spans="2:12" ht="143.4" customHeight="1" x14ac:dyDescent="0.3">
      <c r="B292" s="201">
        <v>7</v>
      </c>
      <c r="C292" s="25" t="s">
        <v>77</v>
      </c>
      <c r="D292" s="147" t="s">
        <v>203</v>
      </c>
      <c r="E292" s="102" t="s">
        <v>204</v>
      </c>
      <c r="F292" s="66">
        <v>584</v>
      </c>
      <c r="G292" s="5">
        <f t="shared" si="64"/>
        <v>3.4761904761904763</v>
      </c>
      <c r="H292" s="5">
        <f t="shared" si="60"/>
        <v>2.6071428571428572</v>
      </c>
      <c r="I292" s="72">
        <v>133</v>
      </c>
      <c r="J292" s="151">
        <f t="shared" si="61"/>
        <v>346.75</v>
      </c>
      <c r="K292" s="151">
        <f t="shared" si="62"/>
        <v>81.798325000000006</v>
      </c>
      <c r="L292" s="151">
        <f t="shared" si="63"/>
        <v>428.54832499999998</v>
      </c>
    </row>
    <row r="293" spans="2:12" ht="131.4" customHeight="1" x14ac:dyDescent="0.3">
      <c r="B293" s="201">
        <v>8</v>
      </c>
      <c r="C293" s="25" t="s">
        <v>77</v>
      </c>
      <c r="D293" s="147" t="s">
        <v>9</v>
      </c>
      <c r="E293" s="102" t="s">
        <v>205</v>
      </c>
      <c r="F293" s="66">
        <v>534</v>
      </c>
      <c r="G293" s="5">
        <f t="shared" si="64"/>
        <v>3.1785714285714284</v>
      </c>
      <c r="H293" s="5">
        <f t="shared" si="60"/>
        <v>2.3839285714285712</v>
      </c>
      <c r="I293" s="72">
        <v>130</v>
      </c>
      <c r="J293" s="151">
        <f t="shared" si="61"/>
        <v>309.91071428571428</v>
      </c>
      <c r="K293" s="151">
        <f t="shared" si="62"/>
        <v>73.107937499999991</v>
      </c>
      <c r="L293" s="151">
        <f t="shared" si="63"/>
        <v>383.01865178571427</v>
      </c>
    </row>
    <row r="294" spans="2:12" ht="152.4" customHeight="1" x14ac:dyDescent="0.3">
      <c r="B294" s="201">
        <v>9</v>
      </c>
      <c r="C294" s="25" t="s">
        <v>77</v>
      </c>
      <c r="D294" s="147" t="s">
        <v>9</v>
      </c>
      <c r="E294" s="102" t="s">
        <v>206</v>
      </c>
      <c r="F294" s="66">
        <v>534</v>
      </c>
      <c r="G294" s="5">
        <f t="shared" si="64"/>
        <v>3.1785714285714284</v>
      </c>
      <c r="H294" s="5">
        <f t="shared" si="60"/>
        <v>2.3839285714285712</v>
      </c>
      <c r="I294" s="72">
        <v>94</v>
      </c>
      <c r="J294" s="151">
        <f t="shared" si="61"/>
        <v>224.08928571428569</v>
      </c>
      <c r="K294" s="151">
        <f t="shared" si="62"/>
        <v>52.862662499999992</v>
      </c>
      <c r="L294" s="151">
        <f t="shared" si="63"/>
        <v>276.95194821428566</v>
      </c>
    </row>
    <row r="295" spans="2:12" ht="130.80000000000001" customHeight="1" x14ac:dyDescent="0.3">
      <c r="B295" s="201">
        <v>10</v>
      </c>
      <c r="C295" s="25" t="s">
        <v>77</v>
      </c>
      <c r="D295" s="147" t="s">
        <v>8</v>
      </c>
      <c r="E295" s="102" t="s">
        <v>205</v>
      </c>
      <c r="F295" s="66">
        <v>620</v>
      </c>
      <c r="G295" s="5">
        <f t="shared" si="64"/>
        <v>3.6904761904761907</v>
      </c>
      <c r="H295" s="5">
        <f t="shared" si="60"/>
        <v>2.7678571428571432</v>
      </c>
      <c r="I295" s="72">
        <v>130</v>
      </c>
      <c r="J295" s="151">
        <f t="shared" si="61"/>
        <v>359.82142857142861</v>
      </c>
      <c r="K295" s="151">
        <f t="shared" si="62"/>
        <v>84.881875000000008</v>
      </c>
      <c r="L295" s="151">
        <f t="shared" si="63"/>
        <v>444.70330357142859</v>
      </c>
    </row>
    <row r="296" spans="2:12" ht="122.4" x14ac:dyDescent="0.3">
      <c r="B296" s="201">
        <v>11</v>
      </c>
      <c r="C296" s="25" t="s">
        <v>77</v>
      </c>
      <c r="D296" s="147" t="s">
        <v>151</v>
      </c>
      <c r="E296" s="102" t="s">
        <v>207</v>
      </c>
      <c r="F296" s="66">
        <v>548</v>
      </c>
      <c r="G296" s="5">
        <f t="shared" si="64"/>
        <v>3.2619047619047619</v>
      </c>
      <c r="H296" s="5">
        <f t="shared" si="60"/>
        <v>2.4464285714285712</v>
      </c>
      <c r="I296" s="72">
        <v>95</v>
      </c>
      <c r="J296" s="151">
        <f t="shared" si="61"/>
        <v>232.41071428571425</v>
      </c>
      <c r="K296" s="151">
        <f t="shared" si="62"/>
        <v>54.825687499999994</v>
      </c>
      <c r="L296" s="151">
        <f t="shared" si="63"/>
        <v>287.23640178571424</v>
      </c>
    </row>
    <row r="297" spans="2:12" ht="122.4" x14ac:dyDescent="0.3">
      <c r="B297" s="201">
        <v>12</v>
      </c>
      <c r="C297" s="25" t="s">
        <v>77</v>
      </c>
      <c r="D297" s="147" t="s">
        <v>41</v>
      </c>
      <c r="E297" s="102" t="s">
        <v>204</v>
      </c>
      <c r="F297" s="66">
        <v>534</v>
      </c>
      <c r="G297" s="5">
        <f t="shared" si="64"/>
        <v>3.1785714285714284</v>
      </c>
      <c r="H297" s="5">
        <f t="shared" si="60"/>
        <v>2.3839285714285712</v>
      </c>
      <c r="I297" s="72">
        <v>133</v>
      </c>
      <c r="J297" s="151">
        <f t="shared" si="61"/>
        <v>317.06249999999994</v>
      </c>
      <c r="K297" s="151">
        <f t="shared" si="62"/>
        <v>74.795043749999991</v>
      </c>
      <c r="L297" s="151">
        <f t="shared" si="63"/>
        <v>391.85754374999993</v>
      </c>
    </row>
    <row r="298" spans="2:12" ht="142.80000000000001" x14ac:dyDescent="0.3">
      <c r="B298" s="201">
        <v>13</v>
      </c>
      <c r="C298" s="25" t="s">
        <v>77</v>
      </c>
      <c r="D298" s="147" t="s">
        <v>203</v>
      </c>
      <c r="E298" s="102" t="s">
        <v>208</v>
      </c>
      <c r="F298" s="66">
        <v>584</v>
      </c>
      <c r="G298" s="5">
        <f t="shared" si="64"/>
        <v>3.4761904761904763</v>
      </c>
      <c r="H298" s="5">
        <f t="shared" si="60"/>
        <v>2.6071428571428572</v>
      </c>
      <c r="I298" s="72">
        <v>125</v>
      </c>
      <c r="J298" s="151">
        <f t="shared" si="61"/>
        <v>325.89285714285717</v>
      </c>
      <c r="K298" s="151">
        <f t="shared" si="62"/>
        <v>76.878125000000011</v>
      </c>
      <c r="L298" s="151">
        <f t="shared" si="63"/>
        <v>402.77098214285718</v>
      </c>
    </row>
    <row r="299" spans="2:12" ht="152.4" customHeight="1" x14ac:dyDescent="0.3">
      <c r="B299" s="201">
        <v>14</v>
      </c>
      <c r="C299" s="25" t="s">
        <v>77</v>
      </c>
      <c r="D299" s="147" t="s">
        <v>203</v>
      </c>
      <c r="E299" s="102" t="s">
        <v>209</v>
      </c>
      <c r="F299" s="66">
        <v>584</v>
      </c>
      <c r="G299" s="5">
        <f t="shared" si="64"/>
        <v>3.4761904761904763</v>
      </c>
      <c r="H299" s="5">
        <f t="shared" si="60"/>
        <v>2.6071428571428572</v>
      </c>
      <c r="I299" s="72">
        <v>63</v>
      </c>
      <c r="J299" s="151">
        <f t="shared" si="61"/>
        <v>164.25</v>
      </c>
      <c r="K299" s="151">
        <f t="shared" si="62"/>
        <v>38.746575</v>
      </c>
      <c r="L299" s="151">
        <f t="shared" si="63"/>
        <v>202.99657500000001</v>
      </c>
    </row>
    <row r="300" spans="2:12" ht="159" customHeight="1" x14ac:dyDescent="0.3">
      <c r="B300" s="201">
        <v>15</v>
      </c>
      <c r="C300" s="25" t="s">
        <v>77</v>
      </c>
      <c r="D300" s="147" t="s">
        <v>210</v>
      </c>
      <c r="E300" s="102" t="s">
        <v>211</v>
      </c>
      <c r="F300" s="66">
        <v>717</v>
      </c>
      <c r="G300" s="5">
        <f t="shared" si="64"/>
        <v>4.2678571428571432</v>
      </c>
      <c r="H300" s="5">
        <f t="shared" si="60"/>
        <v>3.2008928571428577</v>
      </c>
      <c r="I300" s="72">
        <v>67</v>
      </c>
      <c r="J300" s="151">
        <f t="shared" si="61"/>
        <v>214.45982142857147</v>
      </c>
      <c r="K300" s="151">
        <f t="shared" si="62"/>
        <v>50.591071875000011</v>
      </c>
      <c r="L300" s="151">
        <f t="shared" si="63"/>
        <v>265.05089330357146</v>
      </c>
    </row>
    <row r="301" spans="2:12" ht="152.4" customHeight="1" x14ac:dyDescent="0.3">
      <c r="B301" s="201">
        <v>16</v>
      </c>
      <c r="C301" s="25" t="s">
        <v>77</v>
      </c>
      <c r="D301" s="147" t="s">
        <v>203</v>
      </c>
      <c r="E301" s="102" t="s">
        <v>212</v>
      </c>
      <c r="F301" s="66">
        <v>584</v>
      </c>
      <c r="G301" s="5">
        <f t="shared" si="64"/>
        <v>3.4761904761904763</v>
      </c>
      <c r="H301" s="5">
        <f t="shared" si="60"/>
        <v>2.6071428571428572</v>
      </c>
      <c r="I301" s="72">
        <v>49</v>
      </c>
      <c r="J301" s="151">
        <f t="shared" si="61"/>
        <v>127.75</v>
      </c>
      <c r="K301" s="151">
        <f t="shared" si="62"/>
        <v>30.136225</v>
      </c>
      <c r="L301" s="151">
        <f t="shared" si="63"/>
        <v>157.886225</v>
      </c>
    </row>
    <row r="302" spans="2:12" ht="154.80000000000001" customHeight="1" x14ac:dyDescent="0.3">
      <c r="B302" s="201">
        <v>17</v>
      </c>
      <c r="C302" s="25" t="s">
        <v>77</v>
      </c>
      <c r="D302" s="147" t="s">
        <v>151</v>
      </c>
      <c r="E302" s="102" t="s">
        <v>213</v>
      </c>
      <c r="F302" s="66">
        <v>548</v>
      </c>
      <c r="G302" s="5">
        <f t="shared" si="64"/>
        <v>3.2619047619047619</v>
      </c>
      <c r="H302" s="5">
        <f t="shared" si="60"/>
        <v>2.4464285714285712</v>
      </c>
      <c r="I302" s="72">
        <v>63</v>
      </c>
      <c r="J302" s="151">
        <f t="shared" si="61"/>
        <v>154.12499999999997</v>
      </c>
      <c r="K302" s="151">
        <f t="shared" si="62"/>
        <v>36.358087499999996</v>
      </c>
      <c r="L302" s="151">
        <f t="shared" si="63"/>
        <v>190.48308749999995</v>
      </c>
    </row>
    <row r="303" spans="2:12" ht="140.4" customHeight="1" x14ac:dyDescent="0.3">
      <c r="B303" s="201">
        <v>18</v>
      </c>
      <c r="C303" s="25" t="s">
        <v>77</v>
      </c>
      <c r="D303" s="147" t="s">
        <v>9</v>
      </c>
      <c r="E303" s="102" t="s">
        <v>197</v>
      </c>
      <c r="F303" s="66">
        <v>534</v>
      </c>
      <c r="G303" s="5">
        <f t="shared" si="64"/>
        <v>3.1785714285714284</v>
      </c>
      <c r="H303" s="5">
        <f t="shared" si="60"/>
        <v>2.3839285714285712</v>
      </c>
      <c r="I303" s="72">
        <v>128</v>
      </c>
      <c r="J303" s="151">
        <f t="shared" si="61"/>
        <v>305.14285714285711</v>
      </c>
      <c r="K303" s="151">
        <f t="shared" si="62"/>
        <v>71.983199999999997</v>
      </c>
      <c r="L303" s="151">
        <f t="shared" si="63"/>
        <v>377.12605714285712</v>
      </c>
    </row>
    <row r="304" spans="2:12" ht="142.80000000000001" x14ac:dyDescent="0.3">
      <c r="B304" s="201">
        <v>19</v>
      </c>
      <c r="C304" s="25" t="s">
        <v>77</v>
      </c>
      <c r="D304" s="147" t="s">
        <v>79</v>
      </c>
      <c r="E304" s="102" t="s">
        <v>214</v>
      </c>
      <c r="F304" s="66">
        <v>1002</v>
      </c>
      <c r="G304" s="5">
        <f>SUM(F304/168)</f>
        <v>5.9642857142857144</v>
      </c>
      <c r="H304" s="5">
        <f t="shared" si="60"/>
        <v>4.4732142857142856</v>
      </c>
      <c r="I304" s="72">
        <v>41</v>
      </c>
      <c r="J304" s="151">
        <f>SUM(H304*I304)-55.86</f>
        <v>127.54178571428572</v>
      </c>
      <c r="K304" s="151">
        <f>SUM(0.2359*J304)</f>
        <v>30.087107250000003</v>
      </c>
      <c r="L304" s="151">
        <f t="shared" si="63"/>
        <v>157.62889296428574</v>
      </c>
    </row>
    <row r="305" spans="1:12" ht="165" customHeight="1" x14ac:dyDescent="0.3">
      <c r="B305" s="201">
        <v>20</v>
      </c>
      <c r="C305" s="25" t="s">
        <v>77</v>
      </c>
      <c r="D305" s="141" t="s">
        <v>210</v>
      </c>
      <c r="E305" s="102" t="s">
        <v>215</v>
      </c>
      <c r="F305" s="66">
        <v>717</v>
      </c>
      <c r="G305" s="5">
        <f t="shared" si="64"/>
        <v>4.2678571428571432</v>
      </c>
      <c r="H305" s="5">
        <f t="shared" si="60"/>
        <v>3.2008928571428577</v>
      </c>
      <c r="I305" s="65">
        <v>65</v>
      </c>
      <c r="J305" s="151">
        <f t="shared" si="61"/>
        <v>208.05803571428575</v>
      </c>
      <c r="K305" s="151">
        <f t="shared" si="62"/>
        <v>49.080890625000009</v>
      </c>
      <c r="L305" s="151">
        <f t="shared" si="63"/>
        <v>257.13892633928577</v>
      </c>
    </row>
    <row r="306" spans="1:12" ht="145.80000000000001" customHeight="1" x14ac:dyDescent="0.3">
      <c r="B306" s="201">
        <v>21</v>
      </c>
      <c r="C306" s="25" t="s">
        <v>77</v>
      </c>
      <c r="D306" s="147" t="s">
        <v>203</v>
      </c>
      <c r="E306" s="102" t="s">
        <v>216</v>
      </c>
      <c r="F306" s="66">
        <v>584</v>
      </c>
      <c r="G306" s="5">
        <f t="shared" si="64"/>
        <v>3.4761904761904763</v>
      </c>
      <c r="H306" s="5">
        <f t="shared" si="60"/>
        <v>2.6071428571428572</v>
      </c>
      <c r="I306" s="72">
        <v>139</v>
      </c>
      <c r="J306" s="151">
        <f t="shared" si="61"/>
        <v>362.39285714285717</v>
      </c>
      <c r="K306" s="151">
        <f t="shared" si="62"/>
        <v>85.488475000000008</v>
      </c>
      <c r="L306" s="151">
        <f t="shared" si="63"/>
        <v>447.88133214285716</v>
      </c>
    </row>
    <row r="307" spans="1:12" ht="142.80000000000001" x14ac:dyDescent="0.3">
      <c r="B307" s="201">
        <v>22</v>
      </c>
      <c r="C307" s="25" t="s">
        <v>77</v>
      </c>
      <c r="D307" s="152" t="s">
        <v>217</v>
      </c>
      <c r="E307" s="170" t="s">
        <v>218</v>
      </c>
      <c r="F307" s="66">
        <v>1002</v>
      </c>
      <c r="G307" s="5">
        <f t="shared" si="64"/>
        <v>5.9642857142857144</v>
      </c>
      <c r="H307" s="5">
        <f t="shared" si="60"/>
        <v>4.4732142857142856</v>
      </c>
      <c r="I307" s="65">
        <v>65</v>
      </c>
      <c r="J307" s="151">
        <f t="shared" si="61"/>
        <v>290.75892857142856</v>
      </c>
      <c r="K307" s="151">
        <f t="shared" si="62"/>
        <v>68.590031249999996</v>
      </c>
      <c r="L307" s="151">
        <f t="shared" si="63"/>
        <v>359.34895982142854</v>
      </c>
    </row>
    <row r="308" spans="1:12" ht="122.4" x14ac:dyDescent="0.3">
      <c r="B308" s="201">
        <v>23</v>
      </c>
      <c r="C308" s="25" t="s">
        <v>77</v>
      </c>
      <c r="D308" s="147" t="s">
        <v>8</v>
      </c>
      <c r="E308" s="102" t="s">
        <v>219</v>
      </c>
      <c r="F308" s="66">
        <v>620</v>
      </c>
      <c r="G308" s="5">
        <f t="shared" si="64"/>
        <v>3.6904761904761907</v>
      </c>
      <c r="H308" s="5">
        <f>SUM(G308*0.75)</f>
        <v>2.7678571428571432</v>
      </c>
      <c r="I308" s="72">
        <v>136</v>
      </c>
      <c r="J308" s="151">
        <f t="shared" si="61"/>
        <v>376.4285714285715</v>
      </c>
      <c r="K308" s="151">
        <f t="shared" si="62"/>
        <v>88.799500000000023</v>
      </c>
      <c r="L308" s="151">
        <f t="shared" si="63"/>
        <v>465.22807142857152</v>
      </c>
    </row>
    <row r="309" spans="1:12" ht="160.80000000000001" customHeight="1" x14ac:dyDescent="0.3">
      <c r="B309" s="201">
        <v>24</v>
      </c>
      <c r="C309" s="25" t="s">
        <v>77</v>
      </c>
      <c r="D309" s="147" t="s">
        <v>9</v>
      </c>
      <c r="E309" s="102" t="s">
        <v>220</v>
      </c>
      <c r="F309" s="66">
        <v>534</v>
      </c>
      <c r="G309" s="5">
        <f t="shared" si="64"/>
        <v>3.1785714285714284</v>
      </c>
      <c r="H309" s="5">
        <f t="shared" si="60"/>
        <v>2.3839285714285712</v>
      </c>
      <c r="I309" s="72">
        <v>125</v>
      </c>
      <c r="J309" s="151">
        <f t="shared" si="61"/>
        <v>297.99107142857139</v>
      </c>
      <c r="K309" s="151">
        <f t="shared" si="62"/>
        <v>70.296093749999983</v>
      </c>
      <c r="L309" s="151">
        <f t="shared" si="63"/>
        <v>368.2871651785714</v>
      </c>
    </row>
    <row r="310" spans="1:12" x14ac:dyDescent="0.3">
      <c r="B310" s="205"/>
      <c r="C310" s="143" t="s">
        <v>80</v>
      </c>
      <c r="D310" s="146"/>
      <c r="E310" s="63"/>
      <c r="F310" s="17"/>
      <c r="G310" s="5"/>
      <c r="H310" s="5"/>
      <c r="I310" s="97">
        <f>SUM(I286:I309)</f>
        <v>2332</v>
      </c>
      <c r="J310" s="29">
        <f>SUM(J286:J309)</f>
        <v>6243.6667857142857</v>
      </c>
      <c r="K310" s="29">
        <f>SUM(K286:K309)</f>
        <v>1472.8809947499999</v>
      </c>
      <c r="L310" s="29">
        <f>ROUND(SUM(L286:L309),2)</f>
        <v>7716.55</v>
      </c>
    </row>
    <row r="311" spans="1:12" x14ac:dyDescent="0.3">
      <c r="A311" s="8" t="s">
        <v>221</v>
      </c>
      <c r="B311" s="70" t="s">
        <v>81</v>
      </c>
      <c r="C311" s="139"/>
      <c r="D311" s="144"/>
      <c r="E311" s="74"/>
      <c r="F311" s="20"/>
      <c r="G311" s="6"/>
      <c r="H311" s="6"/>
      <c r="I311" s="6"/>
      <c r="J311" s="46"/>
      <c r="K311" s="46"/>
      <c r="L311" s="47"/>
    </row>
    <row r="312" spans="1:12" ht="213" customHeight="1" x14ac:dyDescent="0.3">
      <c r="B312" s="201">
        <v>25</v>
      </c>
      <c r="C312" s="25" t="s">
        <v>81</v>
      </c>
      <c r="D312" s="147" t="s">
        <v>58</v>
      </c>
      <c r="E312" s="102" t="s">
        <v>222</v>
      </c>
      <c r="F312" s="65">
        <v>1473</v>
      </c>
      <c r="G312" s="65">
        <v>8.7678999999999991</v>
      </c>
      <c r="H312" s="65">
        <f>G312*0.75</f>
        <v>6.5759249999999998</v>
      </c>
      <c r="I312" s="72">
        <v>65</v>
      </c>
      <c r="J312" s="80">
        <f>H312*I312</f>
        <v>427.43512499999997</v>
      </c>
      <c r="K312" s="80">
        <v>93.78</v>
      </c>
      <c r="L312" s="80">
        <f>J312+K312</f>
        <v>521.21512499999994</v>
      </c>
    </row>
    <row r="313" spans="1:12" ht="193.8" x14ac:dyDescent="0.3">
      <c r="B313" s="201">
        <v>26</v>
      </c>
      <c r="C313" s="25" t="s">
        <v>81</v>
      </c>
      <c r="D313" s="147" t="s">
        <v>25</v>
      </c>
      <c r="E313" s="102" t="s">
        <v>222</v>
      </c>
      <c r="F313" s="65">
        <v>936</v>
      </c>
      <c r="G313" s="65">
        <v>5.5713999999999997</v>
      </c>
      <c r="H313" s="65">
        <f t="shared" ref="H313:H318" si="65">G313*0.75</f>
        <v>4.1785499999999995</v>
      </c>
      <c r="I313" s="95">
        <v>50</v>
      </c>
      <c r="J313" s="80">
        <f t="shared" ref="J313:J318" si="66">H313*I313</f>
        <v>208.92749999999998</v>
      </c>
      <c r="K313" s="77">
        <v>49.29</v>
      </c>
      <c r="L313" s="80">
        <f t="shared" ref="L313:L318" si="67">J313+K313</f>
        <v>258.21749999999997</v>
      </c>
    </row>
    <row r="314" spans="1:12" ht="178.8" customHeight="1" x14ac:dyDescent="0.3">
      <c r="B314" s="201">
        <v>27</v>
      </c>
      <c r="C314" s="25" t="s">
        <v>81</v>
      </c>
      <c r="D314" s="147" t="s">
        <v>25</v>
      </c>
      <c r="E314" s="102" t="s">
        <v>82</v>
      </c>
      <c r="F314" s="65">
        <v>936</v>
      </c>
      <c r="G314" s="65">
        <v>5.5658000000000003</v>
      </c>
      <c r="H314" s="65">
        <f t="shared" si="65"/>
        <v>4.1743500000000004</v>
      </c>
      <c r="I314" s="95">
        <v>48</v>
      </c>
      <c r="J314" s="80">
        <f t="shared" si="66"/>
        <v>200.36880000000002</v>
      </c>
      <c r="K314" s="77">
        <v>47.27</v>
      </c>
      <c r="L314" s="80">
        <f t="shared" si="67"/>
        <v>247.63880000000003</v>
      </c>
    </row>
    <row r="315" spans="1:12" ht="178.8" customHeight="1" x14ac:dyDescent="0.3">
      <c r="B315" s="201">
        <v>28</v>
      </c>
      <c r="C315" s="25" t="s">
        <v>81</v>
      </c>
      <c r="D315" s="147" t="s">
        <v>27</v>
      </c>
      <c r="E315" s="102" t="s">
        <v>82</v>
      </c>
      <c r="F315" s="65">
        <v>832</v>
      </c>
      <c r="G315" s="65">
        <v>4.9474</v>
      </c>
      <c r="H315" s="65">
        <f t="shared" si="65"/>
        <v>3.71055</v>
      </c>
      <c r="I315" s="95">
        <v>27</v>
      </c>
      <c r="J315" s="80">
        <f t="shared" si="66"/>
        <v>100.18485</v>
      </c>
      <c r="K315" s="77">
        <v>23.63</v>
      </c>
      <c r="L315" s="80">
        <f t="shared" si="67"/>
        <v>123.81484999999999</v>
      </c>
    </row>
    <row r="316" spans="1:12" ht="163.19999999999999" x14ac:dyDescent="0.3">
      <c r="B316" s="201">
        <v>29</v>
      </c>
      <c r="C316" s="25" t="s">
        <v>81</v>
      </c>
      <c r="D316" s="147" t="s">
        <v>27</v>
      </c>
      <c r="E316" s="102" t="s">
        <v>82</v>
      </c>
      <c r="F316" s="65">
        <v>832</v>
      </c>
      <c r="G316" s="65">
        <v>4.9474</v>
      </c>
      <c r="H316" s="65">
        <f t="shared" si="65"/>
        <v>3.71055</v>
      </c>
      <c r="I316" s="95">
        <v>48</v>
      </c>
      <c r="J316" s="80">
        <f t="shared" si="66"/>
        <v>178.10640000000001</v>
      </c>
      <c r="K316" s="77">
        <v>42.02</v>
      </c>
      <c r="L316" s="80">
        <f t="shared" si="67"/>
        <v>220.12640000000002</v>
      </c>
    </row>
    <row r="317" spans="1:12" ht="180" customHeight="1" x14ac:dyDescent="0.3">
      <c r="B317" s="201">
        <v>30</v>
      </c>
      <c r="C317" s="25" t="s">
        <v>81</v>
      </c>
      <c r="D317" s="147" t="s">
        <v>27</v>
      </c>
      <c r="E317" s="102" t="s">
        <v>82</v>
      </c>
      <c r="F317" s="65">
        <v>832</v>
      </c>
      <c r="G317" s="65">
        <v>4.9474</v>
      </c>
      <c r="H317" s="65">
        <f t="shared" si="65"/>
        <v>3.71055</v>
      </c>
      <c r="I317" s="95">
        <v>40</v>
      </c>
      <c r="J317" s="80">
        <f t="shared" si="66"/>
        <v>148.422</v>
      </c>
      <c r="K317" s="77">
        <v>32.56</v>
      </c>
      <c r="L317" s="80">
        <f t="shared" si="67"/>
        <v>180.982</v>
      </c>
    </row>
    <row r="318" spans="1:12" ht="182.4" customHeight="1" x14ac:dyDescent="0.3">
      <c r="B318" s="201">
        <v>31</v>
      </c>
      <c r="C318" s="25" t="s">
        <v>81</v>
      </c>
      <c r="D318" s="147" t="s">
        <v>27</v>
      </c>
      <c r="E318" s="102" t="s">
        <v>82</v>
      </c>
      <c r="F318" s="65">
        <v>832</v>
      </c>
      <c r="G318" s="65">
        <v>4.9474</v>
      </c>
      <c r="H318" s="65">
        <f t="shared" si="65"/>
        <v>3.71055</v>
      </c>
      <c r="I318" s="72">
        <v>29</v>
      </c>
      <c r="J318" s="80">
        <f t="shared" si="66"/>
        <v>107.60595000000001</v>
      </c>
      <c r="K318" s="77">
        <v>25.39</v>
      </c>
      <c r="L318" s="80">
        <f t="shared" si="67"/>
        <v>132.99594999999999</v>
      </c>
    </row>
    <row r="319" spans="1:12" x14ac:dyDescent="0.3">
      <c r="C319" s="143" t="s">
        <v>83</v>
      </c>
      <c r="D319" s="146"/>
      <c r="E319" s="63"/>
      <c r="F319" s="17"/>
      <c r="G319" s="5"/>
      <c r="H319" s="5"/>
      <c r="I319" s="30">
        <f>SUM(I312:I318)</f>
        <v>307</v>
      </c>
      <c r="J319" s="29">
        <f>SUM(J312:J318)</f>
        <v>1371.0506249999999</v>
      </c>
      <c r="K319" s="29">
        <f>SUM(K312:K318)</f>
        <v>313.94</v>
      </c>
      <c r="L319" s="29">
        <f>ROUND(SUM(L312:L318),2)</f>
        <v>1684.99</v>
      </c>
    </row>
    <row r="320" spans="1:12" x14ac:dyDescent="0.3">
      <c r="C320" s="143" t="s">
        <v>84</v>
      </c>
      <c r="D320" s="25"/>
      <c r="E320" s="23"/>
      <c r="F320" s="26"/>
      <c r="G320" s="9"/>
      <c r="H320" s="9"/>
      <c r="I320" s="16">
        <f>I310+I319</f>
        <v>2639</v>
      </c>
      <c r="J320" s="27">
        <f>J310+J319</f>
        <v>7614.7174107142855</v>
      </c>
      <c r="K320" s="27">
        <f>K310+K319</f>
        <v>1786.82099475</v>
      </c>
      <c r="L320" s="27">
        <f>ROUND(L310+L319,2)</f>
        <v>9401.5400000000009</v>
      </c>
    </row>
    <row r="321" spans="1:12" x14ac:dyDescent="0.3">
      <c r="A321" s="8" t="s">
        <v>75</v>
      </c>
      <c r="B321" s="70" t="s">
        <v>72</v>
      </c>
      <c r="C321" s="139"/>
      <c r="D321" s="144"/>
      <c r="E321" s="74"/>
      <c r="F321" s="20"/>
      <c r="G321" s="6"/>
      <c r="H321" s="6"/>
      <c r="I321" s="19"/>
      <c r="J321" s="46"/>
      <c r="K321" s="46"/>
      <c r="L321" s="47"/>
    </row>
    <row r="322" spans="1:12" ht="72" x14ac:dyDescent="0.3">
      <c r="B322" s="201">
        <v>1</v>
      </c>
      <c r="C322" s="25" t="s">
        <v>72</v>
      </c>
      <c r="D322" s="172" t="s">
        <v>73</v>
      </c>
      <c r="E322" s="63" t="s">
        <v>223</v>
      </c>
      <c r="F322" s="66">
        <v>620</v>
      </c>
      <c r="G322" s="66">
        <v>3.7032612591088285</v>
      </c>
      <c r="H322" s="66">
        <f>G322*0.75</f>
        <v>2.7774459443316215</v>
      </c>
      <c r="I322" s="76">
        <v>6.4</v>
      </c>
      <c r="J322" s="80">
        <v>17.78</v>
      </c>
      <c r="K322" s="80">
        <v>3.9</v>
      </c>
      <c r="L322" s="80">
        <f>J322+K322</f>
        <v>21.68</v>
      </c>
    </row>
    <row r="323" spans="1:12" ht="72" x14ac:dyDescent="0.3">
      <c r="B323" s="201">
        <v>2</v>
      </c>
      <c r="C323" s="25" t="s">
        <v>72</v>
      </c>
      <c r="D323" s="172" t="s">
        <v>73</v>
      </c>
      <c r="E323" s="63" t="s">
        <v>223</v>
      </c>
      <c r="F323" s="66">
        <v>620</v>
      </c>
      <c r="G323" s="66">
        <v>3.7032612591088285</v>
      </c>
      <c r="H323" s="66">
        <v>2.7774459443316215</v>
      </c>
      <c r="I323" s="76">
        <v>2</v>
      </c>
      <c r="J323" s="80">
        <v>5.55</v>
      </c>
      <c r="K323" s="80">
        <v>1.31</v>
      </c>
      <c r="L323" s="80">
        <f t="shared" ref="L323:L336" si="68">J323+K323</f>
        <v>6.8599999999999994</v>
      </c>
    </row>
    <row r="324" spans="1:12" ht="72" x14ac:dyDescent="0.3">
      <c r="B324" s="201">
        <v>3</v>
      </c>
      <c r="C324" s="25" t="s">
        <v>72</v>
      </c>
      <c r="D324" s="172" t="s">
        <v>73</v>
      </c>
      <c r="E324" s="63" t="s">
        <v>223</v>
      </c>
      <c r="F324" s="66">
        <v>620</v>
      </c>
      <c r="G324" s="66">
        <v>3.7032612591088285</v>
      </c>
      <c r="H324" s="66">
        <v>2.7774459443316215</v>
      </c>
      <c r="I324" s="76">
        <v>2.4</v>
      </c>
      <c r="J324" s="80">
        <v>6.67</v>
      </c>
      <c r="K324" s="80">
        <v>1.46</v>
      </c>
      <c r="L324" s="80">
        <f t="shared" si="68"/>
        <v>8.129999999999999</v>
      </c>
    </row>
    <row r="325" spans="1:12" ht="72" x14ac:dyDescent="0.3">
      <c r="B325" s="201">
        <v>4</v>
      </c>
      <c r="C325" s="25" t="s">
        <v>72</v>
      </c>
      <c r="D325" s="172" t="s">
        <v>73</v>
      </c>
      <c r="E325" s="63" t="s">
        <v>223</v>
      </c>
      <c r="F325" s="66">
        <v>620</v>
      </c>
      <c r="G325" s="66">
        <v>3.7032612591088285</v>
      </c>
      <c r="H325" s="66">
        <v>2.7774459443316215</v>
      </c>
      <c r="I325" s="76">
        <v>6.5</v>
      </c>
      <c r="J325" s="80">
        <v>18.05</v>
      </c>
      <c r="K325" s="80">
        <v>3.96</v>
      </c>
      <c r="L325" s="80">
        <f t="shared" si="68"/>
        <v>22.01</v>
      </c>
    </row>
    <row r="326" spans="1:12" ht="72" x14ac:dyDescent="0.3">
      <c r="B326" s="201">
        <v>5</v>
      </c>
      <c r="C326" s="25" t="s">
        <v>72</v>
      </c>
      <c r="D326" s="172" t="s">
        <v>73</v>
      </c>
      <c r="E326" s="63" t="s">
        <v>223</v>
      </c>
      <c r="F326" s="66">
        <v>620</v>
      </c>
      <c r="G326" s="66">
        <v>3.7032612591088285</v>
      </c>
      <c r="H326" s="66">
        <v>2.7774459443316215</v>
      </c>
      <c r="I326" s="76">
        <v>10.5</v>
      </c>
      <c r="J326" s="80">
        <v>29.16</v>
      </c>
      <c r="K326" s="80">
        <v>6.88</v>
      </c>
      <c r="L326" s="80">
        <f t="shared" si="68"/>
        <v>36.04</v>
      </c>
    </row>
    <row r="327" spans="1:12" ht="72" x14ac:dyDescent="0.3">
      <c r="B327" s="201">
        <v>6</v>
      </c>
      <c r="C327" s="25" t="s">
        <v>72</v>
      </c>
      <c r="D327" s="172" t="s">
        <v>73</v>
      </c>
      <c r="E327" s="63" t="s">
        <v>223</v>
      </c>
      <c r="F327" s="66">
        <v>620</v>
      </c>
      <c r="G327" s="66">
        <v>3.7032612591088285</v>
      </c>
      <c r="H327" s="66">
        <v>2.7774459443316215</v>
      </c>
      <c r="I327" s="76">
        <v>14</v>
      </c>
      <c r="J327" s="80">
        <v>38.880000000000003</v>
      </c>
      <c r="K327" s="80">
        <v>9.17</v>
      </c>
      <c r="L327" s="80">
        <f t="shared" si="68"/>
        <v>48.050000000000004</v>
      </c>
    </row>
    <row r="328" spans="1:12" ht="72" x14ac:dyDescent="0.3">
      <c r="B328" s="201">
        <v>7</v>
      </c>
      <c r="C328" s="25" t="s">
        <v>72</v>
      </c>
      <c r="D328" s="172" t="s">
        <v>73</v>
      </c>
      <c r="E328" s="63" t="s">
        <v>223</v>
      </c>
      <c r="F328" s="66">
        <v>620</v>
      </c>
      <c r="G328" s="66">
        <v>3.7032612591088285</v>
      </c>
      <c r="H328" s="66">
        <v>2.7774459443316215</v>
      </c>
      <c r="I328" s="76">
        <v>9</v>
      </c>
      <c r="J328" s="80">
        <v>25</v>
      </c>
      <c r="K328" s="80">
        <v>5.49</v>
      </c>
      <c r="L328" s="80">
        <f t="shared" si="68"/>
        <v>30.490000000000002</v>
      </c>
    </row>
    <row r="329" spans="1:12" ht="72" x14ac:dyDescent="0.3">
      <c r="B329" s="201">
        <v>8</v>
      </c>
      <c r="C329" s="25" t="s">
        <v>72</v>
      </c>
      <c r="D329" s="172" t="s">
        <v>73</v>
      </c>
      <c r="E329" s="63" t="s">
        <v>223</v>
      </c>
      <c r="F329" s="66">
        <v>620</v>
      </c>
      <c r="G329" s="66">
        <v>3.7032612591088285</v>
      </c>
      <c r="H329" s="66">
        <v>2.7774459443316215</v>
      </c>
      <c r="I329" s="76">
        <v>10.5</v>
      </c>
      <c r="J329" s="80">
        <v>29.16</v>
      </c>
      <c r="K329" s="80">
        <v>6.88</v>
      </c>
      <c r="L329" s="80">
        <f t="shared" si="68"/>
        <v>36.04</v>
      </c>
    </row>
    <row r="330" spans="1:12" ht="72" x14ac:dyDescent="0.3">
      <c r="B330" s="201">
        <v>9</v>
      </c>
      <c r="C330" s="25" t="s">
        <v>72</v>
      </c>
      <c r="D330" s="172" t="s">
        <v>73</v>
      </c>
      <c r="E330" s="63" t="s">
        <v>223</v>
      </c>
      <c r="F330" s="66">
        <v>620</v>
      </c>
      <c r="G330" s="66">
        <v>3.7032612591088285</v>
      </c>
      <c r="H330" s="66">
        <v>2.7774459443316215</v>
      </c>
      <c r="I330" s="76">
        <v>3.3</v>
      </c>
      <c r="J330" s="80">
        <v>9.17</v>
      </c>
      <c r="K330" s="80">
        <v>2.16</v>
      </c>
      <c r="L330" s="80">
        <f t="shared" si="68"/>
        <v>11.33</v>
      </c>
    </row>
    <row r="331" spans="1:12" ht="72" x14ac:dyDescent="0.3">
      <c r="B331" s="201">
        <v>10</v>
      </c>
      <c r="C331" s="25" t="s">
        <v>72</v>
      </c>
      <c r="D331" s="172" t="s">
        <v>73</v>
      </c>
      <c r="E331" s="63" t="s">
        <v>223</v>
      </c>
      <c r="F331" s="66">
        <v>620</v>
      </c>
      <c r="G331" s="66">
        <v>3.7032612591088285</v>
      </c>
      <c r="H331" s="66">
        <v>2.7774459443316215</v>
      </c>
      <c r="I331" s="76">
        <v>12.55</v>
      </c>
      <c r="J331" s="80">
        <v>34.86</v>
      </c>
      <c r="K331" s="80">
        <v>8.23</v>
      </c>
      <c r="L331" s="80">
        <f t="shared" si="68"/>
        <v>43.09</v>
      </c>
    </row>
    <row r="332" spans="1:12" ht="72" x14ac:dyDescent="0.3">
      <c r="B332" s="201">
        <v>11</v>
      </c>
      <c r="C332" s="25" t="s">
        <v>72</v>
      </c>
      <c r="D332" s="172" t="s">
        <v>73</v>
      </c>
      <c r="E332" s="63" t="s">
        <v>223</v>
      </c>
      <c r="F332" s="66">
        <v>620</v>
      </c>
      <c r="G332" s="66">
        <v>3.7032612591088285</v>
      </c>
      <c r="H332" s="66">
        <v>2.7774459443316215</v>
      </c>
      <c r="I332" s="76">
        <v>4.8</v>
      </c>
      <c r="J332" s="80">
        <v>13.33</v>
      </c>
      <c r="K332" s="80">
        <v>3.14</v>
      </c>
      <c r="L332" s="80">
        <f t="shared" si="68"/>
        <v>16.47</v>
      </c>
    </row>
    <row r="333" spans="1:12" ht="72" x14ac:dyDescent="0.3">
      <c r="B333" s="201">
        <v>12</v>
      </c>
      <c r="C333" s="25" t="s">
        <v>72</v>
      </c>
      <c r="D333" s="172" t="s">
        <v>73</v>
      </c>
      <c r="E333" s="63" t="s">
        <v>223</v>
      </c>
      <c r="F333" s="66">
        <v>620</v>
      </c>
      <c r="G333" s="66">
        <v>3.7032612591088285</v>
      </c>
      <c r="H333" s="66">
        <v>2.7774459443316215</v>
      </c>
      <c r="I333" s="76">
        <v>16</v>
      </c>
      <c r="J333" s="80">
        <v>44.44</v>
      </c>
      <c r="K333" s="80">
        <v>10.48</v>
      </c>
      <c r="L333" s="80">
        <f t="shared" si="68"/>
        <v>54.92</v>
      </c>
    </row>
    <row r="334" spans="1:12" ht="72" x14ac:dyDescent="0.3">
      <c r="B334" s="201">
        <v>13</v>
      </c>
      <c r="C334" s="25" t="s">
        <v>72</v>
      </c>
      <c r="D334" s="172" t="s">
        <v>73</v>
      </c>
      <c r="E334" s="63" t="s">
        <v>223</v>
      </c>
      <c r="F334" s="66">
        <v>620</v>
      </c>
      <c r="G334" s="66">
        <v>3.7032612591088285</v>
      </c>
      <c r="H334" s="66">
        <v>2.7774459443316215</v>
      </c>
      <c r="I334" s="76">
        <v>0.5</v>
      </c>
      <c r="J334" s="80">
        <v>1.36</v>
      </c>
      <c r="K334" s="80">
        <v>0.13</v>
      </c>
      <c r="L334" s="80">
        <f t="shared" si="68"/>
        <v>1.4900000000000002</v>
      </c>
    </row>
    <row r="335" spans="1:12" ht="72" x14ac:dyDescent="0.3">
      <c r="B335" s="201">
        <v>14</v>
      </c>
      <c r="C335" s="25" t="s">
        <v>72</v>
      </c>
      <c r="D335" s="172" t="s">
        <v>74</v>
      </c>
      <c r="E335" s="63" t="s">
        <v>223</v>
      </c>
      <c r="F335" s="66">
        <v>755</v>
      </c>
      <c r="G335" s="66">
        <v>4.5096165332696216</v>
      </c>
      <c r="H335" s="66">
        <v>3.3822123999522162</v>
      </c>
      <c r="I335" s="76">
        <v>0.5</v>
      </c>
      <c r="J335" s="80">
        <v>1.69</v>
      </c>
      <c r="K335" s="80">
        <v>0.4</v>
      </c>
      <c r="L335" s="80">
        <f t="shared" si="68"/>
        <v>2.09</v>
      </c>
    </row>
    <row r="336" spans="1:12" ht="72" x14ac:dyDescent="0.3">
      <c r="B336" s="201">
        <v>15</v>
      </c>
      <c r="C336" s="25" t="s">
        <v>72</v>
      </c>
      <c r="D336" s="172" t="s">
        <v>74</v>
      </c>
      <c r="E336" s="63" t="s">
        <v>223</v>
      </c>
      <c r="F336" s="66">
        <v>755</v>
      </c>
      <c r="G336" s="66">
        <v>4.5096165332696216</v>
      </c>
      <c r="H336" s="66">
        <v>3.3822123999522162</v>
      </c>
      <c r="I336" s="76">
        <v>13.55</v>
      </c>
      <c r="J336" s="80">
        <v>45.83</v>
      </c>
      <c r="K336" s="80">
        <v>10.050000000000001</v>
      </c>
      <c r="L336" s="80">
        <f t="shared" si="68"/>
        <v>55.879999999999995</v>
      </c>
    </row>
    <row r="337" spans="1:12" x14ac:dyDescent="0.3">
      <c r="B337" s="201"/>
      <c r="C337" s="143" t="s">
        <v>10</v>
      </c>
      <c r="D337" s="146"/>
      <c r="E337" s="63"/>
      <c r="F337" s="17"/>
      <c r="G337" s="5"/>
      <c r="H337" s="5"/>
      <c r="I337" s="16">
        <f>SUM(I322:I336)</f>
        <v>112.49999999999999</v>
      </c>
      <c r="J337" s="27">
        <f>SUM(J322:J336)</f>
        <v>320.92999999999995</v>
      </c>
      <c r="K337" s="27">
        <f>SUM(K322:K336)</f>
        <v>73.640000000000015</v>
      </c>
      <c r="L337" s="27">
        <f>ROUND(SUM(L322:L336),2)</f>
        <v>394.57</v>
      </c>
    </row>
    <row r="338" spans="1:12" x14ac:dyDescent="0.3">
      <c r="A338" s="8" t="s">
        <v>85</v>
      </c>
      <c r="B338" s="70" t="s">
        <v>86</v>
      </c>
      <c r="C338" s="139"/>
      <c r="D338" s="144"/>
      <c r="E338" s="74"/>
      <c r="F338" s="20"/>
      <c r="G338" s="6"/>
      <c r="H338" s="6"/>
      <c r="I338" s="19"/>
      <c r="J338" s="46"/>
      <c r="K338" s="46"/>
      <c r="L338" s="47"/>
    </row>
    <row r="339" spans="1:12" x14ac:dyDescent="0.3">
      <c r="C339" s="173" t="s">
        <v>10</v>
      </c>
      <c r="I339" s="16">
        <v>93920.42</v>
      </c>
      <c r="J339" s="27">
        <v>187461.00442800962</v>
      </c>
      <c r="K339" s="27">
        <v>44222.050944567505</v>
      </c>
      <c r="L339" s="27">
        <v>231683.06</v>
      </c>
    </row>
    <row r="340" spans="1:12" ht="82.8" x14ac:dyDescent="0.3">
      <c r="A340" s="8" t="s">
        <v>87</v>
      </c>
      <c r="B340" s="70" t="s">
        <v>88</v>
      </c>
      <c r="C340" s="139"/>
      <c r="D340" s="144"/>
      <c r="E340" s="74"/>
      <c r="F340" s="20"/>
      <c r="G340" s="6"/>
      <c r="H340" s="10" t="s">
        <v>89</v>
      </c>
      <c r="I340" s="19"/>
      <c r="J340" s="46"/>
      <c r="K340" s="46"/>
      <c r="L340" s="47"/>
    </row>
    <row r="341" spans="1:12" ht="96" x14ac:dyDescent="0.3">
      <c r="B341" s="201">
        <v>1</v>
      </c>
      <c r="C341" s="25" t="s">
        <v>34</v>
      </c>
      <c r="D341" s="160" t="s">
        <v>152</v>
      </c>
      <c r="E341" s="98" t="s">
        <v>123</v>
      </c>
      <c r="F341" s="84" t="s">
        <v>90</v>
      </c>
      <c r="G341" s="95">
        <v>6.5</v>
      </c>
      <c r="H341" s="65">
        <f>G341*0.53</f>
        <v>3.4450000000000003</v>
      </c>
      <c r="I341" s="72">
        <v>12.5</v>
      </c>
      <c r="J341" s="77">
        <f>ROUND(H341*I341,2)</f>
        <v>43.06</v>
      </c>
      <c r="K341" s="77">
        <f>ROUND(J341*23.59%,2)</f>
        <v>10.16</v>
      </c>
      <c r="L341" s="80">
        <f>SUM(J341+K341)</f>
        <v>53.22</v>
      </c>
    </row>
    <row r="342" spans="1:12" ht="96" x14ac:dyDescent="0.3">
      <c r="B342" s="201">
        <v>2</v>
      </c>
      <c r="C342" s="25" t="s">
        <v>34</v>
      </c>
      <c r="D342" s="160" t="s">
        <v>152</v>
      </c>
      <c r="E342" s="83" t="s">
        <v>123</v>
      </c>
      <c r="F342" s="84" t="s">
        <v>90</v>
      </c>
      <c r="G342" s="95">
        <v>6.5</v>
      </c>
      <c r="H342" s="65">
        <f t="shared" ref="H342:H379" si="69">G342*0.53</f>
        <v>3.4450000000000003</v>
      </c>
      <c r="I342" s="72">
        <v>8</v>
      </c>
      <c r="J342" s="77">
        <f t="shared" ref="J342:J379" si="70">ROUND(H342*I342,2)</f>
        <v>27.56</v>
      </c>
      <c r="K342" s="77">
        <f t="shared" ref="K342:K379" si="71">ROUND(J342*23.59%,2)</f>
        <v>6.5</v>
      </c>
      <c r="L342" s="80">
        <f t="shared" ref="L342:L379" si="72">SUM(J342+K342)</f>
        <v>34.06</v>
      </c>
    </row>
    <row r="343" spans="1:12" ht="96" x14ac:dyDescent="0.3">
      <c r="B343" s="201">
        <v>3</v>
      </c>
      <c r="C343" s="25" t="s">
        <v>34</v>
      </c>
      <c r="D343" s="160" t="s">
        <v>152</v>
      </c>
      <c r="E343" s="83" t="s">
        <v>123</v>
      </c>
      <c r="F343" s="84" t="s">
        <v>90</v>
      </c>
      <c r="G343" s="95">
        <v>6.5</v>
      </c>
      <c r="H343" s="65">
        <f t="shared" si="69"/>
        <v>3.4450000000000003</v>
      </c>
      <c r="I343" s="72">
        <v>2</v>
      </c>
      <c r="J343" s="77">
        <f t="shared" si="70"/>
        <v>6.89</v>
      </c>
      <c r="K343" s="77">
        <f t="shared" si="71"/>
        <v>1.63</v>
      </c>
      <c r="L343" s="80">
        <f t="shared" si="72"/>
        <v>8.52</v>
      </c>
    </row>
    <row r="344" spans="1:12" ht="96" x14ac:dyDescent="0.3">
      <c r="B344" s="201">
        <v>4</v>
      </c>
      <c r="C344" s="25" t="s">
        <v>34</v>
      </c>
      <c r="D344" s="160" t="s">
        <v>152</v>
      </c>
      <c r="E344" s="83" t="s">
        <v>123</v>
      </c>
      <c r="F344" s="84" t="s">
        <v>90</v>
      </c>
      <c r="G344" s="95">
        <v>6.5</v>
      </c>
      <c r="H344" s="65">
        <f t="shared" si="69"/>
        <v>3.4450000000000003</v>
      </c>
      <c r="I344" s="72">
        <v>23.5</v>
      </c>
      <c r="J344" s="77">
        <f t="shared" si="70"/>
        <v>80.959999999999994</v>
      </c>
      <c r="K344" s="77">
        <f t="shared" si="71"/>
        <v>19.100000000000001</v>
      </c>
      <c r="L344" s="80">
        <f t="shared" si="72"/>
        <v>100.06</v>
      </c>
    </row>
    <row r="345" spans="1:12" ht="96" x14ac:dyDescent="0.3">
      <c r="B345" s="201">
        <v>5</v>
      </c>
      <c r="C345" s="25" t="s">
        <v>34</v>
      </c>
      <c r="D345" s="147" t="s">
        <v>91</v>
      </c>
      <c r="E345" s="83" t="s">
        <v>123</v>
      </c>
      <c r="F345" s="84" t="s">
        <v>90</v>
      </c>
      <c r="G345" s="95">
        <v>5.9</v>
      </c>
      <c r="H345" s="65">
        <f t="shared" si="69"/>
        <v>3.1270000000000002</v>
      </c>
      <c r="I345" s="72">
        <v>19.5</v>
      </c>
      <c r="J345" s="77">
        <f t="shared" si="70"/>
        <v>60.98</v>
      </c>
      <c r="K345" s="77">
        <f t="shared" si="71"/>
        <v>14.39</v>
      </c>
      <c r="L345" s="80">
        <f t="shared" si="72"/>
        <v>75.37</v>
      </c>
    </row>
    <row r="346" spans="1:12" ht="96" x14ac:dyDescent="0.3">
      <c r="B346" s="201">
        <v>6</v>
      </c>
      <c r="C346" s="25" t="s">
        <v>34</v>
      </c>
      <c r="D346" s="147" t="s">
        <v>91</v>
      </c>
      <c r="E346" s="83" t="s">
        <v>123</v>
      </c>
      <c r="F346" s="84" t="s">
        <v>90</v>
      </c>
      <c r="G346" s="95">
        <v>5.9</v>
      </c>
      <c r="H346" s="65">
        <f t="shared" si="69"/>
        <v>3.1270000000000002</v>
      </c>
      <c r="I346" s="72">
        <v>12</v>
      </c>
      <c r="J346" s="77">
        <f t="shared" si="70"/>
        <v>37.520000000000003</v>
      </c>
      <c r="K346" s="77">
        <f t="shared" si="71"/>
        <v>8.85</v>
      </c>
      <c r="L346" s="80">
        <f t="shared" si="72"/>
        <v>46.370000000000005</v>
      </c>
    </row>
    <row r="347" spans="1:12" ht="96" x14ac:dyDescent="0.3">
      <c r="B347" s="201">
        <v>7</v>
      </c>
      <c r="C347" s="25" t="s">
        <v>34</v>
      </c>
      <c r="D347" s="147" t="s">
        <v>224</v>
      </c>
      <c r="E347" s="83" t="s">
        <v>123</v>
      </c>
      <c r="F347" s="84" t="s">
        <v>90</v>
      </c>
      <c r="G347" s="95">
        <v>5</v>
      </c>
      <c r="H347" s="65">
        <f t="shared" si="69"/>
        <v>2.6500000000000004</v>
      </c>
      <c r="I347" s="72">
        <v>1</v>
      </c>
      <c r="J347" s="77">
        <f t="shared" si="70"/>
        <v>2.65</v>
      </c>
      <c r="K347" s="77">
        <f t="shared" si="71"/>
        <v>0.63</v>
      </c>
      <c r="L347" s="80">
        <f t="shared" si="72"/>
        <v>3.28</v>
      </c>
    </row>
    <row r="348" spans="1:12" ht="96" x14ac:dyDescent="0.3">
      <c r="B348" s="201">
        <v>8</v>
      </c>
      <c r="C348" s="25" t="s">
        <v>34</v>
      </c>
      <c r="D348" s="147" t="s">
        <v>91</v>
      </c>
      <c r="E348" s="83" t="s">
        <v>123</v>
      </c>
      <c r="F348" s="84" t="s">
        <v>90</v>
      </c>
      <c r="G348" s="95">
        <v>5.9</v>
      </c>
      <c r="H348" s="65">
        <f t="shared" si="69"/>
        <v>3.1270000000000002</v>
      </c>
      <c r="I348" s="72">
        <v>16.5</v>
      </c>
      <c r="J348" s="77">
        <f t="shared" si="70"/>
        <v>51.6</v>
      </c>
      <c r="K348" s="77">
        <f t="shared" si="71"/>
        <v>12.17</v>
      </c>
      <c r="L348" s="80">
        <f t="shared" si="72"/>
        <v>63.77</v>
      </c>
    </row>
    <row r="349" spans="1:12" ht="96" x14ac:dyDescent="0.3">
      <c r="B349" s="201">
        <v>9</v>
      </c>
      <c r="C349" s="25" t="s">
        <v>34</v>
      </c>
      <c r="D349" s="147" t="s">
        <v>91</v>
      </c>
      <c r="E349" s="83" t="s">
        <v>123</v>
      </c>
      <c r="F349" s="84" t="s">
        <v>90</v>
      </c>
      <c r="G349" s="95">
        <v>5.9</v>
      </c>
      <c r="H349" s="65">
        <f t="shared" si="69"/>
        <v>3.1270000000000002</v>
      </c>
      <c r="I349" s="99">
        <v>23</v>
      </c>
      <c r="J349" s="77">
        <f t="shared" si="70"/>
        <v>71.92</v>
      </c>
      <c r="K349" s="77">
        <f t="shared" si="71"/>
        <v>16.97</v>
      </c>
      <c r="L349" s="80">
        <f t="shared" si="72"/>
        <v>88.89</v>
      </c>
    </row>
    <row r="350" spans="1:12" ht="96" x14ac:dyDescent="0.3">
      <c r="B350" s="201">
        <v>10</v>
      </c>
      <c r="C350" s="25" t="s">
        <v>34</v>
      </c>
      <c r="D350" s="147" t="s">
        <v>91</v>
      </c>
      <c r="E350" s="83" t="s">
        <v>123</v>
      </c>
      <c r="F350" s="84" t="s">
        <v>90</v>
      </c>
      <c r="G350" s="95">
        <v>5.9</v>
      </c>
      <c r="H350" s="65">
        <f t="shared" si="69"/>
        <v>3.1270000000000002</v>
      </c>
      <c r="I350" s="72">
        <v>18</v>
      </c>
      <c r="J350" s="77">
        <f t="shared" si="70"/>
        <v>56.29</v>
      </c>
      <c r="K350" s="77">
        <f t="shared" si="71"/>
        <v>13.28</v>
      </c>
      <c r="L350" s="80">
        <f t="shared" si="72"/>
        <v>69.569999999999993</v>
      </c>
    </row>
    <row r="351" spans="1:12" ht="96" x14ac:dyDescent="0.3">
      <c r="B351" s="201">
        <v>11</v>
      </c>
      <c r="C351" s="25" t="s">
        <v>34</v>
      </c>
      <c r="D351" s="147" t="s">
        <v>91</v>
      </c>
      <c r="E351" s="83" t="s">
        <v>123</v>
      </c>
      <c r="F351" s="84" t="s">
        <v>90</v>
      </c>
      <c r="G351" s="95">
        <v>5.9</v>
      </c>
      <c r="H351" s="65">
        <f t="shared" si="69"/>
        <v>3.1270000000000002</v>
      </c>
      <c r="I351" s="72">
        <v>15</v>
      </c>
      <c r="J351" s="77">
        <f t="shared" si="70"/>
        <v>46.91</v>
      </c>
      <c r="K351" s="77">
        <f t="shared" si="71"/>
        <v>11.07</v>
      </c>
      <c r="L351" s="80">
        <f t="shared" si="72"/>
        <v>57.98</v>
      </c>
    </row>
    <row r="352" spans="1:12" ht="96" x14ac:dyDescent="0.3">
      <c r="B352" s="201">
        <v>12</v>
      </c>
      <c r="C352" s="25" t="s">
        <v>34</v>
      </c>
      <c r="D352" s="147" t="s">
        <v>91</v>
      </c>
      <c r="E352" s="83" t="s">
        <v>123</v>
      </c>
      <c r="F352" s="84" t="s">
        <v>90</v>
      </c>
      <c r="G352" s="95">
        <v>5.9</v>
      </c>
      <c r="H352" s="65">
        <f t="shared" si="69"/>
        <v>3.1270000000000002</v>
      </c>
      <c r="I352" s="72">
        <v>20</v>
      </c>
      <c r="J352" s="77">
        <f t="shared" si="70"/>
        <v>62.54</v>
      </c>
      <c r="K352" s="77">
        <f t="shared" si="71"/>
        <v>14.75</v>
      </c>
      <c r="L352" s="80">
        <f t="shared" si="72"/>
        <v>77.289999999999992</v>
      </c>
    </row>
    <row r="353" spans="2:12" ht="96" x14ac:dyDescent="0.3">
      <c r="B353" s="201">
        <v>13</v>
      </c>
      <c r="C353" s="25" t="s">
        <v>34</v>
      </c>
      <c r="D353" s="147" t="s">
        <v>91</v>
      </c>
      <c r="E353" s="83" t="s">
        <v>123</v>
      </c>
      <c r="F353" s="84" t="s">
        <v>90</v>
      </c>
      <c r="G353" s="95">
        <v>5.9</v>
      </c>
      <c r="H353" s="65">
        <f t="shared" si="69"/>
        <v>3.1270000000000002</v>
      </c>
      <c r="I353" s="72">
        <v>13</v>
      </c>
      <c r="J353" s="77">
        <f t="shared" si="70"/>
        <v>40.65</v>
      </c>
      <c r="K353" s="77">
        <f t="shared" si="71"/>
        <v>9.59</v>
      </c>
      <c r="L353" s="80">
        <f t="shared" si="72"/>
        <v>50.239999999999995</v>
      </c>
    </row>
    <row r="354" spans="2:12" ht="96" x14ac:dyDescent="0.3">
      <c r="B354" s="201">
        <v>14</v>
      </c>
      <c r="C354" s="25" t="s">
        <v>34</v>
      </c>
      <c r="D354" s="147" t="s">
        <v>91</v>
      </c>
      <c r="E354" s="83" t="s">
        <v>123</v>
      </c>
      <c r="F354" s="84" t="s">
        <v>90</v>
      </c>
      <c r="G354" s="95">
        <v>5.9</v>
      </c>
      <c r="H354" s="65">
        <f t="shared" si="69"/>
        <v>3.1270000000000002</v>
      </c>
      <c r="I354" s="72">
        <v>8</v>
      </c>
      <c r="J354" s="77">
        <f t="shared" si="70"/>
        <v>25.02</v>
      </c>
      <c r="K354" s="77">
        <f t="shared" si="71"/>
        <v>5.9</v>
      </c>
      <c r="L354" s="80">
        <f t="shared" si="72"/>
        <v>30.92</v>
      </c>
    </row>
    <row r="355" spans="2:12" ht="96" x14ac:dyDescent="0.3">
      <c r="B355" s="201">
        <v>15</v>
      </c>
      <c r="C355" s="25" t="s">
        <v>34</v>
      </c>
      <c r="D355" s="147" t="s">
        <v>91</v>
      </c>
      <c r="E355" s="83" t="s">
        <v>123</v>
      </c>
      <c r="F355" s="84" t="s">
        <v>90</v>
      </c>
      <c r="G355" s="95">
        <v>5.9</v>
      </c>
      <c r="H355" s="65">
        <f t="shared" si="69"/>
        <v>3.1270000000000002</v>
      </c>
      <c r="I355" s="72">
        <v>21</v>
      </c>
      <c r="J355" s="77">
        <f t="shared" si="70"/>
        <v>65.67</v>
      </c>
      <c r="K355" s="77">
        <f t="shared" si="71"/>
        <v>15.49</v>
      </c>
      <c r="L355" s="80">
        <f t="shared" si="72"/>
        <v>81.16</v>
      </c>
    </row>
    <row r="356" spans="2:12" ht="96" x14ac:dyDescent="0.3">
      <c r="B356" s="201">
        <v>16</v>
      </c>
      <c r="C356" s="25" t="s">
        <v>34</v>
      </c>
      <c r="D356" s="147" t="s">
        <v>25</v>
      </c>
      <c r="E356" s="83" t="s">
        <v>123</v>
      </c>
      <c r="F356" s="84" t="s">
        <v>90</v>
      </c>
      <c r="G356" s="95">
        <v>8.1999999999999993</v>
      </c>
      <c r="H356" s="65">
        <f t="shared" si="69"/>
        <v>4.3460000000000001</v>
      </c>
      <c r="I356" s="72">
        <v>1</v>
      </c>
      <c r="J356" s="77">
        <f t="shared" si="70"/>
        <v>4.3499999999999996</v>
      </c>
      <c r="K356" s="77">
        <f t="shared" si="71"/>
        <v>1.03</v>
      </c>
      <c r="L356" s="80">
        <f t="shared" si="72"/>
        <v>5.38</v>
      </c>
    </row>
    <row r="357" spans="2:12" ht="96" x14ac:dyDescent="0.3">
      <c r="B357" s="201">
        <v>17</v>
      </c>
      <c r="C357" s="25" t="s">
        <v>34</v>
      </c>
      <c r="D357" s="174" t="s">
        <v>91</v>
      </c>
      <c r="E357" s="83" t="s">
        <v>123</v>
      </c>
      <c r="F357" s="84" t="s">
        <v>90</v>
      </c>
      <c r="G357" s="95">
        <v>5.9</v>
      </c>
      <c r="H357" s="65">
        <f t="shared" si="69"/>
        <v>3.1270000000000002</v>
      </c>
      <c r="I357" s="72">
        <v>38.5</v>
      </c>
      <c r="J357" s="77">
        <f t="shared" si="70"/>
        <v>120.39</v>
      </c>
      <c r="K357" s="77">
        <f t="shared" si="71"/>
        <v>28.4</v>
      </c>
      <c r="L357" s="80">
        <f t="shared" si="72"/>
        <v>148.79</v>
      </c>
    </row>
    <row r="358" spans="2:12" ht="96" x14ac:dyDescent="0.3">
      <c r="B358" s="201">
        <v>18</v>
      </c>
      <c r="C358" s="25" t="s">
        <v>34</v>
      </c>
      <c r="D358" s="174" t="s">
        <v>91</v>
      </c>
      <c r="E358" s="83" t="s">
        <v>123</v>
      </c>
      <c r="F358" s="84" t="s">
        <v>90</v>
      </c>
      <c r="G358" s="95">
        <v>5.9</v>
      </c>
      <c r="H358" s="65">
        <f t="shared" si="69"/>
        <v>3.1270000000000002</v>
      </c>
      <c r="I358" s="72">
        <v>42</v>
      </c>
      <c r="J358" s="77">
        <f t="shared" si="70"/>
        <v>131.33000000000001</v>
      </c>
      <c r="K358" s="77">
        <f t="shared" si="71"/>
        <v>30.98</v>
      </c>
      <c r="L358" s="80">
        <f t="shared" si="72"/>
        <v>162.31</v>
      </c>
    </row>
    <row r="359" spans="2:12" ht="96" x14ac:dyDescent="0.3">
      <c r="B359" s="201">
        <v>19</v>
      </c>
      <c r="C359" s="25" t="s">
        <v>34</v>
      </c>
      <c r="D359" s="174" t="s">
        <v>91</v>
      </c>
      <c r="E359" s="83" t="s">
        <v>123</v>
      </c>
      <c r="F359" s="84" t="s">
        <v>90</v>
      </c>
      <c r="G359" s="95">
        <v>5.9</v>
      </c>
      <c r="H359" s="65">
        <f t="shared" si="69"/>
        <v>3.1270000000000002</v>
      </c>
      <c r="I359" s="72">
        <v>27.5</v>
      </c>
      <c r="J359" s="77">
        <f t="shared" si="70"/>
        <v>85.99</v>
      </c>
      <c r="K359" s="77">
        <f t="shared" si="71"/>
        <v>20.29</v>
      </c>
      <c r="L359" s="80">
        <f t="shared" si="72"/>
        <v>106.28</v>
      </c>
    </row>
    <row r="360" spans="2:12" ht="96" x14ac:dyDescent="0.3">
      <c r="B360" s="201">
        <v>20</v>
      </c>
      <c r="C360" s="25" t="s">
        <v>34</v>
      </c>
      <c r="D360" s="174" t="s">
        <v>25</v>
      </c>
      <c r="E360" s="83" t="s">
        <v>123</v>
      </c>
      <c r="F360" s="84" t="s">
        <v>90</v>
      </c>
      <c r="G360" s="95">
        <v>4.8</v>
      </c>
      <c r="H360" s="65">
        <f t="shared" si="69"/>
        <v>2.544</v>
      </c>
      <c r="I360" s="72">
        <v>41</v>
      </c>
      <c r="J360" s="77">
        <f t="shared" si="70"/>
        <v>104.3</v>
      </c>
      <c r="K360" s="77">
        <f t="shared" si="71"/>
        <v>24.6</v>
      </c>
      <c r="L360" s="80">
        <f t="shared" si="72"/>
        <v>128.9</v>
      </c>
    </row>
    <row r="361" spans="2:12" ht="96" x14ac:dyDescent="0.3">
      <c r="B361" s="201">
        <v>21</v>
      </c>
      <c r="C361" s="25" t="s">
        <v>34</v>
      </c>
      <c r="D361" s="174" t="s">
        <v>91</v>
      </c>
      <c r="E361" s="83" t="s">
        <v>123</v>
      </c>
      <c r="F361" s="84" t="s">
        <v>90</v>
      </c>
      <c r="G361" s="95">
        <v>5.9</v>
      </c>
      <c r="H361" s="65">
        <f t="shared" si="69"/>
        <v>3.1270000000000002</v>
      </c>
      <c r="I361" s="72">
        <v>25</v>
      </c>
      <c r="J361" s="77">
        <f t="shared" si="70"/>
        <v>78.180000000000007</v>
      </c>
      <c r="K361" s="77">
        <f t="shared" si="71"/>
        <v>18.440000000000001</v>
      </c>
      <c r="L361" s="80">
        <f t="shared" si="72"/>
        <v>96.62</v>
      </c>
    </row>
    <row r="362" spans="2:12" ht="96" x14ac:dyDescent="0.3">
      <c r="B362" s="201">
        <v>22</v>
      </c>
      <c r="C362" s="25" t="s">
        <v>34</v>
      </c>
      <c r="D362" s="174" t="s">
        <v>91</v>
      </c>
      <c r="E362" s="83" t="s">
        <v>123</v>
      </c>
      <c r="F362" s="84" t="s">
        <v>90</v>
      </c>
      <c r="G362" s="95">
        <v>5.9</v>
      </c>
      <c r="H362" s="65">
        <f t="shared" si="69"/>
        <v>3.1270000000000002</v>
      </c>
      <c r="I362" s="72">
        <v>19</v>
      </c>
      <c r="J362" s="77">
        <f t="shared" si="70"/>
        <v>59.41</v>
      </c>
      <c r="K362" s="77">
        <f t="shared" si="71"/>
        <v>14.01</v>
      </c>
      <c r="L362" s="80">
        <f t="shared" si="72"/>
        <v>73.42</v>
      </c>
    </row>
    <row r="363" spans="2:12" ht="96" x14ac:dyDescent="0.3">
      <c r="B363" s="201">
        <v>23</v>
      </c>
      <c r="C363" s="25" t="s">
        <v>34</v>
      </c>
      <c r="D363" s="174" t="s">
        <v>91</v>
      </c>
      <c r="E363" s="83" t="s">
        <v>123</v>
      </c>
      <c r="F363" s="84" t="s">
        <v>90</v>
      </c>
      <c r="G363" s="95">
        <v>5.9</v>
      </c>
      <c r="H363" s="65">
        <f t="shared" si="69"/>
        <v>3.1270000000000002</v>
      </c>
      <c r="I363" s="72">
        <v>17.5</v>
      </c>
      <c r="J363" s="77">
        <f t="shared" si="70"/>
        <v>54.72</v>
      </c>
      <c r="K363" s="77">
        <f t="shared" si="71"/>
        <v>12.91</v>
      </c>
      <c r="L363" s="80">
        <f t="shared" si="72"/>
        <v>67.63</v>
      </c>
    </row>
    <row r="364" spans="2:12" ht="96" x14ac:dyDescent="0.3">
      <c r="B364" s="201">
        <v>24</v>
      </c>
      <c r="C364" s="25" t="s">
        <v>34</v>
      </c>
      <c r="D364" s="174" t="s">
        <v>91</v>
      </c>
      <c r="E364" s="83" t="s">
        <v>123</v>
      </c>
      <c r="F364" s="84" t="s">
        <v>90</v>
      </c>
      <c r="G364" s="95">
        <v>5.9</v>
      </c>
      <c r="H364" s="65">
        <f t="shared" si="69"/>
        <v>3.1270000000000002</v>
      </c>
      <c r="I364" s="72">
        <v>41.5</v>
      </c>
      <c r="J364" s="77">
        <f t="shared" si="70"/>
        <v>129.77000000000001</v>
      </c>
      <c r="K364" s="77">
        <f t="shared" si="71"/>
        <v>30.61</v>
      </c>
      <c r="L364" s="80">
        <f t="shared" si="72"/>
        <v>160.38</v>
      </c>
    </row>
    <row r="365" spans="2:12" ht="96" x14ac:dyDescent="0.3">
      <c r="B365" s="201">
        <v>25</v>
      </c>
      <c r="C365" s="25" t="s">
        <v>34</v>
      </c>
      <c r="D365" s="174" t="s">
        <v>91</v>
      </c>
      <c r="E365" s="83" t="s">
        <v>123</v>
      </c>
      <c r="F365" s="84" t="s">
        <v>90</v>
      </c>
      <c r="G365" s="95">
        <v>5.9</v>
      </c>
      <c r="H365" s="65">
        <f t="shared" si="69"/>
        <v>3.1270000000000002</v>
      </c>
      <c r="I365" s="72">
        <v>29.5</v>
      </c>
      <c r="J365" s="77">
        <f t="shared" si="70"/>
        <v>92.25</v>
      </c>
      <c r="K365" s="77">
        <f t="shared" si="71"/>
        <v>21.76</v>
      </c>
      <c r="L365" s="80">
        <f t="shared" si="72"/>
        <v>114.01</v>
      </c>
    </row>
    <row r="366" spans="2:12" ht="96" x14ac:dyDescent="0.3">
      <c r="B366" s="201">
        <v>26</v>
      </c>
      <c r="C366" s="25" t="s">
        <v>34</v>
      </c>
      <c r="D366" s="147" t="s">
        <v>91</v>
      </c>
      <c r="E366" s="83" t="s">
        <v>123</v>
      </c>
      <c r="F366" s="84" t="s">
        <v>90</v>
      </c>
      <c r="G366" s="95">
        <v>5.9</v>
      </c>
      <c r="H366" s="65">
        <f t="shared" si="69"/>
        <v>3.1270000000000002</v>
      </c>
      <c r="I366" s="72">
        <v>56.5</v>
      </c>
      <c r="J366" s="77">
        <f>ROUND(H366*I366,2)</f>
        <v>176.68</v>
      </c>
      <c r="K366" s="77">
        <f t="shared" si="71"/>
        <v>41.68</v>
      </c>
      <c r="L366" s="80">
        <f t="shared" si="72"/>
        <v>218.36</v>
      </c>
    </row>
    <row r="367" spans="2:12" ht="96" x14ac:dyDescent="0.3">
      <c r="B367" s="201">
        <v>27</v>
      </c>
      <c r="C367" s="25" t="s">
        <v>34</v>
      </c>
      <c r="D367" s="147" t="s">
        <v>91</v>
      </c>
      <c r="E367" s="83" t="s">
        <v>123</v>
      </c>
      <c r="F367" s="84" t="s">
        <v>90</v>
      </c>
      <c r="G367" s="95">
        <v>5.9</v>
      </c>
      <c r="H367" s="65">
        <f t="shared" si="69"/>
        <v>3.1270000000000002</v>
      </c>
      <c r="I367" s="72">
        <v>63.5</v>
      </c>
      <c r="J367" s="77">
        <f t="shared" si="70"/>
        <v>198.56</v>
      </c>
      <c r="K367" s="77">
        <f t="shared" si="71"/>
        <v>46.84</v>
      </c>
      <c r="L367" s="80">
        <f t="shared" si="72"/>
        <v>245.4</v>
      </c>
    </row>
    <row r="368" spans="2:12" ht="96" x14ac:dyDescent="0.3">
      <c r="B368" s="201">
        <v>28</v>
      </c>
      <c r="C368" s="25" t="s">
        <v>34</v>
      </c>
      <c r="D368" s="147" t="s">
        <v>91</v>
      </c>
      <c r="E368" s="83" t="s">
        <v>123</v>
      </c>
      <c r="F368" s="84" t="s">
        <v>90</v>
      </c>
      <c r="G368" s="95">
        <v>5.9</v>
      </c>
      <c r="H368" s="65">
        <f t="shared" si="69"/>
        <v>3.1270000000000002</v>
      </c>
      <c r="I368" s="72">
        <v>59.5</v>
      </c>
      <c r="J368" s="77">
        <f t="shared" si="70"/>
        <v>186.06</v>
      </c>
      <c r="K368" s="77">
        <f t="shared" si="71"/>
        <v>43.89</v>
      </c>
      <c r="L368" s="80">
        <f t="shared" si="72"/>
        <v>229.95</v>
      </c>
    </row>
    <row r="369" spans="1:12" ht="96" x14ac:dyDescent="0.3">
      <c r="B369" s="201">
        <v>29</v>
      </c>
      <c r="C369" s="25" t="s">
        <v>34</v>
      </c>
      <c r="D369" s="147" t="s">
        <v>91</v>
      </c>
      <c r="E369" s="83" t="s">
        <v>123</v>
      </c>
      <c r="F369" s="84" t="s">
        <v>90</v>
      </c>
      <c r="G369" s="95">
        <v>5.9</v>
      </c>
      <c r="H369" s="65">
        <f t="shared" si="69"/>
        <v>3.1270000000000002</v>
      </c>
      <c r="I369" s="72">
        <v>46</v>
      </c>
      <c r="J369" s="77">
        <f t="shared" si="70"/>
        <v>143.84</v>
      </c>
      <c r="K369" s="77">
        <f t="shared" si="71"/>
        <v>33.93</v>
      </c>
      <c r="L369" s="80">
        <f t="shared" si="72"/>
        <v>177.77</v>
      </c>
    </row>
    <row r="370" spans="1:12" ht="96" x14ac:dyDescent="0.3">
      <c r="B370" s="201">
        <v>30</v>
      </c>
      <c r="C370" s="25" t="s">
        <v>34</v>
      </c>
      <c r="D370" s="147" t="s">
        <v>91</v>
      </c>
      <c r="E370" s="83" t="s">
        <v>123</v>
      </c>
      <c r="F370" s="84" t="s">
        <v>90</v>
      </c>
      <c r="G370" s="95">
        <v>5.9</v>
      </c>
      <c r="H370" s="65">
        <f t="shared" si="69"/>
        <v>3.1270000000000002</v>
      </c>
      <c r="I370" s="72">
        <v>43</v>
      </c>
      <c r="J370" s="77">
        <f t="shared" si="70"/>
        <v>134.46</v>
      </c>
      <c r="K370" s="77">
        <f t="shared" si="71"/>
        <v>31.72</v>
      </c>
      <c r="L370" s="80">
        <f t="shared" si="72"/>
        <v>166.18</v>
      </c>
    </row>
    <row r="371" spans="1:12" ht="96" x14ac:dyDescent="0.3">
      <c r="B371" s="201">
        <v>31</v>
      </c>
      <c r="C371" s="25" t="s">
        <v>34</v>
      </c>
      <c r="D371" s="147" t="s">
        <v>91</v>
      </c>
      <c r="E371" s="83" t="s">
        <v>123</v>
      </c>
      <c r="F371" s="84" t="s">
        <v>90</v>
      </c>
      <c r="G371" s="95">
        <v>5.9</v>
      </c>
      <c r="H371" s="65">
        <f t="shared" si="69"/>
        <v>3.1270000000000002</v>
      </c>
      <c r="I371" s="72">
        <v>37</v>
      </c>
      <c r="J371" s="77">
        <f t="shared" si="70"/>
        <v>115.7</v>
      </c>
      <c r="K371" s="77">
        <f t="shared" si="71"/>
        <v>27.29</v>
      </c>
      <c r="L371" s="80">
        <f t="shared" si="72"/>
        <v>142.99</v>
      </c>
    </row>
    <row r="372" spans="1:12" ht="96" x14ac:dyDescent="0.3">
      <c r="B372" s="201">
        <v>32</v>
      </c>
      <c r="C372" s="25" t="s">
        <v>34</v>
      </c>
      <c r="D372" s="147" t="s">
        <v>91</v>
      </c>
      <c r="E372" s="83" t="s">
        <v>123</v>
      </c>
      <c r="F372" s="84" t="s">
        <v>90</v>
      </c>
      <c r="G372" s="95">
        <v>5.9</v>
      </c>
      <c r="H372" s="65">
        <f t="shared" si="69"/>
        <v>3.1270000000000002</v>
      </c>
      <c r="I372" s="72">
        <v>15</v>
      </c>
      <c r="J372" s="77">
        <f t="shared" si="70"/>
        <v>46.91</v>
      </c>
      <c r="K372" s="77">
        <f t="shared" si="71"/>
        <v>11.07</v>
      </c>
      <c r="L372" s="80">
        <f t="shared" si="72"/>
        <v>57.98</v>
      </c>
    </row>
    <row r="373" spans="1:12" ht="96" x14ac:dyDescent="0.3">
      <c r="B373" s="201">
        <v>33</v>
      </c>
      <c r="C373" s="25" t="s">
        <v>34</v>
      </c>
      <c r="D373" s="147" t="s">
        <v>91</v>
      </c>
      <c r="E373" s="83" t="s">
        <v>123</v>
      </c>
      <c r="F373" s="84" t="s">
        <v>90</v>
      </c>
      <c r="G373" s="95">
        <v>5.9</v>
      </c>
      <c r="H373" s="65">
        <f t="shared" si="69"/>
        <v>3.1270000000000002</v>
      </c>
      <c r="I373" s="72">
        <v>45</v>
      </c>
      <c r="J373" s="77">
        <f t="shared" si="70"/>
        <v>140.72</v>
      </c>
      <c r="K373" s="77">
        <f t="shared" si="71"/>
        <v>33.200000000000003</v>
      </c>
      <c r="L373" s="80">
        <f t="shared" si="72"/>
        <v>173.92000000000002</v>
      </c>
    </row>
    <row r="374" spans="1:12" ht="96" x14ac:dyDescent="0.3">
      <c r="B374" s="201">
        <v>34</v>
      </c>
      <c r="C374" s="25" t="s">
        <v>34</v>
      </c>
      <c r="D374" s="147" t="s">
        <v>25</v>
      </c>
      <c r="E374" s="83" t="s">
        <v>123</v>
      </c>
      <c r="F374" s="84" t="s">
        <v>90</v>
      </c>
      <c r="G374" s="95">
        <v>8.1999999999999993</v>
      </c>
      <c r="H374" s="65">
        <f t="shared" si="69"/>
        <v>4.3460000000000001</v>
      </c>
      <c r="I374" s="72">
        <v>0</v>
      </c>
      <c r="J374" s="77">
        <f t="shared" si="70"/>
        <v>0</v>
      </c>
      <c r="K374" s="77">
        <f t="shared" si="71"/>
        <v>0</v>
      </c>
      <c r="L374" s="80">
        <f t="shared" si="72"/>
        <v>0</v>
      </c>
    </row>
    <row r="375" spans="1:12" ht="96" x14ac:dyDescent="0.3">
      <c r="B375" s="201">
        <v>35</v>
      </c>
      <c r="C375" s="25" t="s">
        <v>34</v>
      </c>
      <c r="D375" s="147" t="s">
        <v>27</v>
      </c>
      <c r="E375" s="83" t="s">
        <v>123</v>
      </c>
      <c r="F375" s="84" t="s">
        <v>90</v>
      </c>
      <c r="G375" s="95">
        <v>5.9</v>
      </c>
      <c r="H375" s="65">
        <f t="shared" si="69"/>
        <v>3.1270000000000002</v>
      </c>
      <c r="I375" s="72">
        <v>5.5</v>
      </c>
      <c r="J375" s="77">
        <f t="shared" si="70"/>
        <v>17.2</v>
      </c>
      <c r="K375" s="77">
        <f t="shared" si="71"/>
        <v>4.0599999999999996</v>
      </c>
      <c r="L375" s="80">
        <f t="shared" si="72"/>
        <v>21.259999999999998</v>
      </c>
    </row>
    <row r="376" spans="1:12" ht="96" x14ac:dyDescent="0.3">
      <c r="B376" s="201">
        <v>36</v>
      </c>
      <c r="C376" s="25" t="s">
        <v>34</v>
      </c>
      <c r="D376" s="147" t="s">
        <v>27</v>
      </c>
      <c r="E376" s="83" t="s">
        <v>123</v>
      </c>
      <c r="F376" s="84" t="s">
        <v>90</v>
      </c>
      <c r="G376" s="95">
        <v>5.9</v>
      </c>
      <c r="H376" s="65">
        <f t="shared" si="69"/>
        <v>3.1270000000000002</v>
      </c>
      <c r="I376" s="72">
        <v>59.5</v>
      </c>
      <c r="J376" s="77">
        <f t="shared" si="70"/>
        <v>186.06</v>
      </c>
      <c r="K376" s="77">
        <f t="shared" si="71"/>
        <v>43.89</v>
      </c>
      <c r="L376" s="80">
        <f t="shared" si="72"/>
        <v>229.95</v>
      </c>
    </row>
    <row r="377" spans="1:12" ht="96" x14ac:dyDescent="0.3">
      <c r="B377" s="201">
        <v>37</v>
      </c>
      <c r="C377" s="25" t="s">
        <v>34</v>
      </c>
      <c r="D377" s="147" t="s">
        <v>27</v>
      </c>
      <c r="E377" s="83" t="s">
        <v>123</v>
      </c>
      <c r="F377" s="84" t="s">
        <v>90</v>
      </c>
      <c r="G377" s="95">
        <v>5.9</v>
      </c>
      <c r="H377" s="65">
        <f t="shared" si="69"/>
        <v>3.1270000000000002</v>
      </c>
      <c r="I377" s="72">
        <v>45.5</v>
      </c>
      <c r="J377" s="77">
        <f t="shared" si="70"/>
        <v>142.28</v>
      </c>
      <c r="K377" s="77">
        <f t="shared" si="71"/>
        <v>33.56</v>
      </c>
      <c r="L377" s="80">
        <f t="shared" si="72"/>
        <v>175.84</v>
      </c>
    </row>
    <row r="378" spans="1:12" ht="96" x14ac:dyDescent="0.3">
      <c r="B378" s="201">
        <v>38</v>
      </c>
      <c r="C378" s="25" t="s">
        <v>34</v>
      </c>
      <c r="D378" s="147" t="s">
        <v>27</v>
      </c>
      <c r="E378" s="83" t="s">
        <v>123</v>
      </c>
      <c r="F378" s="84" t="s">
        <v>90</v>
      </c>
      <c r="G378" s="95">
        <v>5.9</v>
      </c>
      <c r="H378" s="65">
        <f t="shared" si="69"/>
        <v>3.1270000000000002</v>
      </c>
      <c r="I378" s="72">
        <v>22.5</v>
      </c>
      <c r="J378" s="77">
        <f t="shared" si="70"/>
        <v>70.36</v>
      </c>
      <c r="K378" s="77">
        <f t="shared" si="71"/>
        <v>16.600000000000001</v>
      </c>
      <c r="L378" s="80">
        <f t="shared" si="72"/>
        <v>86.960000000000008</v>
      </c>
    </row>
    <row r="379" spans="1:12" ht="96" x14ac:dyDescent="0.3">
      <c r="B379" s="201">
        <v>39</v>
      </c>
      <c r="C379" s="25" t="s">
        <v>34</v>
      </c>
      <c r="D379" s="147" t="s">
        <v>27</v>
      </c>
      <c r="E379" s="83" t="s">
        <v>123</v>
      </c>
      <c r="F379" s="84" t="s">
        <v>90</v>
      </c>
      <c r="G379" s="95">
        <v>5.9</v>
      </c>
      <c r="H379" s="65">
        <f t="shared" si="69"/>
        <v>3.1270000000000002</v>
      </c>
      <c r="I379" s="72">
        <v>5.5</v>
      </c>
      <c r="J379" s="77">
        <f t="shared" si="70"/>
        <v>17.2</v>
      </c>
      <c r="K379" s="77">
        <f t="shared" si="71"/>
        <v>4.0599999999999996</v>
      </c>
      <c r="L379" s="80">
        <f t="shared" si="72"/>
        <v>21.259999999999998</v>
      </c>
    </row>
    <row r="380" spans="1:12" x14ac:dyDescent="0.3">
      <c r="C380" s="143" t="s">
        <v>10</v>
      </c>
      <c r="D380" s="146"/>
      <c r="E380" s="63"/>
      <c r="F380" s="17"/>
      <c r="G380" s="5"/>
      <c r="H380" s="5"/>
      <c r="I380" s="28">
        <f>SUM(I341:I379)</f>
        <v>999.5</v>
      </c>
      <c r="J380" s="27">
        <f>SUM(J341:J379)</f>
        <v>3116.9399999999996</v>
      </c>
      <c r="K380" s="27">
        <f>SUM(K341:K379)</f>
        <v>735.30000000000007</v>
      </c>
      <c r="L380" s="27">
        <f>ROUND(SUM(L341:L379),2)</f>
        <v>3852.24</v>
      </c>
    </row>
    <row r="381" spans="1:12" x14ac:dyDescent="0.3">
      <c r="A381" s="8" t="s">
        <v>92</v>
      </c>
      <c r="B381" s="70" t="s">
        <v>225</v>
      </c>
      <c r="C381" s="139"/>
      <c r="D381" s="144"/>
      <c r="E381" s="74"/>
      <c r="F381" s="20"/>
      <c r="G381" s="6"/>
      <c r="H381" s="6"/>
      <c r="I381" s="19"/>
      <c r="J381" s="46"/>
      <c r="K381" s="46"/>
      <c r="L381" s="47"/>
    </row>
    <row r="382" spans="1:12" ht="27.6" x14ac:dyDescent="0.3">
      <c r="B382" s="201">
        <v>1</v>
      </c>
      <c r="C382" s="25" t="s">
        <v>34</v>
      </c>
      <c r="D382" s="175" t="s">
        <v>64</v>
      </c>
      <c r="E382" s="176" t="s">
        <v>124</v>
      </c>
      <c r="F382" s="17" t="s">
        <v>90</v>
      </c>
      <c r="G382" s="76">
        <v>7.298</v>
      </c>
      <c r="H382" s="66">
        <f>ROUND(G382*0.75,3)</f>
        <v>5.4740000000000002</v>
      </c>
      <c r="I382" s="65">
        <v>27</v>
      </c>
      <c r="J382" s="80">
        <f>ROUND(H382*I382,2)</f>
        <v>147.80000000000001</v>
      </c>
      <c r="K382" s="80">
        <v>34.86</v>
      </c>
      <c r="L382" s="80">
        <f>J382+K382</f>
        <v>182.66000000000003</v>
      </c>
    </row>
    <row r="383" spans="1:12" ht="27.6" x14ac:dyDescent="0.3">
      <c r="B383" s="201">
        <v>2</v>
      </c>
      <c r="C383" s="25" t="s">
        <v>34</v>
      </c>
      <c r="D383" s="175" t="s">
        <v>93</v>
      </c>
      <c r="E383" s="177"/>
      <c r="F383" s="17" t="s">
        <v>90</v>
      </c>
      <c r="G383" s="178">
        <v>6.4580000000000002</v>
      </c>
      <c r="H383" s="66">
        <f t="shared" ref="H383:H385" si="73">ROUND(G383*0.75,3)</f>
        <v>4.8440000000000003</v>
      </c>
      <c r="I383" s="65">
        <v>144</v>
      </c>
      <c r="J383" s="80">
        <f>ROUND(H383*I383,2)</f>
        <v>697.54</v>
      </c>
      <c r="K383" s="80">
        <f t="shared" ref="K383:K385" si="74">ROUND(J383*0.2359,2)</f>
        <v>164.55</v>
      </c>
      <c r="L383" s="80">
        <f t="shared" ref="L383:L385" si="75">J383+K383</f>
        <v>862.08999999999992</v>
      </c>
    </row>
    <row r="384" spans="1:12" ht="27.6" x14ac:dyDescent="0.3">
      <c r="B384" s="201">
        <v>3</v>
      </c>
      <c r="C384" s="25" t="s">
        <v>34</v>
      </c>
      <c r="D384" s="175" t="s">
        <v>94</v>
      </c>
      <c r="E384" s="177"/>
      <c r="F384" s="17" t="s">
        <v>90</v>
      </c>
      <c r="G384" s="178">
        <v>6.7560000000000002</v>
      </c>
      <c r="H384" s="66">
        <f t="shared" si="73"/>
        <v>5.0670000000000002</v>
      </c>
      <c r="I384" s="65">
        <v>32</v>
      </c>
      <c r="J384" s="80">
        <f t="shared" ref="J384:J385" si="76">ROUND(H384*I384,2)</f>
        <v>162.13999999999999</v>
      </c>
      <c r="K384" s="80">
        <f t="shared" si="74"/>
        <v>38.25</v>
      </c>
      <c r="L384" s="80">
        <f t="shared" si="75"/>
        <v>200.39</v>
      </c>
    </row>
    <row r="385" spans="1:12" ht="27.6" x14ac:dyDescent="0.3">
      <c r="B385" s="201">
        <v>4</v>
      </c>
      <c r="C385" s="25" t="s">
        <v>34</v>
      </c>
      <c r="D385" s="175" t="s">
        <v>63</v>
      </c>
      <c r="E385" s="177"/>
      <c r="F385" s="17" t="s">
        <v>90</v>
      </c>
      <c r="G385" s="178">
        <v>7.726</v>
      </c>
      <c r="H385" s="66">
        <f t="shared" si="73"/>
        <v>5.7949999999999999</v>
      </c>
      <c r="I385" s="65">
        <v>14.5</v>
      </c>
      <c r="J385" s="80">
        <f t="shared" si="76"/>
        <v>84.03</v>
      </c>
      <c r="K385" s="80">
        <f t="shared" si="74"/>
        <v>19.82</v>
      </c>
      <c r="L385" s="80">
        <f t="shared" si="75"/>
        <v>103.85</v>
      </c>
    </row>
    <row r="386" spans="1:12" x14ac:dyDescent="0.3">
      <c r="C386" s="143" t="s">
        <v>10</v>
      </c>
      <c r="D386" s="146"/>
      <c r="E386" s="63"/>
      <c r="F386" s="17"/>
      <c r="G386" s="5"/>
      <c r="H386" s="5"/>
      <c r="I386" s="16">
        <f>SUM(I382:I385)</f>
        <v>217.5</v>
      </c>
      <c r="J386" s="27">
        <f>SUM(J382:J385)</f>
        <v>1091.51</v>
      </c>
      <c r="K386" s="27">
        <f>SUM(K382:K385)</f>
        <v>257.48</v>
      </c>
      <c r="L386" s="27">
        <f>ROUND(SUM(L382:L385),2)</f>
        <v>1348.99</v>
      </c>
    </row>
    <row r="387" spans="1:12" x14ac:dyDescent="0.3">
      <c r="A387" s="8" t="s">
        <v>95</v>
      </c>
      <c r="B387" s="70" t="s">
        <v>226</v>
      </c>
      <c r="C387" s="139"/>
      <c r="D387" s="144"/>
      <c r="E387" s="74"/>
      <c r="F387" s="20"/>
      <c r="G387" s="6"/>
      <c r="H387" s="6"/>
      <c r="I387" s="19"/>
      <c r="J387" s="46"/>
      <c r="K387" s="46"/>
      <c r="L387" s="47"/>
    </row>
    <row r="388" spans="1:12" ht="24" x14ac:dyDescent="0.3">
      <c r="B388" s="201">
        <v>1</v>
      </c>
      <c r="C388" s="25" t="s">
        <v>34</v>
      </c>
      <c r="D388" s="147" t="s">
        <v>7</v>
      </c>
      <c r="E388" s="67" t="s">
        <v>227</v>
      </c>
      <c r="F388" s="66">
        <v>1100</v>
      </c>
      <c r="G388" s="65">
        <v>6.55</v>
      </c>
      <c r="H388" s="65">
        <v>4.91</v>
      </c>
      <c r="I388" s="72">
        <v>83</v>
      </c>
      <c r="J388" s="77">
        <f>I388*H388</f>
        <v>407.53000000000003</v>
      </c>
      <c r="K388" s="77">
        <v>96.14</v>
      </c>
      <c r="L388" s="80">
        <f>K388+J388</f>
        <v>503.67</v>
      </c>
    </row>
    <row r="389" spans="1:12" ht="24" x14ac:dyDescent="0.3">
      <c r="B389" s="201">
        <v>2</v>
      </c>
      <c r="C389" s="25" t="s">
        <v>34</v>
      </c>
      <c r="D389" s="147" t="s">
        <v>8</v>
      </c>
      <c r="E389" s="67" t="s">
        <v>227</v>
      </c>
      <c r="F389" s="66">
        <v>1040</v>
      </c>
      <c r="G389" s="65">
        <v>6.19</v>
      </c>
      <c r="H389" s="66">
        <f t="shared" ref="H389:H399" si="77">G389*0.75</f>
        <v>4.6425000000000001</v>
      </c>
      <c r="I389" s="72">
        <v>71.5</v>
      </c>
      <c r="J389" s="77">
        <v>331.76</v>
      </c>
      <c r="K389" s="77">
        <v>78.260000000000005</v>
      </c>
      <c r="L389" s="80">
        <f t="shared" ref="L389:L401" si="78">K389+J389</f>
        <v>410.02</v>
      </c>
    </row>
    <row r="390" spans="1:12" ht="24" x14ac:dyDescent="0.3">
      <c r="B390" s="201">
        <v>3</v>
      </c>
      <c r="C390" s="25" t="s">
        <v>34</v>
      </c>
      <c r="D390" s="147" t="s">
        <v>8</v>
      </c>
      <c r="E390" s="67" t="s">
        <v>227</v>
      </c>
      <c r="F390" s="66">
        <v>1040</v>
      </c>
      <c r="G390" s="65">
        <v>6.19</v>
      </c>
      <c r="H390" s="66">
        <f t="shared" si="77"/>
        <v>4.6425000000000001</v>
      </c>
      <c r="I390" s="72">
        <v>79.5</v>
      </c>
      <c r="J390" s="77">
        <v>368.88</v>
      </c>
      <c r="K390" s="77">
        <v>87.02</v>
      </c>
      <c r="L390" s="80">
        <f t="shared" si="78"/>
        <v>455.9</v>
      </c>
    </row>
    <row r="391" spans="1:12" ht="24" x14ac:dyDescent="0.3">
      <c r="B391" s="201">
        <v>4</v>
      </c>
      <c r="C391" s="25" t="s">
        <v>34</v>
      </c>
      <c r="D391" s="147" t="s">
        <v>8</v>
      </c>
      <c r="E391" s="67" t="s">
        <v>227</v>
      </c>
      <c r="F391" s="66">
        <v>1040</v>
      </c>
      <c r="G391" s="65">
        <v>6.19</v>
      </c>
      <c r="H391" s="66">
        <f t="shared" si="77"/>
        <v>4.6425000000000001</v>
      </c>
      <c r="I391" s="72">
        <v>37</v>
      </c>
      <c r="J391" s="77">
        <v>171.68</v>
      </c>
      <c r="K391" s="80">
        <v>40.5</v>
      </c>
      <c r="L391" s="77">
        <f t="shared" si="78"/>
        <v>212.18</v>
      </c>
    </row>
    <row r="392" spans="1:12" ht="24" x14ac:dyDescent="0.3">
      <c r="B392" s="201">
        <v>5</v>
      </c>
      <c r="C392" s="25" t="s">
        <v>34</v>
      </c>
      <c r="D392" s="147" t="s">
        <v>8</v>
      </c>
      <c r="E392" s="67" t="s">
        <v>227</v>
      </c>
      <c r="F392" s="66">
        <v>1040</v>
      </c>
      <c r="G392" s="65">
        <v>6.19</v>
      </c>
      <c r="H392" s="66">
        <f t="shared" si="77"/>
        <v>4.6425000000000001</v>
      </c>
      <c r="I392" s="72">
        <v>59</v>
      </c>
      <c r="J392" s="77">
        <v>273.76</v>
      </c>
      <c r="K392" s="80">
        <f t="shared" ref="K392" si="79">J392*23.59%</f>
        <v>64.579983999999996</v>
      </c>
      <c r="L392" s="77">
        <v>338.34</v>
      </c>
    </row>
    <row r="393" spans="1:12" ht="24" x14ac:dyDescent="0.3">
      <c r="B393" s="201">
        <v>6</v>
      </c>
      <c r="C393" s="25" t="s">
        <v>34</v>
      </c>
      <c r="D393" s="147" t="s">
        <v>7</v>
      </c>
      <c r="E393" s="67" t="s">
        <v>227</v>
      </c>
      <c r="F393" s="66">
        <v>1100</v>
      </c>
      <c r="G393" s="65">
        <v>6.55</v>
      </c>
      <c r="H393" s="66">
        <f t="shared" si="77"/>
        <v>4.9124999999999996</v>
      </c>
      <c r="I393" s="72">
        <v>59.5</v>
      </c>
      <c r="J393" s="77">
        <v>292.14999999999998</v>
      </c>
      <c r="K393" s="77">
        <v>68.92</v>
      </c>
      <c r="L393" s="77">
        <f t="shared" si="78"/>
        <v>361.07</v>
      </c>
    </row>
    <row r="394" spans="1:12" ht="24" x14ac:dyDescent="0.3">
      <c r="B394" s="201">
        <v>7</v>
      </c>
      <c r="C394" s="25" t="s">
        <v>34</v>
      </c>
      <c r="D394" s="147" t="s">
        <v>8</v>
      </c>
      <c r="E394" s="67" t="s">
        <v>227</v>
      </c>
      <c r="F394" s="66">
        <v>1040</v>
      </c>
      <c r="G394" s="65">
        <v>6.19</v>
      </c>
      <c r="H394" s="66">
        <f t="shared" si="77"/>
        <v>4.6425000000000001</v>
      </c>
      <c r="I394" s="72">
        <v>53.5</v>
      </c>
      <c r="J394" s="77">
        <v>248.24</v>
      </c>
      <c r="K394" s="77">
        <v>58.56</v>
      </c>
      <c r="L394" s="80">
        <f t="shared" si="78"/>
        <v>306.8</v>
      </c>
    </row>
    <row r="395" spans="1:12" ht="24" x14ac:dyDescent="0.3">
      <c r="B395" s="201">
        <v>8</v>
      </c>
      <c r="C395" s="25" t="s">
        <v>34</v>
      </c>
      <c r="D395" s="147" t="s">
        <v>8</v>
      </c>
      <c r="E395" s="67" t="s">
        <v>227</v>
      </c>
      <c r="F395" s="66">
        <v>1040</v>
      </c>
      <c r="G395" s="65">
        <v>6.19</v>
      </c>
      <c r="H395" s="66">
        <f t="shared" si="77"/>
        <v>4.6425000000000001</v>
      </c>
      <c r="I395" s="72">
        <v>37.5</v>
      </c>
      <c r="J395" s="80">
        <v>174</v>
      </c>
      <c r="K395" s="77">
        <v>41.05</v>
      </c>
      <c r="L395" s="77">
        <f t="shared" si="78"/>
        <v>215.05</v>
      </c>
    </row>
    <row r="396" spans="1:12" ht="24" x14ac:dyDescent="0.3">
      <c r="B396" s="201">
        <v>9</v>
      </c>
      <c r="C396" s="25" t="s">
        <v>34</v>
      </c>
      <c r="D396" s="147" t="s">
        <v>7</v>
      </c>
      <c r="E396" s="67" t="s">
        <v>227</v>
      </c>
      <c r="F396" s="66">
        <v>1100</v>
      </c>
      <c r="G396" s="65">
        <v>6.55</v>
      </c>
      <c r="H396" s="66">
        <f t="shared" si="77"/>
        <v>4.9124999999999996</v>
      </c>
      <c r="I396" s="72">
        <v>111</v>
      </c>
      <c r="J396" s="77">
        <v>545.01</v>
      </c>
      <c r="K396" s="77">
        <v>128.57</v>
      </c>
      <c r="L396" s="77">
        <f t="shared" si="78"/>
        <v>673.57999999999993</v>
      </c>
    </row>
    <row r="397" spans="1:12" ht="24" x14ac:dyDescent="0.3">
      <c r="B397" s="201">
        <v>10</v>
      </c>
      <c r="C397" s="25" t="s">
        <v>34</v>
      </c>
      <c r="D397" s="147" t="s">
        <v>8</v>
      </c>
      <c r="E397" s="67" t="s">
        <v>227</v>
      </c>
      <c r="F397" s="66">
        <v>1040</v>
      </c>
      <c r="G397" s="65">
        <v>6.19</v>
      </c>
      <c r="H397" s="66">
        <f t="shared" si="77"/>
        <v>4.6425000000000001</v>
      </c>
      <c r="I397" s="72">
        <v>111</v>
      </c>
      <c r="J397" s="77">
        <v>515.04</v>
      </c>
      <c r="K397" s="77">
        <v>121.5</v>
      </c>
      <c r="L397" s="77">
        <f t="shared" si="78"/>
        <v>636.54</v>
      </c>
    </row>
    <row r="398" spans="1:12" ht="24" x14ac:dyDescent="0.3">
      <c r="B398" s="201">
        <v>11</v>
      </c>
      <c r="C398" s="25" t="s">
        <v>34</v>
      </c>
      <c r="D398" s="147" t="s">
        <v>8</v>
      </c>
      <c r="E398" s="67" t="s">
        <v>227</v>
      </c>
      <c r="F398" s="66">
        <v>1040</v>
      </c>
      <c r="G398" s="65">
        <v>6.19</v>
      </c>
      <c r="H398" s="66">
        <f t="shared" si="77"/>
        <v>4.6425000000000001</v>
      </c>
      <c r="I398" s="72">
        <v>95.5</v>
      </c>
      <c r="J398" s="77">
        <v>443.12</v>
      </c>
      <c r="K398" s="77">
        <v>104.53</v>
      </c>
      <c r="L398" s="77">
        <f t="shared" si="78"/>
        <v>547.65</v>
      </c>
    </row>
    <row r="399" spans="1:12" ht="24" x14ac:dyDescent="0.3">
      <c r="B399" s="201">
        <v>12</v>
      </c>
      <c r="C399" s="25" t="s">
        <v>34</v>
      </c>
      <c r="D399" s="147" t="s">
        <v>8</v>
      </c>
      <c r="E399" s="67" t="s">
        <v>227</v>
      </c>
      <c r="F399" s="66">
        <v>1040</v>
      </c>
      <c r="G399" s="65">
        <v>6.19</v>
      </c>
      <c r="H399" s="66">
        <f t="shared" si="77"/>
        <v>4.6425000000000001</v>
      </c>
      <c r="I399" s="72">
        <v>102</v>
      </c>
      <c r="J399" s="80">
        <v>473.28</v>
      </c>
      <c r="K399" s="77">
        <v>111.64</v>
      </c>
      <c r="L399" s="77">
        <f t="shared" si="78"/>
        <v>584.91999999999996</v>
      </c>
    </row>
    <row r="400" spans="1:12" ht="24" x14ac:dyDescent="0.3">
      <c r="B400" s="201">
        <v>13</v>
      </c>
      <c r="C400" s="25" t="s">
        <v>34</v>
      </c>
      <c r="D400" s="147" t="s">
        <v>8</v>
      </c>
      <c r="E400" s="67" t="s">
        <v>227</v>
      </c>
      <c r="F400" s="66">
        <v>1040</v>
      </c>
      <c r="G400" s="65">
        <v>6.19</v>
      </c>
      <c r="H400" s="65">
        <v>4.6399999999999997</v>
      </c>
      <c r="I400" s="179">
        <v>30</v>
      </c>
      <c r="J400" s="180">
        <v>139.19999999999999</v>
      </c>
      <c r="K400" s="77">
        <v>32.840000000000003</v>
      </c>
      <c r="L400" s="77">
        <f t="shared" si="78"/>
        <v>172.04</v>
      </c>
    </row>
    <row r="401" spans="1:12" ht="24" x14ac:dyDescent="0.3">
      <c r="B401" s="201">
        <v>14</v>
      </c>
      <c r="C401" s="25" t="s">
        <v>34</v>
      </c>
      <c r="D401" s="147" t="s">
        <v>7</v>
      </c>
      <c r="E401" s="67" t="s">
        <v>227</v>
      </c>
      <c r="F401" s="66">
        <v>1100</v>
      </c>
      <c r="G401" s="65">
        <v>6.55</v>
      </c>
      <c r="H401" s="65">
        <v>4.91</v>
      </c>
      <c r="I401" s="72">
        <v>20.5</v>
      </c>
      <c r="J401" s="77">
        <v>100.66</v>
      </c>
      <c r="K401" s="77">
        <v>23.74</v>
      </c>
      <c r="L401" s="80">
        <f t="shared" si="78"/>
        <v>124.39999999999999</v>
      </c>
    </row>
    <row r="402" spans="1:12" x14ac:dyDescent="0.3">
      <c r="C402" s="143" t="s">
        <v>10</v>
      </c>
      <c r="D402" s="146"/>
      <c r="E402" s="63"/>
      <c r="F402" s="17"/>
      <c r="G402" s="5"/>
      <c r="H402" s="5"/>
      <c r="I402" s="16">
        <f t="shared" ref="I402:J402" si="80">SUM(I388:I401)</f>
        <v>950.5</v>
      </c>
      <c r="J402" s="27">
        <f t="shared" si="80"/>
        <v>4484.3099999999995</v>
      </c>
      <c r="K402" s="27">
        <f>SUM(K388:K401)</f>
        <v>1057.8499839999999</v>
      </c>
      <c r="L402" s="27">
        <f>ROUND(SUM(L388:L401),2)</f>
        <v>5542.16</v>
      </c>
    </row>
    <row r="403" spans="1:12" x14ac:dyDescent="0.3">
      <c r="A403" s="8" t="s">
        <v>98</v>
      </c>
      <c r="B403" s="207" t="s">
        <v>96</v>
      </c>
      <c r="C403" s="139"/>
      <c r="D403" s="144"/>
      <c r="E403" s="74"/>
      <c r="F403" s="20"/>
      <c r="G403" s="6"/>
      <c r="H403" s="6"/>
      <c r="I403" s="19"/>
      <c r="J403" s="46"/>
      <c r="K403" s="46"/>
      <c r="L403" s="47"/>
    </row>
    <row r="404" spans="1:12" ht="250.8" customHeight="1" x14ac:dyDescent="0.3">
      <c r="B404" s="201">
        <v>1</v>
      </c>
      <c r="C404" s="141" t="s">
        <v>97</v>
      </c>
      <c r="D404" s="147" t="s">
        <v>25</v>
      </c>
      <c r="E404" s="101" t="s">
        <v>269</v>
      </c>
      <c r="F404" s="65">
        <v>751</v>
      </c>
      <c r="G404" s="66">
        <v>4.4856999999999996</v>
      </c>
      <c r="H404" s="181">
        <v>3.35</v>
      </c>
      <c r="I404" s="72">
        <v>14.05</v>
      </c>
      <c r="J404" s="80">
        <v>47.067</v>
      </c>
      <c r="K404" s="80">
        <f>J404*23.59%</f>
        <v>11.103105299999999</v>
      </c>
      <c r="L404" s="80">
        <f>SUM(J404:K404)</f>
        <v>58.170105300000003</v>
      </c>
    </row>
    <row r="405" spans="1:12" ht="183.6" x14ac:dyDescent="0.3">
      <c r="B405" s="201">
        <v>2</v>
      </c>
      <c r="C405" s="141" t="s">
        <v>97</v>
      </c>
      <c r="D405" s="147" t="s">
        <v>25</v>
      </c>
      <c r="E405" s="196" t="s">
        <v>270</v>
      </c>
      <c r="F405" s="65">
        <v>751</v>
      </c>
      <c r="G405" s="66">
        <v>4.4856999999999996</v>
      </c>
      <c r="H405" s="181">
        <v>3.35</v>
      </c>
      <c r="I405" s="72">
        <v>11.73</v>
      </c>
      <c r="J405" s="80">
        <v>39.305999999999997</v>
      </c>
      <c r="K405" s="80">
        <f t="shared" ref="K405:K415" si="81">J405*23.59%</f>
        <v>9.2722853999999995</v>
      </c>
      <c r="L405" s="80">
        <f t="shared" ref="L405:L415" si="82">SUM(J405:K405)</f>
        <v>48.578285399999999</v>
      </c>
    </row>
    <row r="406" spans="1:12" ht="148.80000000000001" customHeight="1" x14ac:dyDescent="0.3">
      <c r="B406" s="201">
        <v>3</v>
      </c>
      <c r="C406" s="141" t="s">
        <v>97</v>
      </c>
      <c r="D406" s="147" t="s">
        <v>27</v>
      </c>
      <c r="E406" s="102" t="s">
        <v>271</v>
      </c>
      <c r="F406" s="65">
        <v>715</v>
      </c>
      <c r="G406" s="66">
        <v>4.2706</v>
      </c>
      <c r="H406" s="66">
        <v>3.19</v>
      </c>
      <c r="I406" s="95">
        <v>8.98</v>
      </c>
      <c r="J406" s="96">
        <v>28.655999999999999</v>
      </c>
      <c r="K406" s="80">
        <f t="shared" si="81"/>
        <v>6.7599503999999992</v>
      </c>
      <c r="L406" s="80">
        <f t="shared" si="82"/>
        <v>35.4159504</v>
      </c>
    </row>
    <row r="407" spans="1:12" ht="169.8" customHeight="1" x14ac:dyDescent="0.3">
      <c r="B407" s="31">
        <v>4</v>
      </c>
      <c r="C407" s="141" t="s">
        <v>97</v>
      </c>
      <c r="D407" s="147" t="s">
        <v>25</v>
      </c>
      <c r="E407" s="197" t="s">
        <v>272</v>
      </c>
      <c r="F407" s="75">
        <v>751</v>
      </c>
      <c r="G407" s="104">
        <v>4.4856999999999996</v>
      </c>
      <c r="H407" s="181">
        <v>3.35</v>
      </c>
      <c r="I407" s="75">
        <v>6.38</v>
      </c>
      <c r="J407" s="105">
        <v>21.384</v>
      </c>
      <c r="K407" s="80">
        <f t="shared" si="81"/>
        <v>5.0444855999999998</v>
      </c>
      <c r="L407" s="80">
        <f t="shared" si="82"/>
        <v>26.428485600000002</v>
      </c>
    </row>
    <row r="408" spans="1:12" ht="163.19999999999999" x14ac:dyDescent="0.3">
      <c r="B408" s="201">
        <v>5</v>
      </c>
      <c r="C408" s="141" t="s">
        <v>97</v>
      </c>
      <c r="D408" s="152" t="s">
        <v>27</v>
      </c>
      <c r="E408" s="103" t="s">
        <v>273</v>
      </c>
      <c r="F408" s="75">
        <v>715</v>
      </c>
      <c r="G408" s="104">
        <v>4.2706</v>
      </c>
      <c r="H408" s="66">
        <v>3.19</v>
      </c>
      <c r="I408" s="75">
        <v>6.38</v>
      </c>
      <c r="J408" s="105">
        <v>20.361999999999998</v>
      </c>
      <c r="K408" s="80">
        <f t="shared" si="81"/>
        <v>4.8033957999999997</v>
      </c>
      <c r="L408" s="80">
        <f t="shared" si="82"/>
        <v>25.165395799999999</v>
      </c>
    </row>
    <row r="409" spans="1:12" ht="170.4" customHeight="1" x14ac:dyDescent="0.3">
      <c r="B409" s="201">
        <v>6</v>
      </c>
      <c r="C409" s="141" t="s">
        <v>97</v>
      </c>
      <c r="D409" s="141" t="s">
        <v>27</v>
      </c>
      <c r="E409" s="198" t="s">
        <v>274</v>
      </c>
      <c r="F409" s="72">
        <v>715</v>
      </c>
      <c r="G409" s="76">
        <v>4.2706</v>
      </c>
      <c r="H409" s="66">
        <v>3.19</v>
      </c>
      <c r="I409" s="75">
        <v>6.38</v>
      </c>
      <c r="J409" s="80">
        <v>20.361999999999998</v>
      </c>
      <c r="K409" s="80">
        <f t="shared" si="81"/>
        <v>4.8033957999999997</v>
      </c>
      <c r="L409" s="80">
        <f t="shared" si="82"/>
        <v>25.165395799999999</v>
      </c>
    </row>
    <row r="410" spans="1:12" ht="231" customHeight="1" x14ac:dyDescent="0.3">
      <c r="B410" s="201">
        <v>7</v>
      </c>
      <c r="C410" s="141" t="s">
        <v>97</v>
      </c>
      <c r="D410" s="147" t="s">
        <v>25</v>
      </c>
      <c r="E410" s="106" t="s">
        <v>275</v>
      </c>
      <c r="F410" s="72">
        <v>751</v>
      </c>
      <c r="G410" s="76">
        <v>4.4856999999999996</v>
      </c>
      <c r="H410" s="181">
        <v>3.35</v>
      </c>
      <c r="I410" s="72">
        <v>15.33</v>
      </c>
      <c r="J410" s="80">
        <v>51.36</v>
      </c>
      <c r="K410" s="80">
        <f t="shared" si="81"/>
        <v>12.115824</v>
      </c>
      <c r="L410" s="80">
        <f t="shared" si="82"/>
        <v>63.475824000000003</v>
      </c>
    </row>
    <row r="411" spans="1:12" ht="326.39999999999998" x14ac:dyDescent="0.3">
      <c r="B411" s="201">
        <v>8</v>
      </c>
      <c r="C411" s="141" t="s">
        <v>97</v>
      </c>
      <c r="D411" s="141" t="s">
        <v>27</v>
      </c>
      <c r="E411" s="106" t="s">
        <v>276</v>
      </c>
      <c r="F411" s="72">
        <v>715</v>
      </c>
      <c r="G411" s="76">
        <v>4.2706</v>
      </c>
      <c r="H411" s="66">
        <v>3.19</v>
      </c>
      <c r="I411" s="72">
        <v>18.829999999999998</v>
      </c>
      <c r="J411" s="80">
        <v>60.078000000000003</v>
      </c>
      <c r="K411" s="80">
        <f t="shared" si="81"/>
        <v>14.1724002</v>
      </c>
      <c r="L411" s="80">
        <f t="shared" si="82"/>
        <v>74.250400200000001</v>
      </c>
    </row>
    <row r="412" spans="1:12" ht="348" customHeight="1" x14ac:dyDescent="0.3">
      <c r="B412" s="201">
        <v>9</v>
      </c>
      <c r="C412" s="141" t="s">
        <v>97</v>
      </c>
      <c r="D412" s="141" t="s">
        <v>27</v>
      </c>
      <c r="E412" s="106" t="s">
        <v>277</v>
      </c>
      <c r="F412" s="72">
        <v>715</v>
      </c>
      <c r="G412" s="76">
        <v>4.2706</v>
      </c>
      <c r="H412" s="66">
        <v>3.19</v>
      </c>
      <c r="I412" s="72">
        <v>18.829999999999998</v>
      </c>
      <c r="J412" s="80">
        <v>60.08</v>
      </c>
      <c r="K412" s="80">
        <f t="shared" si="81"/>
        <v>14.172872</v>
      </c>
      <c r="L412" s="80">
        <f t="shared" si="82"/>
        <v>74.252871999999996</v>
      </c>
    </row>
    <row r="413" spans="1:12" ht="244.8" x14ac:dyDescent="0.3">
      <c r="B413" s="201">
        <v>10</v>
      </c>
      <c r="C413" s="141" t="s">
        <v>97</v>
      </c>
      <c r="D413" s="147" t="s">
        <v>25</v>
      </c>
      <c r="E413" s="106" t="s">
        <v>278</v>
      </c>
      <c r="F413" s="72">
        <v>751</v>
      </c>
      <c r="G413" s="76">
        <v>4.4856999999999996</v>
      </c>
      <c r="H413" s="181">
        <v>3.35</v>
      </c>
      <c r="I413" s="72">
        <v>12.33</v>
      </c>
      <c r="J413" s="80">
        <v>41.316000000000003</v>
      </c>
      <c r="K413" s="80">
        <f t="shared" si="81"/>
        <v>9.7464443999999997</v>
      </c>
      <c r="L413" s="80">
        <f t="shared" si="82"/>
        <v>51.062444400000004</v>
      </c>
    </row>
    <row r="414" spans="1:12" ht="244.8" x14ac:dyDescent="0.3">
      <c r="B414" s="201">
        <v>11</v>
      </c>
      <c r="C414" s="141" t="s">
        <v>97</v>
      </c>
      <c r="D414" s="141" t="s">
        <v>27</v>
      </c>
      <c r="E414" s="106" t="s">
        <v>279</v>
      </c>
      <c r="F414" s="72">
        <v>715</v>
      </c>
      <c r="G414" s="76">
        <v>4.2706</v>
      </c>
      <c r="H414" s="66">
        <v>3.19</v>
      </c>
      <c r="I414" s="72">
        <v>12.33</v>
      </c>
      <c r="J414" s="80">
        <v>39.343000000000004</v>
      </c>
      <c r="K414" s="80">
        <f t="shared" si="81"/>
        <v>9.2810137000000008</v>
      </c>
      <c r="L414" s="80">
        <f t="shared" si="82"/>
        <v>48.624013700000006</v>
      </c>
    </row>
    <row r="415" spans="1:12" ht="241.2" customHeight="1" x14ac:dyDescent="0.3">
      <c r="B415" s="201">
        <v>12</v>
      </c>
      <c r="C415" s="141" t="s">
        <v>97</v>
      </c>
      <c r="D415" s="141" t="s">
        <v>27</v>
      </c>
      <c r="E415" s="106" t="s">
        <v>280</v>
      </c>
      <c r="F415" s="72">
        <v>715</v>
      </c>
      <c r="G415" s="76">
        <v>4.2706</v>
      </c>
      <c r="H415" s="66">
        <v>3.19</v>
      </c>
      <c r="I415" s="72">
        <v>10.83</v>
      </c>
      <c r="J415" s="80">
        <v>34.558</v>
      </c>
      <c r="K415" s="80">
        <f t="shared" si="81"/>
        <v>8.1522322000000003</v>
      </c>
      <c r="L415" s="80">
        <f t="shared" si="82"/>
        <v>42.7102322</v>
      </c>
    </row>
    <row r="416" spans="1:12" x14ac:dyDescent="0.3">
      <c r="C416" s="168" t="s">
        <v>10</v>
      </c>
      <c r="D416" s="25"/>
      <c r="E416" s="23"/>
      <c r="F416" s="26"/>
      <c r="G416" s="9"/>
      <c r="H416" s="9"/>
      <c r="I416" s="16">
        <f>SUM(I404:I415)</f>
        <v>142.38000000000002</v>
      </c>
      <c r="J416" s="27">
        <f>SUM(J404:J415)</f>
        <v>463.87200000000001</v>
      </c>
      <c r="K416" s="27">
        <f>SUM(K404:K415)</f>
        <v>109.42740479999999</v>
      </c>
      <c r="L416" s="27">
        <f>ROUND(SUM(L404:L415),2)</f>
        <v>573.29999999999995</v>
      </c>
    </row>
    <row r="417" spans="1:12" ht="96.6" x14ac:dyDescent="0.3">
      <c r="A417" s="8" t="s">
        <v>100</v>
      </c>
      <c r="B417" s="208" t="s">
        <v>125</v>
      </c>
      <c r="C417" s="182"/>
      <c r="D417" s="182"/>
      <c r="E417" s="107"/>
      <c r="F417" s="108" t="s">
        <v>2</v>
      </c>
      <c r="G417" s="109" t="s">
        <v>3</v>
      </c>
      <c r="H417" s="109" t="s">
        <v>126</v>
      </c>
      <c r="I417" s="110" t="s">
        <v>4</v>
      </c>
      <c r="J417" s="111" t="s">
        <v>5</v>
      </c>
      <c r="K417" s="111" t="s">
        <v>6</v>
      </c>
      <c r="L417" s="111" t="s">
        <v>153</v>
      </c>
    </row>
    <row r="418" spans="1:12" ht="27.6" customHeight="1" x14ac:dyDescent="0.3">
      <c r="B418" s="201">
        <v>1</v>
      </c>
      <c r="C418" s="152" t="s">
        <v>125</v>
      </c>
      <c r="D418" s="160" t="s">
        <v>20</v>
      </c>
      <c r="E418" s="193" t="s">
        <v>127</v>
      </c>
      <c r="F418" s="65">
        <v>1917</v>
      </c>
      <c r="G418" s="66">
        <f>F418/167.42</f>
        <v>11.450244893083264</v>
      </c>
      <c r="H418" s="72">
        <v>15.5</v>
      </c>
      <c r="I418" s="18">
        <v>128</v>
      </c>
      <c r="J418" s="80">
        <v>226.39</v>
      </c>
      <c r="K418" s="80">
        <f t="shared" ref="K418:K437" si="83">J418*0.2359</f>
        <v>53.405400999999998</v>
      </c>
      <c r="L418" s="80">
        <f>J418*1.2359</f>
        <v>279.79540099999997</v>
      </c>
    </row>
    <row r="419" spans="1:12" ht="27.6" x14ac:dyDescent="0.3">
      <c r="B419" s="201">
        <v>2</v>
      </c>
      <c r="C419" s="152" t="s">
        <v>125</v>
      </c>
      <c r="D419" s="160" t="s">
        <v>19</v>
      </c>
      <c r="E419" s="194"/>
      <c r="F419" s="65">
        <v>1550</v>
      </c>
      <c r="G419" s="66">
        <f t="shared" ref="G419:G423" si="84">F419/167.42</f>
        <v>9.2581531477720702</v>
      </c>
      <c r="H419" s="72">
        <v>20</v>
      </c>
      <c r="I419" s="18">
        <v>168</v>
      </c>
      <c r="J419" s="80">
        <f>F419*(H419/100)</f>
        <v>310</v>
      </c>
      <c r="K419" s="80">
        <f t="shared" si="83"/>
        <v>73.129000000000005</v>
      </c>
      <c r="L419" s="80">
        <f t="shared" ref="L419:L421" si="85">J419*1.2359</f>
        <v>383.12900000000002</v>
      </c>
    </row>
    <row r="420" spans="1:12" ht="27.6" x14ac:dyDescent="0.3">
      <c r="B420" s="201">
        <v>3</v>
      </c>
      <c r="C420" s="152" t="s">
        <v>125</v>
      </c>
      <c r="D420" s="140" t="s">
        <v>141</v>
      </c>
      <c r="E420" s="194"/>
      <c r="F420" s="95">
        <v>1350</v>
      </c>
      <c r="G420" s="73">
        <f>1350/167.42</f>
        <v>8.063552741607932</v>
      </c>
      <c r="H420" s="95">
        <v>20</v>
      </c>
      <c r="I420" s="95">
        <v>168</v>
      </c>
      <c r="J420" s="80">
        <f>F420*(H420/100)</f>
        <v>270</v>
      </c>
      <c r="K420" s="96">
        <f t="shared" si="83"/>
        <v>63.692999999999998</v>
      </c>
      <c r="L420" s="96">
        <f>J420*1.2359</f>
        <v>333.69299999999998</v>
      </c>
    </row>
    <row r="421" spans="1:12" ht="27.6" x14ac:dyDescent="0.3">
      <c r="B421" s="201">
        <v>4</v>
      </c>
      <c r="C421" s="152" t="s">
        <v>125</v>
      </c>
      <c r="D421" s="140" t="s">
        <v>228</v>
      </c>
      <c r="E421" s="194"/>
      <c r="F421" s="95">
        <v>1350</v>
      </c>
      <c r="G421" s="73">
        <f t="shared" si="84"/>
        <v>8.063552741607932</v>
      </c>
      <c r="H421" s="95">
        <v>18.5</v>
      </c>
      <c r="I421" s="95">
        <v>150</v>
      </c>
      <c r="J421" s="96">
        <v>225.96</v>
      </c>
      <c r="K421" s="96">
        <f t="shared" si="83"/>
        <v>53.303964000000001</v>
      </c>
      <c r="L421" s="96">
        <f t="shared" si="85"/>
        <v>279.26396399999999</v>
      </c>
    </row>
    <row r="422" spans="1:12" ht="27.6" x14ac:dyDescent="0.3">
      <c r="B422" s="201">
        <v>5</v>
      </c>
      <c r="C422" s="152" t="s">
        <v>125</v>
      </c>
      <c r="D422" s="140" t="s">
        <v>128</v>
      </c>
      <c r="E422" s="194"/>
      <c r="F422" s="95">
        <v>1036</v>
      </c>
      <c r="G422" s="73">
        <f t="shared" si="84"/>
        <v>6.1880301039302354</v>
      </c>
      <c r="H422" s="95">
        <v>20</v>
      </c>
      <c r="I422" s="95">
        <v>168</v>
      </c>
      <c r="J422" s="60">
        <f>F422*(H422/100)</f>
        <v>207.20000000000002</v>
      </c>
      <c r="K422" s="60">
        <f t="shared" si="83"/>
        <v>48.878480000000003</v>
      </c>
      <c r="L422" s="60">
        <f>J422+K422</f>
        <v>256.07848000000001</v>
      </c>
    </row>
    <row r="423" spans="1:12" ht="27.6" x14ac:dyDescent="0.3">
      <c r="B423" s="201">
        <v>6</v>
      </c>
      <c r="C423" s="152" t="s">
        <v>125</v>
      </c>
      <c r="D423" s="140" t="s">
        <v>128</v>
      </c>
      <c r="E423" s="194"/>
      <c r="F423" s="95">
        <v>984</v>
      </c>
      <c r="G423" s="73">
        <f t="shared" si="84"/>
        <v>5.8774339983275601</v>
      </c>
      <c r="H423" s="95">
        <v>19.5</v>
      </c>
      <c r="I423" s="95">
        <v>159</v>
      </c>
      <c r="J423" s="80">
        <f>F423*(H423/100)</f>
        <v>191.88</v>
      </c>
      <c r="K423" s="96">
        <f t="shared" si="83"/>
        <v>45.264491999999997</v>
      </c>
      <c r="L423" s="96">
        <f>J423+K423</f>
        <v>237.14449199999999</v>
      </c>
    </row>
    <row r="424" spans="1:12" ht="27.6" x14ac:dyDescent="0.3">
      <c r="B424" s="201">
        <v>7</v>
      </c>
      <c r="C424" s="152" t="s">
        <v>125</v>
      </c>
      <c r="D424" s="140" t="s">
        <v>129</v>
      </c>
      <c r="E424" s="194"/>
      <c r="F424" s="95">
        <v>1039</v>
      </c>
      <c r="G424" s="73">
        <v>6.4995000000000003</v>
      </c>
      <c r="H424" s="95">
        <v>54.5</v>
      </c>
      <c r="I424" s="95">
        <v>148</v>
      </c>
      <c r="J424" s="96">
        <v>595.69000000000005</v>
      </c>
      <c r="K424" s="96">
        <f t="shared" si="83"/>
        <v>140.52327100000002</v>
      </c>
      <c r="L424" s="96">
        <f t="shared" ref="L424:L437" si="86">J424*1.2359</f>
        <v>736.21327100000008</v>
      </c>
    </row>
    <row r="425" spans="1:12" ht="27.6" x14ac:dyDescent="0.3">
      <c r="B425" s="201">
        <v>8</v>
      </c>
      <c r="C425" s="152" t="s">
        <v>125</v>
      </c>
      <c r="D425" s="140" t="s">
        <v>8</v>
      </c>
      <c r="E425" s="194"/>
      <c r="F425" s="95">
        <v>996</v>
      </c>
      <c r="G425" s="73">
        <v>5.9226999999999999</v>
      </c>
      <c r="H425" s="95">
        <v>60</v>
      </c>
      <c r="I425" s="95">
        <v>192</v>
      </c>
      <c r="J425" s="80">
        <f>F425*(H425/100)</f>
        <v>597.6</v>
      </c>
      <c r="K425" s="96">
        <f t="shared" si="83"/>
        <v>140.97384</v>
      </c>
      <c r="L425" s="96">
        <f t="shared" si="86"/>
        <v>738.57384000000002</v>
      </c>
    </row>
    <row r="426" spans="1:12" ht="27.6" x14ac:dyDescent="0.3">
      <c r="B426" s="201">
        <v>9</v>
      </c>
      <c r="C426" s="152" t="s">
        <v>125</v>
      </c>
      <c r="D426" s="140" t="s">
        <v>130</v>
      </c>
      <c r="E426" s="194"/>
      <c r="F426" s="95">
        <v>1093</v>
      </c>
      <c r="G426" s="73">
        <v>6.4995000000000003</v>
      </c>
      <c r="H426" s="95">
        <v>60.5</v>
      </c>
      <c r="I426" s="95">
        <v>148.5</v>
      </c>
      <c r="J426" s="60">
        <f t="shared" ref="J426:J436" si="87">F426*(H426/100)</f>
        <v>661.26499999999999</v>
      </c>
      <c r="K426" s="60">
        <f t="shared" si="83"/>
        <v>155.9924135</v>
      </c>
      <c r="L426" s="60">
        <f t="shared" si="86"/>
        <v>817.25741349999998</v>
      </c>
    </row>
    <row r="427" spans="1:12" ht="27.6" x14ac:dyDescent="0.3">
      <c r="B427" s="201">
        <v>10</v>
      </c>
      <c r="C427" s="152" t="s">
        <v>125</v>
      </c>
      <c r="D427" s="140" t="s">
        <v>129</v>
      </c>
      <c r="E427" s="194"/>
      <c r="F427" s="95">
        <v>996</v>
      </c>
      <c r="G427" s="73">
        <v>5.9226999999999999</v>
      </c>
      <c r="H427" s="95">
        <v>56</v>
      </c>
      <c r="I427" s="95">
        <v>131.5</v>
      </c>
      <c r="J427" s="80">
        <f t="shared" si="87"/>
        <v>557.7600000000001</v>
      </c>
      <c r="K427" s="96">
        <f t="shared" si="83"/>
        <v>131.57558400000002</v>
      </c>
      <c r="L427" s="96">
        <f t="shared" si="86"/>
        <v>689.33558400000015</v>
      </c>
    </row>
    <row r="428" spans="1:12" ht="27.6" x14ac:dyDescent="0.3">
      <c r="B428" s="201">
        <v>11</v>
      </c>
      <c r="C428" s="152" t="s">
        <v>125</v>
      </c>
      <c r="D428" s="140" t="s">
        <v>130</v>
      </c>
      <c r="E428" s="194"/>
      <c r="F428" s="95">
        <v>1093</v>
      </c>
      <c r="G428" s="73">
        <v>6.4995000000000003</v>
      </c>
      <c r="H428" s="95">
        <v>58</v>
      </c>
      <c r="I428" s="95">
        <v>171</v>
      </c>
      <c r="J428" s="80">
        <f t="shared" si="87"/>
        <v>633.93999999999994</v>
      </c>
      <c r="K428" s="96">
        <f t="shared" si="83"/>
        <v>149.54644599999997</v>
      </c>
      <c r="L428" s="96">
        <f t="shared" si="86"/>
        <v>783.48644599999989</v>
      </c>
    </row>
    <row r="429" spans="1:12" ht="27.6" x14ac:dyDescent="0.3">
      <c r="B429" s="201">
        <v>12</v>
      </c>
      <c r="C429" s="152" t="s">
        <v>125</v>
      </c>
      <c r="D429" s="140" t="s">
        <v>129</v>
      </c>
      <c r="E429" s="194"/>
      <c r="F429" s="95">
        <v>946.2</v>
      </c>
      <c r="G429" s="73">
        <v>5.6265999999999998</v>
      </c>
      <c r="H429" s="95">
        <v>60</v>
      </c>
      <c r="I429" s="95">
        <v>183.5</v>
      </c>
      <c r="J429" s="80">
        <f t="shared" si="87"/>
        <v>567.72</v>
      </c>
      <c r="K429" s="96">
        <f t="shared" si="83"/>
        <v>133.92514800000001</v>
      </c>
      <c r="L429" s="96">
        <f t="shared" si="86"/>
        <v>701.64514800000006</v>
      </c>
    </row>
    <row r="430" spans="1:12" ht="27.6" x14ac:dyDescent="0.3">
      <c r="B430" s="201">
        <v>13</v>
      </c>
      <c r="C430" s="152" t="s">
        <v>125</v>
      </c>
      <c r="D430" s="140" t="s">
        <v>154</v>
      </c>
      <c r="E430" s="194"/>
      <c r="F430" s="95">
        <v>1038.3499999999999</v>
      </c>
      <c r="G430" s="73">
        <v>6.2020999999999997</v>
      </c>
      <c r="H430" s="95">
        <v>50.5</v>
      </c>
      <c r="I430" s="95">
        <v>148.5</v>
      </c>
      <c r="J430" s="80">
        <f t="shared" si="87"/>
        <v>524.36674999999991</v>
      </c>
      <c r="K430" s="96">
        <f t="shared" si="83"/>
        <v>123.69811632499997</v>
      </c>
      <c r="L430" s="96">
        <f t="shared" si="86"/>
        <v>648.06486632499991</v>
      </c>
    </row>
    <row r="431" spans="1:12" ht="27.6" x14ac:dyDescent="0.3">
      <c r="B431" s="201">
        <v>14</v>
      </c>
      <c r="C431" s="152" t="s">
        <v>125</v>
      </c>
      <c r="D431" s="140" t="s">
        <v>7</v>
      </c>
      <c r="E431" s="194"/>
      <c r="F431" s="95">
        <v>1093</v>
      </c>
      <c r="G431" s="73">
        <v>6.5279999999999996</v>
      </c>
      <c r="H431" s="95">
        <v>60</v>
      </c>
      <c r="I431" s="95">
        <v>168</v>
      </c>
      <c r="J431" s="80">
        <f t="shared" si="87"/>
        <v>655.8</v>
      </c>
      <c r="K431" s="96">
        <f t="shared" si="83"/>
        <v>154.70321999999999</v>
      </c>
      <c r="L431" s="96">
        <f t="shared" si="86"/>
        <v>810.50321999999994</v>
      </c>
    </row>
    <row r="432" spans="1:12" ht="27.6" x14ac:dyDescent="0.3">
      <c r="B432" s="201">
        <v>15</v>
      </c>
      <c r="C432" s="152" t="s">
        <v>125</v>
      </c>
      <c r="D432" s="140" t="s">
        <v>7</v>
      </c>
      <c r="E432" s="194"/>
      <c r="F432" s="95">
        <v>1093</v>
      </c>
      <c r="G432" s="73">
        <v>6.5279999999999996</v>
      </c>
      <c r="H432" s="95">
        <v>68</v>
      </c>
      <c r="I432" s="95">
        <v>213.5</v>
      </c>
      <c r="J432" s="80">
        <f t="shared" si="87"/>
        <v>743.24</v>
      </c>
      <c r="K432" s="96">
        <f t="shared" si="83"/>
        <v>175.33031600000001</v>
      </c>
      <c r="L432" s="96">
        <f t="shared" si="86"/>
        <v>918.57031600000005</v>
      </c>
    </row>
    <row r="433" spans="1:12" ht="27.6" x14ac:dyDescent="0.3">
      <c r="B433" s="201">
        <v>16</v>
      </c>
      <c r="C433" s="152" t="s">
        <v>125</v>
      </c>
      <c r="D433" s="140" t="s">
        <v>8</v>
      </c>
      <c r="E433" s="194"/>
      <c r="F433" s="95">
        <v>996</v>
      </c>
      <c r="G433" s="73">
        <v>5.9489999999999998</v>
      </c>
      <c r="H433" s="95">
        <v>66</v>
      </c>
      <c r="I433" s="95">
        <v>172</v>
      </c>
      <c r="J433" s="80">
        <f t="shared" si="87"/>
        <v>657.36</v>
      </c>
      <c r="K433" s="96">
        <f t="shared" si="83"/>
        <v>155.071224</v>
      </c>
      <c r="L433" s="96">
        <f t="shared" si="86"/>
        <v>812.43122400000004</v>
      </c>
    </row>
    <row r="434" spans="1:12" ht="27.6" x14ac:dyDescent="0.3">
      <c r="B434" s="201">
        <v>17</v>
      </c>
      <c r="C434" s="152" t="s">
        <v>125</v>
      </c>
      <c r="D434" s="140" t="s">
        <v>229</v>
      </c>
      <c r="E434" s="194"/>
      <c r="F434" s="95">
        <v>996</v>
      </c>
      <c r="G434" s="73">
        <v>5.9489999999999998</v>
      </c>
      <c r="H434" s="95">
        <v>52</v>
      </c>
      <c r="I434" s="95">
        <v>144</v>
      </c>
      <c r="J434" s="80">
        <f>F434*(H434/100)</f>
        <v>517.92000000000007</v>
      </c>
      <c r="K434" s="96">
        <f t="shared" si="83"/>
        <v>122.17732800000002</v>
      </c>
      <c r="L434" s="96">
        <f t="shared" si="86"/>
        <v>640.09732800000006</v>
      </c>
    </row>
    <row r="435" spans="1:12" ht="27.6" x14ac:dyDescent="0.3">
      <c r="B435" s="201">
        <v>18</v>
      </c>
      <c r="C435" s="152" t="s">
        <v>125</v>
      </c>
      <c r="D435" s="140" t="s">
        <v>8</v>
      </c>
      <c r="E435" s="194"/>
      <c r="F435" s="95">
        <v>996</v>
      </c>
      <c r="G435" s="73">
        <f>F435/167.42</f>
        <v>5.9491100226974085</v>
      </c>
      <c r="H435" s="95">
        <v>51</v>
      </c>
      <c r="I435" s="95">
        <v>139.5</v>
      </c>
      <c r="J435" s="80">
        <f t="shared" si="87"/>
        <v>507.96000000000004</v>
      </c>
      <c r="K435" s="96">
        <f t="shared" si="83"/>
        <v>119.827764</v>
      </c>
      <c r="L435" s="96">
        <f t="shared" si="86"/>
        <v>627.78776400000004</v>
      </c>
    </row>
    <row r="436" spans="1:12" ht="27.6" x14ac:dyDescent="0.3">
      <c r="B436" s="201">
        <v>19</v>
      </c>
      <c r="C436" s="152" t="s">
        <v>125</v>
      </c>
      <c r="D436" s="140" t="s">
        <v>7</v>
      </c>
      <c r="E436" s="194"/>
      <c r="F436" s="95">
        <v>1093</v>
      </c>
      <c r="G436" s="73">
        <v>6.5279999999999996</v>
      </c>
      <c r="H436" s="95">
        <v>60</v>
      </c>
      <c r="I436" s="95">
        <v>176</v>
      </c>
      <c r="J436" s="80">
        <f t="shared" si="87"/>
        <v>655.8</v>
      </c>
      <c r="K436" s="96">
        <f t="shared" si="83"/>
        <v>154.70321999999999</v>
      </c>
      <c r="L436" s="96">
        <f t="shared" si="86"/>
        <v>810.50321999999994</v>
      </c>
    </row>
    <row r="437" spans="1:12" ht="27.6" x14ac:dyDescent="0.3">
      <c r="B437" s="201">
        <v>20</v>
      </c>
      <c r="C437" s="152" t="s">
        <v>125</v>
      </c>
      <c r="D437" s="160" t="s">
        <v>8</v>
      </c>
      <c r="E437" s="195"/>
      <c r="F437" s="65">
        <v>946.2</v>
      </c>
      <c r="G437" s="66">
        <v>5.66</v>
      </c>
      <c r="H437" s="72">
        <v>43</v>
      </c>
      <c r="I437" s="18">
        <v>88</v>
      </c>
      <c r="J437" s="60">
        <v>373.56</v>
      </c>
      <c r="K437" s="80">
        <f t="shared" si="83"/>
        <v>88.122804000000002</v>
      </c>
      <c r="L437" s="80">
        <f t="shared" si="86"/>
        <v>461.68280399999998</v>
      </c>
    </row>
    <row r="438" spans="1:12" x14ac:dyDescent="0.3">
      <c r="C438" s="143" t="s">
        <v>10</v>
      </c>
      <c r="D438" s="183"/>
      <c r="E438" s="113"/>
      <c r="F438" s="114"/>
      <c r="G438" s="115"/>
      <c r="H438" s="116"/>
      <c r="I438" s="28">
        <f>SUM(I418:I437)</f>
        <v>3165</v>
      </c>
      <c r="J438" s="27">
        <f>SUM(J418:J437)</f>
        <v>9681.4117499999975</v>
      </c>
      <c r="K438" s="27">
        <f>SUM(K418:K437)</f>
        <v>2283.8450318250002</v>
      </c>
      <c r="L438" s="27">
        <f>ROUND(SUM(L418:L437),2)</f>
        <v>11965.26</v>
      </c>
    </row>
    <row r="439" spans="1:12" ht="46.2" customHeight="1" x14ac:dyDescent="0.3">
      <c r="C439" s="192" t="s">
        <v>155</v>
      </c>
      <c r="D439" s="191"/>
      <c r="E439" s="191"/>
      <c r="F439" s="191"/>
      <c r="G439" s="191"/>
      <c r="H439" s="191"/>
      <c r="I439" s="191"/>
      <c r="J439" s="191"/>
      <c r="K439" s="191"/>
      <c r="L439" s="191"/>
    </row>
    <row r="440" spans="1:12" x14ac:dyDescent="0.3">
      <c r="A440" s="8" t="s">
        <v>103</v>
      </c>
      <c r="B440" s="70" t="s">
        <v>99</v>
      </c>
      <c r="C440" s="139"/>
      <c r="D440" s="144"/>
      <c r="E440" s="74"/>
      <c r="F440" s="20"/>
      <c r="G440" s="6"/>
      <c r="H440" s="6"/>
      <c r="I440" s="19"/>
      <c r="J440" s="46"/>
      <c r="K440" s="46"/>
      <c r="L440" s="47"/>
    </row>
    <row r="441" spans="1:12" ht="60" x14ac:dyDescent="0.3">
      <c r="B441" s="201">
        <v>1</v>
      </c>
      <c r="C441" s="25" t="s">
        <v>99</v>
      </c>
      <c r="D441" s="147" t="s">
        <v>25</v>
      </c>
      <c r="E441" s="67" t="s">
        <v>230</v>
      </c>
      <c r="F441" s="17" t="s">
        <v>90</v>
      </c>
      <c r="G441" s="65">
        <v>5.33</v>
      </c>
      <c r="H441" s="65">
        <v>0.75</v>
      </c>
      <c r="I441" s="72">
        <v>22</v>
      </c>
      <c r="J441" s="77">
        <f t="shared" ref="J441:J447" si="88">ROUND(G441*H441*I441,2)</f>
        <v>87.95</v>
      </c>
      <c r="K441" s="77">
        <f t="shared" ref="K441:K447" si="89">ROUND(J441*0.2359,2)</f>
        <v>20.75</v>
      </c>
      <c r="L441" s="77">
        <f t="shared" ref="L441:L447" si="90">J441+K441</f>
        <v>108.7</v>
      </c>
    </row>
    <row r="442" spans="1:12" ht="60" x14ac:dyDescent="0.3">
      <c r="B442" s="201">
        <v>2</v>
      </c>
      <c r="C442" s="25" t="s">
        <v>99</v>
      </c>
      <c r="D442" s="147" t="s">
        <v>25</v>
      </c>
      <c r="E442" s="67" t="s">
        <v>230</v>
      </c>
      <c r="F442" s="17" t="s">
        <v>90</v>
      </c>
      <c r="G442" s="65">
        <v>5.55</v>
      </c>
      <c r="H442" s="65">
        <v>0.75</v>
      </c>
      <c r="I442" s="72">
        <v>24</v>
      </c>
      <c r="J442" s="77">
        <f t="shared" si="88"/>
        <v>99.9</v>
      </c>
      <c r="K442" s="77">
        <f t="shared" si="89"/>
        <v>23.57</v>
      </c>
      <c r="L442" s="77">
        <f t="shared" si="90"/>
        <v>123.47</v>
      </c>
    </row>
    <row r="443" spans="1:12" ht="60" x14ac:dyDescent="0.3">
      <c r="B443" s="201">
        <v>3</v>
      </c>
      <c r="C443" s="25" t="s">
        <v>99</v>
      </c>
      <c r="D443" s="147" t="s">
        <v>27</v>
      </c>
      <c r="E443" s="67" t="s">
        <v>230</v>
      </c>
      <c r="F443" s="17" t="s">
        <v>90</v>
      </c>
      <c r="G443" s="65">
        <v>5.05</v>
      </c>
      <c r="H443" s="65">
        <v>0.75</v>
      </c>
      <c r="I443" s="72">
        <v>0</v>
      </c>
      <c r="J443" s="77">
        <f t="shared" si="88"/>
        <v>0</v>
      </c>
      <c r="K443" s="77">
        <f t="shared" si="89"/>
        <v>0</v>
      </c>
      <c r="L443" s="77">
        <f t="shared" si="90"/>
        <v>0</v>
      </c>
    </row>
    <row r="444" spans="1:12" ht="60" x14ac:dyDescent="0.3">
      <c r="B444" s="201">
        <v>4</v>
      </c>
      <c r="C444" s="25" t="s">
        <v>99</v>
      </c>
      <c r="D444" s="147" t="s">
        <v>27</v>
      </c>
      <c r="E444" s="67" t="s">
        <v>230</v>
      </c>
      <c r="F444" s="17" t="s">
        <v>90</v>
      </c>
      <c r="G444" s="65">
        <v>5.05</v>
      </c>
      <c r="H444" s="65">
        <v>0.75</v>
      </c>
      <c r="I444" s="72">
        <v>19</v>
      </c>
      <c r="J444" s="77">
        <f t="shared" si="88"/>
        <v>71.959999999999994</v>
      </c>
      <c r="K444" s="77">
        <f t="shared" si="89"/>
        <v>16.98</v>
      </c>
      <c r="L444" s="77">
        <f t="shared" si="90"/>
        <v>88.94</v>
      </c>
    </row>
    <row r="445" spans="1:12" ht="60" x14ac:dyDescent="0.3">
      <c r="B445" s="201">
        <v>5</v>
      </c>
      <c r="C445" s="25" t="s">
        <v>99</v>
      </c>
      <c r="D445" s="147" t="s">
        <v>27</v>
      </c>
      <c r="E445" s="67" t="s">
        <v>230</v>
      </c>
      <c r="F445" s="17" t="s">
        <v>90</v>
      </c>
      <c r="G445" s="65">
        <v>4.53</v>
      </c>
      <c r="H445" s="65">
        <v>0.75</v>
      </c>
      <c r="I445" s="72">
        <v>11</v>
      </c>
      <c r="J445" s="77">
        <f>ROUND(G445*H445*I445,2)</f>
        <v>37.369999999999997</v>
      </c>
      <c r="K445" s="77">
        <f>ROUND(J445*0.2077,2)</f>
        <v>7.76</v>
      </c>
      <c r="L445" s="77">
        <f t="shared" si="90"/>
        <v>45.129999999999995</v>
      </c>
    </row>
    <row r="446" spans="1:12" ht="60" x14ac:dyDescent="0.3">
      <c r="B446" s="201">
        <v>6</v>
      </c>
      <c r="C446" s="25" t="s">
        <v>99</v>
      </c>
      <c r="D446" s="147" t="s">
        <v>27</v>
      </c>
      <c r="E446" s="67" t="s">
        <v>230</v>
      </c>
      <c r="F446" s="17" t="s">
        <v>90</v>
      </c>
      <c r="G446" s="65">
        <v>5.05</v>
      </c>
      <c r="H446" s="65">
        <v>0.75</v>
      </c>
      <c r="I446" s="72">
        <v>9</v>
      </c>
      <c r="J446" s="77">
        <f t="shared" si="88"/>
        <v>34.090000000000003</v>
      </c>
      <c r="K446" s="77">
        <f t="shared" si="89"/>
        <v>8.0399999999999991</v>
      </c>
      <c r="L446" s="77">
        <f t="shared" si="90"/>
        <v>42.13</v>
      </c>
    </row>
    <row r="447" spans="1:12" ht="60" x14ac:dyDescent="0.3">
      <c r="B447" s="201">
        <v>7</v>
      </c>
      <c r="C447" s="25" t="s">
        <v>99</v>
      </c>
      <c r="D447" s="147" t="s">
        <v>27</v>
      </c>
      <c r="E447" s="67" t="s">
        <v>230</v>
      </c>
      <c r="F447" s="17" t="s">
        <v>90</v>
      </c>
      <c r="G447" s="65">
        <v>5.05</v>
      </c>
      <c r="H447" s="65">
        <v>0.75</v>
      </c>
      <c r="I447" s="72">
        <v>22</v>
      </c>
      <c r="J447" s="77">
        <f t="shared" si="88"/>
        <v>83.33</v>
      </c>
      <c r="K447" s="77">
        <f t="shared" si="89"/>
        <v>19.66</v>
      </c>
      <c r="L447" s="77">
        <f t="shared" si="90"/>
        <v>102.99</v>
      </c>
    </row>
    <row r="448" spans="1:12" x14ac:dyDescent="0.3">
      <c r="C448" s="143" t="s">
        <v>10</v>
      </c>
      <c r="D448" s="184"/>
      <c r="E448" s="112"/>
      <c r="F448" s="24"/>
      <c r="G448" s="11"/>
      <c r="H448" s="11"/>
      <c r="I448" s="22">
        <f>SUM(I441:I447)</f>
        <v>107</v>
      </c>
      <c r="J448" s="27">
        <f>SUM(J441:J447)</f>
        <v>414.59999999999997</v>
      </c>
      <c r="K448" s="27">
        <f>SUM(K441:K447)</f>
        <v>96.759999999999991</v>
      </c>
      <c r="L448" s="21">
        <f>ROUND(SUM(L441:L447),2)</f>
        <v>511.36</v>
      </c>
    </row>
    <row r="449" spans="1:12" x14ac:dyDescent="0.3">
      <c r="A449" s="8" t="s">
        <v>104</v>
      </c>
      <c r="B449" s="70" t="s">
        <v>131</v>
      </c>
      <c r="C449" s="139"/>
      <c r="D449" s="144"/>
      <c r="E449" s="74"/>
      <c r="F449" s="20"/>
      <c r="G449" s="6"/>
      <c r="H449" s="6"/>
      <c r="I449" s="19"/>
      <c r="J449" s="46"/>
      <c r="K449" s="46"/>
      <c r="L449" s="47"/>
    </row>
    <row r="450" spans="1:12" ht="36" x14ac:dyDescent="0.3">
      <c r="B450" s="201">
        <v>1</v>
      </c>
      <c r="C450" s="141" t="s">
        <v>34</v>
      </c>
      <c r="D450" s="160" t="s">
        <v>132</v>
      </c>
      <c r="E450" s="67" t="s">
        <v>133</v>
      </c>
      <c r="F450" s="17" t="s">
        <v>90</v>
      </c>
      <c r="G450" s="66">
        <v>5.86</v>
      </c>
      <c r="H450" s="66">
        <f t="shared" ref="H450:H451" si="91">G450*75%</f>
        <v>4.3950000000000005</v>
      </c>
      <c r="I450" s="66">
        <v>107.49</v>
      </c>
      <c r="J450" s="117">
        <f>I450*H450</f>
        <v>472.41855000000004</v>
      </c>
      <c r="K450" s="117">
        <f>J450*23.59%</f>
        <v>111.44353594500001</v>
      </c>
      <c r="L450" s="117">
        <v>583.88</v>
      </c>
    </row>
    <row r="451" spans="1:12" ht="36" x14ac:dyDescent="0.3">
      <c r="B451" s="201">
        <v>2</v>
      </c>
      <c r="C451" s="141" t="s">
        <v>34</v>
      </c>
      <c r="D451" s="160" t="s">
        <v>132</v>
      </c>
      <c r="E451" s="67" t="s">
        <v>133</v>
      </c>
      <c r="F451" s="17" t="s">
        <v>90</v>
      </c>
      <c r="G451" s="66">
        <v>5.53</v>
      </c>
      <c r="H451" s="66">
        <f t="shared" si="91"/>
        <v>4.1475</v>
      </c>
      <c r="I451" s="66">
        <v>21.42</v>
      </c>
      <c r="J451" s="117">
        <f t="shared" ref="J451:J452" si="92">I451*H451</f>
        <v>88.839449999999999</v>
      </c>
      <c r="K451" s="117">
        <f t="shared" ref="K451:K452" si="93">J451*23.59%</f>
        <v>20.957226254999998</v>
      </c>
      <c r="L451" s="117">
        <f t="shared" ref="L451:L452" si="94">J451+K451</f>
        <v>109.79667625499999</v>
      </c>
    </row>
    <row r="452" spans="1:12" ht="36" x14ac:dyDescent="0.3">
      <c r="B452" s="201">
        <v>3</v>
      </c>
      <c r="C452" s="141" t="s">
        <v>34</v>
      </c>
      <c r="D452" s="160" t="s">
        <v>132</v>
      </c>
      <c r="E452" s="67" t="s">
        <v>133</v>
      </c>
      <c r="F452" s="17" t="s">
        <v>90</v>
      </c>
      <c r="G452" s="66">
        <v>5.2</v>
      </c>
      <c r="H452" s="66">
        <f>G452*75%</f>
        <v>3.9000000000000004</v>
      </c>
      <c r="I452" s="66">
        <v>26.75</v>
      </c>
      <c r="J452" s="117">
        <f t="shared" si="92"/>
        <v>104.325</v>
      </c>
      <c r="K452" s="117">
        <f t="shared" si="93"/>
        <v>24.610267499999999</v>
      </c>
      <c r="L452" s="117">
        <f t="shared" si="94"/>
        <v>128.93526750000001</v>
      </c>
    </row>
    <row r="453" spans="1:12" ht="41.4" x14ac:dyDescent="0.3">
      <c r="B453" s="201">
        <v>4</v>
      </c>
      <c r="C453" s="141" t="s">
        <v>34</v>
      </c>
      <c r="D453" s="160" t="s">
        <v>231</v>
      </c>
      <c r="E453" s="67" t="s">
        <v>133</v>
      </c>
      <c r="F453" s="17" t="s">
        <v>90</v>
      </c>
      <c r="G453" s="65">
        <v>5.86</v>
      </c>
      <c r="H453" s="66">
        <f>G453*75%</f>
        <v>4.3950000000000005</v>
      </c>
      <c r="I453" s="66">
        <v>41.25</v>
      </c>
      <c r="J453" s="117">
        <f>H453*I453</f>
        <v>181.29375000000002</v>
      </c>
      <c r="K453" s="117">
        <f>J453*21.94%</f>
        <v>39.775848750000009</v>
      </c>
      <c r="L453" s="117">
        <f>J453+K453</f>
        <v>221.06959875000001</v>
      </c>
    </row>
    <row r="454" spans="1:12" ht="36" x14ac:dyDescent="0.3">
      <c r="B454" s="201">
        <v>5</v>
      </c>
      <c r="C454" s="141" t="s">
        <v>34</v>
      </c>
      <c r="D454" s="160" t="s">
        <v>232</v>
      </c>
      <c r="E454" s="67" t="s">
        <v>133</v>
      </c>
      <c r="F454" s="17" t="s">
        <v>90</v>
      </c>
      <c r="G454" s="65">
        <v>5.86</v>
      </c>
      <c r="H454" s="66">
        <f>G454*75%</f>
        <v>4.3950000000000005</v>
      </c>
      <c r="I454" s="66">
        <v>14.75</v>
      </c>
      <c r="J454" s="117">
        <f>H454*I454</f>
        <v>64.826250000000002</v>
      </c>
      <c r="K454" s="117">
        <f>J454*20.77%</f>
        <v>13.464412125000001</v>
      </c>
      <c r="L454" s="117">
        <f>J454+K454</f>
        <v>78.290662124999997</v>
      </c>
    </row>
    <row r="455" spans="1:12" ht="36" x14ac:dyDescent="0.3">
      <c r="B455" s="201">
        <v>6</v>
      </c>
      <c r="C455" s="141" t="s">
        <v>34</v>
      </c>
      <c r="D455" s="160" t="s">
        <v>63</v>
      </c>
      <c r="E455" s="67" t="s">
        <v>133</v>
      </c>
      <c r="F455" s="17" t="s">
        <v>90</v>
      </c>
      <c r="G455" s="65">
        <v>6.38</v>
      </c>
      <c r="H455" s="66">
        <f t="shared" ref="H455:H456" si="95">G455*75%</f>
        <v>4.7850000000000001</v>
      </c>
      <c r="I455" s="66">
        <v>85.83</v>
      </c>
      <c r="J455" s="117">
        <f t="shared" ref="J455:J457" si="96">H455*I455</f>
        <v>410.69655</v>
      </c>
      <c r="K455" s="117">
        <f t="shared" ref="K455:K457" si="97">J455*23.59%</f>
        <v>96.883316144999995</v>
      </c>
      <c r="L455" s="117">
        <f t="shared" ref="L455:L457" si="98">J455+K455</f>
        <v>507.57986614499998</v>
      </c>
    </row>
    <row r="456" spans="1:12" ht="41.4" x14ac:dyDescent="0.3">
      <c r="B456" s="201">
        <v>7</v>
      </c>
      <c r="C456" s="141" t="s">
        <v>34</v>
      </c>
      <c r="D456" s="160" t="s">
        <v>233</v>
      </c>
      <c r="E456" s="67" t="s">
        <v>133</v>
      </c>
      <c r="F456" s="17" t="s">
        <v>90</v>
      </c>
      <c r="G456" s="65">
        <v>6.38</v>
      </c>
      <c r="H456" s="66">
        <f t="shared" si="95"/>
        <v>4.7850000000000001</v>
      </c>
      <c r="I456" s="66">
        <v>34.42</v>
      </c>
      <c r="J456" s="117">
        <f t="shared" si="96"/>
        <v>164.69970000000001</v>
      </c>
      <c r="K456" s="117">
        <f>J456*21.94%</f>
        <v>36.135114180000002</v>
      </c>
      <c r="L456" s="117">
        <f t="shared" si="98"/>
        <v>200.83481418000002</v>
      </c>
    </row>
    <row r="457" spans="1:12" ht="36" x14ac:dyDescent="0.3">
      <c r="B457" s="201">
        <v>8</v>
      </c>
      <c r="C457" s="141" t="s">
        <v>34</v>
      </c>
      <c r="D457" s="160" t="s">
        <v>134</v>
      </c>
      <c r="E457" s="67" t="s">
        <v>133</v>
      </c>
      <c r="F457" s="65">
        <v>1244</v>
      </c>
      <c r="G457" s="17" t="s">
        <v>90</v>
      </c>
      <c r="H457" s="66">
        <f>(F457/168)*75%</f>
        <v>5.5535714285714288</v>
      </c>
      <c r="I457" s="66">
        <v>36</v>
      </c>
      <c r="J457" s="117">
        <f t="shared" si="96"/>
        <v>199.92857142857144</v>
      </c>
      <c r="K457" s="117">
        <f t="shared" si="97"/>
        <v>47.163150000000002</v>
      </c>
      <c r="L457" s="117">
        <f t="shared" si="98"/>
        <v>247.09172142857145</v>
      </c>
    </row>
    <row r="458" spans="1:12" x14ac:dyDescent="0.3">
      <c r="C458" s="143" t="s">
        <v>10</v>
      </c>
      <c r="D458" s="184"/>
      <c r="E458" s="112"/>
      <c r="F458" s="24"/>
      <c r="G458" s="11"/>
      <c r="H458" s="11"/>
      <c r="I458" s="16">
        <f>SUM(I450:I457)</f>
        <v>367.91</v>
      </c>
      <c r="J458" s="27">
        <f>SUM(J450:J457)</f>
        <v>1687.0278214285718</v>
      </c>
      <c r="K458" s="27">
        <f>SUM(K450:K457)</f>
        <v>390.43287090000001</v>
      </c>
      <c r="L458" s="27">
        <f>ROUND(SUM(L450:L457),2)</f>
        <v>2077.48</v>
      </c>
    </row>
    <row r="459" spans="1:12" x14ac:dyDescent="0.3">
      <c r="A459" s="8" t="s">
        <v>106</v>
      </c>
      <c r="B459" s="70" t="s">
        <v>135</v>
      </c>
      <c r="C459" s="139"/>
      <c r="D459" s="144"/>
      <c r="E459" s="74"/>
      <c r="F459" s="20"/>
      <c r="G459" s="6"/>
      <c r="H459" s="6"/>
      <c r="I459" s="19"/>
      <c r="J459" s="46"/>
      <c r="K459" s="46"/>
      <c r="L459" s="47"/>
    </row>
    <row r="460" spans="1:12" x14ac:dyDescent="0.3">
      <c r="B460" s="201">
        <v>1</v>
      </c>
      <c r="C460" s="185" t="s">
        <v>34</v>
      </c>
      <c r="D460" s="147" t="s">
        <v>9</v>
      </c>
      <c r="E460" s="128" t="s">
        <v>156</v>
      </c>
      <c r="F460" s="65" t="s">
        <v>90</v>
      </c>
      <c r="G460" s="65">
        <v>4.99</v>
      </c>
      <c r="H460" s="66">
        <f t="shared" ref="H460:H466" si="99">ROUND(G460*0.75,4)</f>
        <v>3.7425000000000002</v>
      </c>
      <c r="I460" s="99">
        <v>7</v>
      </c>
      <c r="J460" s="80">
        <f t="shared" ref="J460:J464" si="100">H460*I460</f>
        <v>26.197500000000002</v>
      </c>
      <c r="K460" s="80">
        <f>ROUND(J460*0.2359,2)</f>
        <v>6.18</v>
      </c>
      <c r="L460" s="80">
        <f t="shared" ref="L460:L466" si="101">J460+K460</f>
        <v>32.377499999999998</v>
      </c>
    </row>
    <row r="461" spans="1:12" x14ac:dyDescent="0.3">
      <c r="B461" s="201">
        <v>2</v>
      </c>
      <c r="C461" s="185" t="s">
        <v>34</v>
      </c>
      <c r="D461" s="147" t="s">
        <v>78</v>
      </c>
      <c r="E461" s="129"/>
      <c r="F461" s="65" t="s">
        <v>90</v>
      </c>
      <c r="G461" s="65">
        <v>5.29</v>
      </c>
      <c r="H461" s="66">
        <f t="shared" si="99"/>
        <v>3.9674999999999998</v>
      </c>
      <c r="I461" s="99">
        <v>4</v>
      </c>
      <c r="J461" s="80">
        <f t="shared" si="100"/>
        <v>15.87</v>
      </c>
      <c r="K461" s="80">
        <f t="shared" ref="K461:K466" si="102">ROUND(J461*0.2359,2)</f>
        <v>3.74</v>
      </c>
      <c r="L461" s="80">
        <f t="shared" si="101"/>
        <v>19.61</v>
      </c>
    </row>
    <row r="462" spans="1:12" x14ac:dyDescent="0.3">
      <c r="B462" s="201">
        <v>3</v>
      </c>
      <c r="C462" s="185" t="s">
        <v>34</v>
      </c>
      <c r="D462" s="147" t="s">
        <v>9</v>
      </c>
      <c r="E462" s="129"/>
      <c r="F462" s="65" t="s">
        <v>90</v>
      </c>
      <c r="G462" s="65">
        <v>4.99</v>
      </c>
      <c r="H462" s="66">
        <f t="shared" si="99"/>
        <v>3.7425000000000002</v>
      </c>
      <c r="I462" s="99">
        <v>3</v>
      </c>
      <c r="J462" s="80">
        <f t="shared" si="100"/>
        <v>11.227500000000001</v>
      </c>
      <c r="K462" s="80">
        <f t="shared" si="102"/>
        <v>2.65</v>
      </c>
      <c r="L462" s="80">
        <f t="shared" si="101"/>
        <v>13.877500000000001</v>
      </c>
    </row>
    <row r="463" spans="1:12" ht="22.8" customHeight="1" x14ac:dyDescent="0.3">
      <c r="B463" s="201">
        <v>4</v>
      </c>
      <c r="C463" s="185" t="s">
        <v>34</v>
      </c>
      <c r="D463" s="147" t="s">
        <v>9</v>
      </c>
      <c r="E463" s="129"/>
      <c r="F463" s="65" t="s">
        <v>90</v>
      </c>
      <c r="G463" s="65">
        <v>4.99</v>
      </c>
      <c r="H463" s="66">
        <f t="shared" si="99"/>
        <v>3.7425000000000002</v>
      </c>
      <c r="I463" s="99">
        <v>4</v>
      </c>
      <c r="J463" s="80">
        <f t="shared" si="100"/>
        <v>14.97</v>
      </c>
      <c r="K463" s="80">
        <f t="shared" si="102"/>
        <v>3.53</v>
      </c>
      <c r="L463" s="80">
        <f t="shared" si="101"/>
        <v>18.5</v>
      </c>
    </row>
    <row r="464" spans="1:12" x14ac:dyDescent="0.3">
      <c r="B464" s="201">
        <v>5</v>
      </c>
      <c r="C464" s="185" t="s">
        <v>34</v>
      </c>
      <c r="D464" s="147" t="s">
        <v>9</v>
      </c>
      <c r="E464" s="129"/>
      <c r="F464" s="65" t="s">
        <v>90</v>
      </c>
      <c r="G464" s="65">
        <v>4.99</v>
      </c>
      <c r="H464" s="66">
        <f t="shared" si="99"/>
        <v>3.7425000000000002</v>
      </c>
      <c r="I464" s="99">
        <v>5</v>
      </c>
      <c r="J464" s="80">
        <f t="shared" si="100"/>
        <v>18.712500000000002</v>
      </c>
      <c r="K464" s="80">
        <f t="shared" si="102"/>
        <v>4.41</v>
      </c>
      <c r="L464" s="80">
        <f t="shared" si="101"/>
        <v>23.122500000000002</v>
      </c>
    </row>
    <row r="465" spans="1:12" x14ac:dyDescent="0.3">
      <c r="B465" s="201">
        <v>6</v>
      </c>
      <c r="C465" s="185" t="s">
        <v>34</v>
      </c>
      <c r="D465" s="147" t="s">
        <v>8</v>
      </c>
      <c r="E465" s="129"/>
      <c r="F465" s="65" t="s">
        <v>90</v>
      </c>
      <c r="G465" s="65">
        <v>5.44</v>
      </c>
      <c r="H465" s="66">
        <f t="shared" si="99"/>
        <v>4.08</v>
      </c>
      <c r="I465" s="99">
        <v>10</v>
      </c>
      <c r="J465" s="80">
        <f>H465*I465</f>
        <v>40.799999999999997</v>
      </c>
      <c r="K465" s="80">
        <f t="shared" si="102"/>
        <v>9.6199999999999992</v>
      </c>
      <c r="L465" s="80">
        <f t="shared" si="101"/>
        <v>50.419999999999995</v>
      </c>
    </row>
    <row r="466" spans="1:12" ht="35.4" customHeight="1" x14ac:dyDescent="0.3">
      <c r="B466" s="201">
        <v>7</v>
      </c>
      <c r="C466" s="185" t="s">
        <v>34</v>
      </c>
      <c r="D466" s="147" t="s">
        <v>7</v>
      </c>
      <c r="E466" s="129"/>
      <c r="F466" s="65">
        <v>1190</v>
      </c>
      <c r="G466" s="66">
        <f t="shared" ref="G466" si="103">ROUND(F466/168,4)</f>
        <v>7.0833000000000004</v>
      </c>
      <c r="H466" s="66">
        <f t="shared" si="99"/>
        <v>5.3125</v>
      </c>
      <c r="I466" s="99">
        <v>5</v>
      </c>
      <c r="J466" s="80">
        <f>H466*I466</f>
        <v>26.5625</v>
      </c>
      <c r="K466" s="80">
        <f t="shared" si="102"/>
        <v>6.27</v>
      </c>
      <c r="L466" s="80">
        <f t="shared" si="101"/>
        <v>32.832499999999996</v>
      </c>
    </row>
    <row r="467" spans="1:12" x14ac:dyDescent="0.3">
      <c r="C467" s="143" t="s">
        <v>10</v>
      </c>
      <c r="D467" s="184"/>
      <c r="E467" s="112"/>
      <c r="F467" s="24"/>
      <c r="G467" s="11"/>
      <c r="H467" s="11"/>
      <c r="I467" s="28">
        <f>SUM(I460:I466)</f>
        <v>38</v>
      </c>
      <c r="J467" s="27">
        <f>SUM(J460:J466)</f>
        <v>154.34</v>
      </c>
      <c r="K467" s="27">
        <f>SUM(K460:K466)</f>
        <v>36.400000000000006</v>
      </c>
      <c r="L467" s="27">
        <f>ROUND(SUM(L460:L466),2)</f>
        <v>190.74</v>
      </c>
    </row>
    <row r="468" spans="1:12" x14ac:dyDescent="0.3">
      <c r="A468" s="8" t="s">
        <v>107</v>
      </c>
      <c r="B468" s="125" t="s">
        <v>136</v>
      </c>
      <c r="C468" s="139"/>
      <c r="D468" s="144"/>
      <c r="E468" s="74"/>
      <c r="F468" s="20"/>
      <c r="G468" s="6"/>
      <c r="H468" s="6"/>
      <c r="I468" s="19"/>
      <c r="J468" s="46"/>
      <c r="K468" s="46"/>
      <c r="L468" s="47"/>
    </row>
    <row r="469" spans="1:12" ht="72" x14ac:dyDescent="0.3">
      <c r="B469" s="201">
        <v>1</v>
      </c>
      <c r="C469" s="152" t="s">
        <v>136</v>
      </c>
      <c r="D469" s="147" t="s">
        <v>137</v>
      </c>
      <c r="E469" s="68" t="s">
        <v>234</v>
      </c>
      <c r="F469" s="66">
        <v>1070</v>
      </c>
      <c r="G469" s="66">
        <v>6.3689999999999998</v>
      </c>
      <c r="H469" s="66">
        <v>4.7767999999999997</v>
      </c>
      <c r="I469" s="72">
        <v>12</v>
      </c>
      <c r="J469" s="77">
        <v>57.32</v>
      </c>
      <c r="K469" s="77">
        <v>13.52</v>
      </c>
      <c r="L469" s="77">
        <f>SUM(J469:K469)</f>
        <v>70.84</v>
      </c>
    </row>
    <row r="470" spans="1:12" ht="96" x14ac:dyDescent="0.3">
      <c r="B470" s="201">
        <v>2</v>
      </c>
      <c r="C470" s="152" t="s">
        <v>136</v>
      </c>
      <c r="D470" s="147" t="s">
        <v>7</v>
      </c>
      <c r="E470" s="67" t="s">
        <v>235</v>
      </c>
      <c r="F470" s="66">
        <v>870</v>
      </c>
      <c r="G470" s="66">
        <v>5.1786000000000003</v>
      </c>
      <c r="H470" s="66">
        <v>3.8839999999999999</v>
      </c>
      <c r="I470" s="72">
        <v>13</v>
      </c>
      <c r="J470" s="77">
        <v>50.49</v>
      </c>
      <c r="K470" s="77">
        <v>11.08</v>
      </c>
      <c r="L470" s="77">
        <f t="shared" ref="L470" si="104">SUM(J470:K470)</f>
        <v>61.57</v>
      </c>
    </row>
    <row r="471" spans="1:12" x14ac:dyDescent="0.3">
      <c r="C471" s="143" t="s">
        <v>10</v>
      </c>
      <c r="D471" s="184"/>
      <c r="E471" s="112"/>
      <c r="F471" s="24"/>
      <c r="G471" s="11"/>
      <c r="H471" s="11"/>
      <c r="I471" s="28">
        <f>SUM(I469:I470)</f>
        <v>25</v>
      </c>
      <c r="J471" s="27">
        <f>SUM(J469:J470)</f>
        <v>107.81</v>
      </c>
      <c r="K471" s="27">
        <f>SUM(K469:K470)</f>
        <v>24.6</v>
      </c>
      <c r="L471" s="27">
        <f>ROUND(SUM(L469:L470),2)</f>
        <v>132.41</v>
      </c>
    </row>
    <row r="472" spans="1:12" ht="69" x14ac:dyDescent="0.3">
      <c r="A472" s="8" t="s">
        <v>157</v>
      </c>
      <c r="B472" s="70" t="s">
        <v>101</v>
      </c>
      <c r="C472" s="144"/>
      <c r="D472" s="144"/>
      <c r="E472" s="74"/>
      <c r="F472" s="20"/>
      <c r="G472" s="6"/>
      <c r="H472" s="118" t="s">
        <v>102</v>
      </c>
      <c r="I472" s="19"/>
      <c r="J472" s="46"/>
      <c r="K472" s="46"/>
      <c r="L472" s="47"/>
    </row>
    <row r="473" spans="1:12" ht="132" x14ac:dyDescent="0.3">
      <c r="B473" s="209">
        <v>1</v>
      </c>
      <c r="C473" s="185" t="s">
        <v>101</v>
      </c>
      <c r="D473" s="174" t="s">
        <v>27</v>
      </c>
      <c r="E473" s="91" t="s">
        <v>236</v>
      </c>
      <c r="F473" s="84" t="s">
        <v>90</v>
      </c>
      <c r="G473" s="100">
        <v>5.2862</v>
      </c>
      <c r="H473" s="187">
        <v>0.29996973251106657</v>
      </c>
      <c r="I473" s="99">
        <v>76</v>
      </c>
      <c r="J473" s="188">
        <v>120.53</v>
      </c>
      <c r="K473" s="188">
        <v>28.43</v>
      </c>
      <c r="L473" s="188">
        <v>148.96</v>
      </c>
    </row>
    <row r="474" spans="1:12" ht="120" x14ac:dyDescent="0.3">
      <c r="B474" s="209">
        <v>2</v>
      </c>
      <c r="C474" s="185" t="s">
        <v>101</v>
      </c>
      <c r="D474" s="174" t="s">
        <v>27</v>
      </c>
      <c r="E474" s="91" t="s">
        <v>237</v>
      </c>
      <c r="F474" s="84" t="s">
        <v>90</v>
      </c>
      <c r="G474" s="100">
        <v>5.0772000000000004</v>
      </c>
      <c r="H474" s="187">
        <v>0.30000787835815018</v>
      </c>
      <c r="I474" s="99">
        <v>30</v>
      </c>
      <c r="J474" s="188">
        <v>45.69</v>
      </c>
      <c r="K474" s="188">
        <v>10.78</v>
      </c>
      <c r="L474" s="188">
        <v>56.47</v>
      </c>
    </row>
    <row r="475" spans="1:12" ht="108" x14ac:dyDescent="0.3">
      <c r="B475" s="209">
        <v>3</v>
      </c>
      <c r="C475" s="185" t="s">
        <v>101</v>
      </c>
      <c r="D475" s="174" t="s">
        <v>105</v>
      </c>
      <c r="E475" s="91" t="s">
        <v>238</v>
      </c>
      <c r="F475" s="84" t="s">
        <v>90</v>
      </c>
      <c r="G475" s="100">
        <v>5.7938999999999998</v>
      </c>
      <c r="H475" s="187">
        <v>0.30000517785947289</v>
      </c>
      <c r="I475" s="99">
        <v>168</v>
      </c>
      <c r="J475" s="188">
        <v>292.01</v>
      </c>
      <c r="K475" s="188">
        <v>64.069999999999993</v>
      </c>
      <c r="L475" s="188">
        <v>356.08</v>
      </c>
    </row>
    <row r="476" spans="1:12" ht="96" x14ac:dyDescent="0.3">
      <c r="B476" s="209">
        <v>4</v>
      </c>
      <c r="C476" s="185" t="s">
        <v>101</v>
      </c>
      <c r="D476" s="174" t="s">
        <v>105</v>
      </c>
      <c r="E476" s="154" t="s">
        <v>239</v>
      </c>
      <c r="F476" s="99">
        <v>930</v>
      </c>
      <c r="G476" s="100"/>
      <c r="H476" s="187">
        <v>0.3</v>
      </c>
      <c r="I476" s="99">
        <v>120</v>
      </c>
      <c r="J476" s="188">
        <v>199.29</v>
      </c>
      <c r="K476" s="188">
        <v>47.01</v>
      </c>
      <c r="L476" s="163">
        <v>246.3</v>
      </c>
    </row>
    <row r="477" spans="1:12" ht="120" x14ac:dyDescent="0.3">
      <c r="B477" s="209">
        <v>5</v>
      </c>
      <c r="C477" s="185" t="s">
        <v>101</v>
      </c>
      <c r="D477" s="174" t="s">
        <v>27</v>
      </c>
      <c r="E477" s="91" t="s">
        <v>240</v>
      </c>
      <c r="F477" s="84" t="s">
        <v>90</v>
      </c>
      <c r="G477" s="100">
        <v>5.0772000000000004</v>
      </c>
      <c r="H477" s="187">
        <v>0.30000787835815018</v>
      </c>
      <c r="I477" s="99">
        <v>57</v>
      </c>
      <c r="J477" s="188">
        <v>86.82</v>
      </c>
      <c r="K477" s="188">
        <v>20.48</v>
      </c>
      <c r="L477" s="163">
        <v>107.3</v>
      </c>
    </row>
    <row r="478" spans="1:12" ht="108" x14ac:dyDescent="0.3">
      <c r="B478" s="209">
        <v>6</v>
      </c>
      <c r="C478" s="185" t="s">
        <v>101</v>
      </c>
      <c r="D478" s="174" t="s">
        <v>25</v>
      </c>
      <c r="E478" s="91" t="s">
        <v>241</v>
      </c>
      <c r="F478" s="84" t="s">
        <v>90</v>
      </c>
      <c r="G478" s="100">
        <v>5.7938999999999998</v>
      </c>
      <c r="H478" s="187">
        <v>0.30000537162706581</v>
      </c>
      <c r="I478" s="99">
        <v>168</v>
      </c>
      <c r="J478" s="188">
        <v>292.01</v>
      </c>
      <c r="K478" s="188">
        <v>64.069999999999993</v>
      </c>
      <c r="L478" s="188">
        <v>356.08</v>
      </c>
    </row>
    <row r="479" spans="1:12" ht="120" x14ac:dyDescent="0.3">
      <c r="B479" s="209">
        <v>7</v>
      </c>
      <c r="C479" s="185" t="s">
        <v>101</v>
      </c>
      <c r="D479" s="174" t="s">
        <v>27</v>
      </c>
      <c r="E479" s="91" t="s">
        <v>242</v>
      </c>
      <c r="F479" s="84" t="s">
        <v>90</v>
      </c>
      <c r="G479" s="100">
        <v>5.5849000000000002</v>
      </c>
      <c r="H479" s="187">
        <v>0.30000537162706581</v>
      </c>
      <c r="I479" s="99">
        <v>48</v>
      </c>
      <c r="J479" s="188">
        <v>80.42</v>
      </c>
      <c r="K479" s="188">
        <v>18.97</v>
      </c>
      <c r="L479" s="188">
        <v>99.39</v>
      </c>
    </row>
    <row r="480" spans="1:12" ht="108" x14ac:dyDescent="0.3">
      <c r="B480" s="209">
        <v>8</v>
      </c>
      <c r="C480" s="185" t="s">
        <v>101</v>
      </c>
      <c r="D480" s="174" t="s">
        <v>105</v>
      </c>
      <c r="E480" s="91" t="s">
        <v>243</v>
      </c>
      <c r="F480" s="84" t="s">
        <v>90</v>
      </c>
      <c r="G480" s="100">
        <v>6.1821999999999999</v>
      </c>
      <c r="H480" s="187">
        <v>0.30000647018860599</v>
      </c>
      <c r="I480" s="99">
        <v>88</v>
      </c>
      <c r="J480" s="188">
        <v>163.21</v>
      </c>
      <c r="K480" s="188">
        <v>38.5</v>
      </c>
      <c r="L480" s="188">
        <v>201.71</v>
      </c>
    </row>
    <row r="481" spans="2:12" ht="132" x14ac:dyDescent="0.3">
      <c r="B481" s="209">
        <v>9</v>
      </c>
      <c r="C481" s="185" t="s">
        <v>101</v>
      </c>
      <c r="D481" s="174" t="s">
        <v>27</v>
      </c>
      <c r="E481" s="91" t="s">
        <v>244</v>
      </c>
      <c r="F481" s="84" t="s">
        <v>90</v>
      </c>
      <c r="G481" s="100">
        <v>5.2862</v>
      </c>
      <c r="H481" s="187">
        <v>0.29996973251106657</v>
      </c>
      <c r="I481" s="99">
        <v>37</v>
      </c>
      <c r="J481" s="188">
        <v>58.68</v>
      </c>
      <c r="K481" s="188">
        <v>13.84</v>
      </c>
      <c r="L481" s="188">
        <v>72.52</v>
      </c>
    </row>
    <row r="482" spans="2:12" ht="120" x14ac:dyDescent="0.3">
      <c r="B482" s="209">
        <v>10</v>
      </c>
      <c r="C482" s="185" t="s">
        <v>101</v>
      </c>
      <c r="D482" s="174" t="s">
        <v>27</v>
      </c>
      <c r="E482" s="91" t="s">
        <v>245</v>
      </c>
      <c r="F482" s="84" t="s">
        <v>90</v>
      </c>
      <c r="G482" s="100">
        <v>5.0772000000000004</v>
      </c>
      <c r="H482" s="187">
        <v>0.30000787835815018</v>
      </c>
      <c r="I482" s="99">
        <v>57</v>
      </c>
      <c r="J482" s="188">
        <v>86.82</v>
      </c>
      <c r="K482" s="188">
        <v>20.48</v>
      </c>
      <c r="L482" s="163">
        <v>107.3</v>
      </c>
    </row>
    <row r="483" spans="2:12" ht="120" x14ac:dyDescent="0.3">
      <c r="B483" s="209">
        <v>11</v>
      </c>
      <c r="C483" s="185" t="s">
        <v>101</v>
      </c>
      <c r="D483" s="174" t="s">
        <v>27</v>
      </c>
      <c r="E483" s="91" t="s">
        <v>246</v>
      </c>
      <c r="F483" s="84" t="s">
        <v>90</v>
      </c>
      <c r="G483" s="100">
        <v>5.5849000000000002</v>
      </c>
      <c r="H483" s="187">
        <v>0.30000537162706581</v>
      </c>
      <c r="I483" s="99">
        <v>48</v>
      </c>
      <c r="J483" s="188">
        <v>80.42</v>
      </c>
      <c r="K483" s="188">
        <v>18.97</v>
      </c>
      <c r="L483" s="188">
        <v>99.39</v>
      </c>
    </row>
    <row r="484" spans="2:12" ht="132" x14ac:dyDescent="0.3">
      <c r="B484" s="209">
        <v>12</v>
      </c>
      <c r="C484" s="185" t="s">
        <v>101</v>
      </c>
      <c r="D484" s="174" t="s">
        <v>25</v>
      </c>
      <c r="E484" s="91" t="s">
        <v>247</v>
      </c>
      <c r="F484" s="84" t="s">
        <v>90</v>
      </c>
      <c r="G484" s="100">
        <v>5.3160999999999996</v>
      </c>
      <c r="H484" s="187">
        <v>0.30000787835815018</v>
      </c>
      <c r="I484" s="99">
        <v>168</v>
      </c>
      <c r="J484" s="188">
        <v>267.93</v>
      </c>
      <c r="K484" s="188">
        <v>63.2</v>
      </c>
      <c r="L484" s="188">
        <v>331.13</v>
      </c>
    </row>
    <row r="485" spans="2:12" ht="120" x14ac:dyDescent="0.3">
      <c r="B485" s="209">
        <v>13</v>
      </c>
      <c r="C485" s="185" t="s">
        <v>101</v>
      </c>
      <c r="D485" s="174" t="s">
        <v>27</v>
      </c>
      <c r="E485" s="91" t="s">
        <v>248</v>
      </c>
      <c r="F485" s="84" t="s">
        <v>90</v>
      </c>
      <c r="G485" s="100">
        <v>5.5849000000000002</v>
      </c>
      <c r="H485" s="187">
        <v>0.30000537162706581</v>
      </c>
      <c r="I485" s="99">
        <v>48</v>
      </c>
      <c r="J485" s="188">
        <v>80.42</v>
      </c>
      <c r="K485" s="188">
        <v>18.97</v>
      </c>
      <c r="L485" s="188">
        <v>99.39</v>
      </c>
    </row>
    <row r="486" spans="2:12" ht="120" x14ac:dyDescent="0.3">
      <c r="B486" s="209">
        <v>14</v>
      </c>
      <c r="C486" s="185" t="s">
        <v>101</v>
      </c>
      <c r="D486" s="174" t="s">
        <v>27</v>
      </c>
      <c r="E486" s="91" t="s">
        <v>249</v>
      </c>
      <c r="F486" s="84" t="s">
        <v>90</v>
      </c>
      <c r="G486" s="100">
        <v>5.0772000000000004</v>
      </c>
      <c r="H486" s="187">
        <v>0.30000787835815018</v>
      </c>
      <c r="I486" s="99">
        <v>163</v>
      </c>
      <c r="J486" s="188">
        <v>248.28</v>
      </c>
      <c r="K486" s="188">
        <v>58.57</v>
      </c>
      <c r="L486" s="188">
        <v>306.85000000000002</v>
      </c>
    </row>
    <row r="487" spans="2:12" ht="132" x14ac:dyDescent="0.3">
      <c r="B487" s="209">
        <v>15</v>
      </c>
      <c r="C487" s="185" t="s">
        <v>101</v>
      </c>
      <c r="D487" s="174" t="s">
        <v>27</v>
      </c>
      <c r="E487" s="91" t="s">
        <v>250</v>
      </c>
      <c r="F487" s="84" t="s">
        <v>90</v>
      </c>
      <c r="G487" s="100">
        <v>5.5849000000000002</v>
      </c>
      <c r="H487" s="187">
        <v>0.30000537162706581</v>
      </c>
      <c r="I487" s="99">
        <v>168</v>
      </c>
      <c r="J487" s="188">
        <v>281.48</v>
      </c>
      <c r="K487" s="188">
        <v>61.75</v>
      </c>
      <c r="L487" s="188">
        <v>343.23</v>
      </c>
    </row>
    <row r="488" spans="2:12" ht="144" x14ac:dyDescent="0.3">
      <c r="B488" s="209">
        <v>16</v>
      </c>
      <c r="C488" s="185" t="s">
        <v>101</v>
      </c>
      <c r="D488" s="174" t="s">
        <v>52</v>
      </c>
      <c r="E488" s="91" t="s">
        <v>251</v>
      </c>
      <c r="F488" s="84" t="s">
        <v>90</v>
      </c>
      <c r="G488" s="100">
        <v>8.1242999999999999</v>
      </c>
      <c r="H488" s="187">
        <v>0.30000123087527542</v>
      </c>
      <c r="I488" s="99">
        <v>168</v>
      </c>
      <c r="J488" s="188">
        <v>409.46</v>
      </c>
      <c r="K488" s="188">
        <v>96.6</v>
      </c>
      <c r="L488" s="188">
        <v>506.06</v>
      </c>
    </row>
    <row r="489" spans="2:12" ht="132" x14ac:dyDescent="0.3">
      <c r="B489" s="209">
        <v>17</v>
      </c>
      <c r="C489" s="185" t="s">
        <v>101</v>
      </c>
      <c r="D489" s="174" t="s">
        <v>27</v>
      </c>
      <c r="E489" s="91" t="s">
        <v>252</v>
      </c>
      <c r="F489" s="84" t="s">
        <v>90</v>
      </c>
      <c r="G489" s="100">
        <v>5.5849000000000002</v>
      </c>
      <c r="H489" s="187">
        <v>0.30000537162706581</v>
      </c>
      <c r="I489" s="99">
        <v>119</v>
      </c>
      <c r="J489" s="188">
        <v>199.38</v>
      </c>
      <c r="K489" s="188">
        <v>47.03</v>
      </c>
      <c r="L489" s="188">
        <v>246.41</v>
      </c>
    </row>
    <row r="490" spans="2:12" ht="120" x14ac:dyDescent="0.3">
      <c r="B490" s="209">
        <v>18</v>
      </c>
      <c r="C490" s="185" t="s">
        <v>101</v>
      </c>
      <c r="D490" s="174" t="s">
        <v>27</v>
      </c>
      <c r="E490" s="91" t="s">
        <v>253</v>
      </c>
      <c r="F490" s="84" t="s">
        <v>90</v>
      </c>
      <c r="G490" s="100">
        <v>5.0772000000000004</v>
      </c>
      <c r="H490" s="187">
        <v>0.30000787835815018</v>
      </c>
      <c r="I490" s="99">
        <v>168</v>
      </c>
      <c r="J490" s="188">
        <v>255.89</v>
      </c>
      <c r="K490" s="188">
        <v>60.37</v>
      </c>
      <c r="L490" s="188">
        <v>316.26</v>
      </c>
    </row>
    <row r="491" spans="2:12" ht="120" x14ac:dyDescent="0.3">
      <c r="B491" s="209">
        <v>19</v>
      </c>
      <c r="C491" s="185" t="s">
        <v>101</v>
      </c>
      <c r="D491" s="174" t="s">
        <v>27</v>
      </c>
      <c r="E491" s="91" t="s">
        <v>254</v>
      </c>
      <c r="F491" s="84" t="s">
        <v>90</v>
      </c>
      <c r="G491" s="100">
        <v>5.0772000000000004</v>
      </c>
      <c r="H491" s="187">
        <v>0.30000787835815018</v>
      </c>
      <c r="I491" s="99">
        <v>168</v>
      </c>
      <c r="J491" s="188">
        <v>255.89</v>
      </c>
      <c r="K491" s="188">
        <v>60.37</v>
      </c>
      <c r="L491" s="188">
        <v>316.26</v>
      </c>
    </row>
    <row r="492" spans="2:12" ht="120" x14ac:dyDescent="0.3">
      <c r="B492" s="209">
        <v>20</v>
      </c>
      <c r="C492" s="185" t="s">
        <v>101</v>
      </c>
      <c r="D492" s="189" t="s">
        <v>105</v>
      </c>
      <c r="E492" s="91" t="s">
        <v>255</v>
      </c>
      <c r="F492" s="84" t="s">
        <v>90</v>
      </c>
      <c r="G492" s="100">
        <v>6.1821999999999999</v>
      </c>
      <c r="H492" s="187">
        <v>0.30000647018860599</v>
      </c>
      <c r="I492" s="99">
        <v>105</v>
      </c>
      <c r="J492" s="188">
        <v>194.74</v>
      </c>
      <c r="K492" s="188">
        <v>42.73</v>
      </c>
      <c r="L492" s="188">
        <v>237.47</v>
      </c>
    </row>
    <row r="493" spans="2:12" ht="120" x14ac:dyDescent="0.3">
      <c r="B493" s="209">
        <v>21</v>
      </c>
      <c r="C493" s="185" t="s">
        <v>101</v>
      </c>
      <c r="D493" s="174" t="s">
        <v>27</v>
      </c>
      <c r="E493" s="91" t="s">
        <v>256</v>
      </c>
      <c r="F493" s="84" t="s">
        <v>90</v>
      </c>
      <c r="G493" s="100">
        <v>5.4355000000000002</v>
      </c>
      <c r="H493" s="187">
        <v>0.30000919878576027</v>
      </c>
      <c r="I493" s="99">
        <v>168</v>
      </c>
      <c r="J493" s="188">
        <v>273.95</v>
      </c>
      <c r="K493" s="188">
        <v>60.11</v>
      </c>
      <c r="L493" s="188">
        <v>334.06</v>
      </c>
    </row>
    <row r="494" spans="2:12" ht="132" x14ac:dyDescent="0.3">
      <c r="B494" s="209">
        <v>22</v>
      </c>
      <c r="C494" s="185" t="s">
        <v>101</v>
      </c>
      <c r="D494" s="174" t="s">
        <v>27</v>
      </c>
      <c r="E494" s="91" t="s">
        <v>257</v>
      </c>
      <c r="F494" s="84" t="s">
        <v>90</v>
      </c>
      <c r="G494" s="100">
        <v>5.0780000000000003</v>
      </c>
      <c r="H494" s="187">
        <v>0.3</v>
      </c>
      <c r="I494" s="99">
        <v>114</v>
      </c>
      <c r="J494" s="188">
        <v>173.67</v>
      </c>
      <c r="K494" s="188">
        <v>40.97</v>
      </c>
      <c r="L494" s="188">
        <v>214.64</v>
      </c>
    </row>
    <row r="495" spans="2:12" ht="120" x14ac:dyDescent="0.3">
      <c r="B495" s="209">
        <v>23</v>
      </c>
      <c r="C495" s="185" t="s">
        <v>101</v>
      </c>
      <c r="D495" s="174" t="s">
        <v>105</v>
      </c>
      <c r="E495" s="91" t="s">
        <v>258</v>
      </c>
      <c r="F495" s="84" t="s">
        <v>90</v>
      </c>
      <c r="G495" s="100">
        <v>5.5549999999999997</v>
      </c>
      <c r="H495" s="187">
        <v>0.30000000000000004</v>
      </c>
      <c r="I495" s="99">
        <v>168</v>
      </c>
      <c r="J495" s="188">
        <v>279.97000000000003</v>
      </c>
      <c r="K495" s="188">
        <v>66.040000000000006</v>
      </c>
      <c r="L495" s="188">
        <v>346.01</v>
      </c>
    </row>
    <row r="496" spans="2:12" ht="120" x14ac:dyDescent="0.3">
      <c r="B496" s="209">
        <v>24</v>
      </c>
      <c r="C496" s="185" t="s">
        <v>101</v>
      </c>
      <c r="D496" s="174" t="s">
        <v>27</v>
      </c>
      <c r="E496" s="91" t="s">
        <v>259</v>
      </c>
      <c r="F496" s="84" t="s">
        <v>90</v>
      </c>
      <c r="G496" s="100">
        <v>5.5849000000000002</v>
      </c>
      <c r="H496" s="187">
        <v>0.30000537162706581</v>
      </c>
      <c r="I496" s="99">
        <v>75</v>
      </c>
      <c r="J496" s="188">
        <v>125.66</v>
      </c>
      <c r="K496" s="188">
        <v>29.64</v>
      </c>
      <c r="L496" s="163">
        <v>155.30000000000001</v>
      </c>
    </row>
    <row r="497" spans="1:12" ht="144" x14ac:dyDescent="0.3">
      <c r="B497" s="209">
        <v>25</v>
      </c>
      <c r="C497" s="185" t="s">
        <v>101</v>
      </c>
      <c r="D497" s="174" t="s">
        <v>27</v>
      </c>
      <c r="E497" s="91" t="s">
        <v>260</v>
      </c>
      <c r="F497" s="84" t="s">
        <v>90</v>
      </c>
      <c r="G497" s="100">
        <v>5.5849000000000002</v>
      </c>
      <c r="H497" s="187">
        <v>0.30000537162706581</v>
      </c>
      <c r="I497" s="99">
        <v>131</v>
      </c>
      <c r="J497" s="188">
        <v>219.49</v>
      </c>
      <c r="K497" s="188">
        <v>51.78</v>
      </c>
      <c r="L497" s="188">
        <v>271.27</v>
      </c>
    </row>
    <row r="498" spans="1:12" ht="132" x14ac:dyDescent="0.3">
      <c r="B498" s="209">
        <v>26</v>
      </c>
      <c r="C498" s="185" t="s">
        <v>101</v>
      </c>
      <c r="D498" s="174" t="s">
        <v>27</v>
      </c>
      <c r="E498" s="91" t="s">
        <v>261</v>
      </c>
      <c r="F498" s="84" t="s">
        <v>90</v>
      </c>
      <c r="G498" s="100">
        <v>5.0772000000000004</v>
      </c>
      <c r="H498" s="187">
        <v>0.30000787835815018</v>
      </c>
      <c r="I498" s="190">
        <v>72</v>
      </c>
      <c r="J498" s="188">
        <v>109.67</v>
      </c>
      <c r="K498" s="188">
        <v>25.87</v>
      </c>
      <c r="L498" s="188">
        <v>135.54</v>
      </c>
    </row>
    <row r="499" spans="1:12" ht="108" x14ac:dyDescent="0.3">
      <c r="B499" s="209">
        <v>27</v>
      </c>
      <c r="C499" s="185" t="s">
        <v>101</v>
      </c>
      <c r="D499" s="189" t="s">
        <v>138</v>
      </c>
      <c r="E499" s="91" t="s">
        <v>262</v>
      </c>
      <c r="F499" s="100">
        <v>885</v>
      </c>
      <c r="G499" s="100"/>
      <c r="H499" s="187">
        <v>0.3</v>
      </c>
      <c r="I499" s="99">
        <v>169</v>
      </c>
      <c r="J499" s="163">
        <v>265.5</v>
      </c>
      <c r="K499" s="188">
        <v>58.25</v>
      </c>
      <c r="L499" s="188">
        <v>323.75</v>
      </c>
    </row>
    <row r="500" spans="1:12" ht="120" x14ac:dyDescent="0.3">
      <c r="B500" s="209">
        <v>28</v>
      </c>
      <c r="C500" s="185" t="s">
        <v>101</v>
      </c>
      <c r="D500" s="174" t="s">
        <v>27</v>
      </c>
      <c r="E500" s="91" t="s">
        <v>263</v>
      </c>
      <c r="F500" s="84" t="s">
        <v>90</v>
      </c>
      <c r="G500" s="100">
        <v>5.5849000000000002</v>
      </c>
      <c r="H500" s="187">
        <v>0.30000537162706581</v>
      </c>
      <c r="I500" s="99">
        <v>90</v>
      </c>
      <c r="J500" s="188">
        <v>150.79</v>
      </c>
      <c r="K500" s="188">
        <v>33.08</v>
      </c>
      <c r="L500" s="188">
        <v>183.87</v>
      </c>
    </row>
    <row r="501" spans="1:12" ht="144" x14ac:dyDescent="0.3">
      <c r="B501" s="209">
        <v>29</v>
      </c>
      <c r="C501" s="185" t="s">
        <v>101</v>
      </c>
      <c r="D501" s="174" t="s">
        <v>27</v>
      </c>
      <c r="E501" s="91" t="s">
        <v>264</v>
      </c>
      <c r="F501" s="84" t="s">
        <v>90</v>
      </c>
      <c r="G501" s="100">
        <v>5.0772000000000004</v>
      </c>
      <c r="H501" s="187">
        <v>0.30000787835815018</v>
      </c>
      <c r="I501" s="99">
        <v>63</v>
      </c>
      <c r="J501" s="188">
        <v>95.96</v>
      </c>
      <c r="K501" s="188">
        <v>22.64</v>
      </c>
      <c r="L501" s="163">
        <v>118.6</v>
      </c>
    </row>
    <row r="502" spans="1:12" ht="120" x14ac:dyDescent="0.3">
      <c r="B502" s="209">
        <v>30</v>
      </c>
      <c r="C502" s="185" t="s">
        <v>101</v>
      </c>
      <c r="D502" s="174" t="s">
        <v>105</v>
      </c>
      <c r="E502" s="91" t="s">
        <v>265</v>
      </c>
      <c r="F502" s="84" t="s">
        <v>90</v>
      </c>
      <c r="G502" s="100">
        <v>5.4653999999999998</v>
      </c>
      <c r="H502" s="187">
        <v>0.29999634061550845</v>
      </c>
      <c r="I502" s="99">
        <v>160</v>
      </c>
      <c r="J502" s="188">
        <v>262.33999999999997</v>
      </c>
      <c r="K502" s="188">
        <v>61.89</v>
      </c>
      <c r="L502" s="188">
        <v>324.23</v>
      </c>
    </row>
    <row r="503" spans="1:12" ht="120" x14ac:dyDescent="0.3">
      <c r="B503" s="209">
        <v>31</v>
      </c>
      <c r="C503" s="185" t="s">
        <v>101</v>
      </c>
      <c r="D503" s="174" t="s">
        <v>27</v>
      </c>
      <c r="E503" s="91" t="s">
        <v>266</v>
      </c>
      <c r="F503" s="84" t="s">
        <v>90</v>
      </c>
      <c r="G503" s="100">
        <v>5.0780000000000003</v>
      </c>
      <c r="H503" s="187">
        <v>0.3</v>
      </c>
      <c r="I503" s="99">
        <v>48</v>
      </c>
      <c r="J503" s="188">
        <v>73.12</v>
      </c>
      <c r="K503" s="188">
        <v>17.25</v>
      </c>
      <c r="L503" s="188">
        <v>90.37</v>
      </c>
    </row>
    <row r="504" spans="1:12" ht="132" x14ac:dyDescent="0.3">
      <c r="B504" s="209">
        <v>32</v>
      </c>
      <c r="C504" s="185" t="s">
        <v>101</v>
      </c>
      <c r="D504" s="174" t="s">
        <v>27</v>
      </c>
      <c r="E504" s="91" t="s">
        <v>267</v>
      </c>
      <c r="F504" s="84" t="s">
        <v>90</v>
      </c>
      <c r="G504" s="100">
        <v>5.5849000000000002</v>
      </c>
      <c r="H504" s="187">
        <v>0.30000537162706581</v>
      </c>
      <c r="I504" s="99">
        <v>45</v>
      </c>
      <c r="J504" s="163">
        <v>75.400000000000006</v>
      </c>
      <c r="K504" s="188">
        <v>17.79</v>
      </c>
      <c r="L504" s="188">
        <v>93.19</v>
      </c>
    </row>
    <row r="505" spans="1:12" x14ac:dyDescent="0.3">
      <c r="C505" s="143" t="s">
        <v>10</v>
      </c>
      <c r="D505" s="146"/>
      <c r="E505" s="63"/>
      <c r="F505" s="17"/>
      <c r="G505" s="5"/>
      <c r="H505" s="5"/>
      <c r="I505" s="22">
        <f>SUM(I473:I504)</f>
        <v>3475</v>
      </c>
      <c r="J505" s="27">
        <f>SUM(J473:J504)</f>
        <v>5804.8899999999994</v>
      </c>
      <c r="K505" s="27">
        <f>SUM(K473:K504)</f>
        <v>1340.5</v>
      </c>
      <c r="L505" s="21">
        <f>ROUND(SUM(L473:L504),2)</f>
        <v>7145.39</v>
      </c>
    </row>
    <row r="506" spans="1:12" ht="70.2" customHeight="1" x14ac:dyDescent="0.3">
      <c r="B506" s="191" t="s">
        <v>108</v>
      </c>
      <c r="C506" s="191"/>
      <c r="D506" s="191"/>
      <c r="E506" s="191"/>
      <c r="F506" s="191"/>
      <c r="G506" s="191"/>
      <c r="H506" s="191"/>
      <c r="I506" s="191"/>
      <c r="J506" s="191"/>
      <c r="K506" s="191"/>
      <c r="L506" s="191"/>
    </row>
    <row r="507" spans="1:12" x14ac:dyDescent="0.3">
      <c r="A507" s="8" t="s">
        <v>158</v>
      </c>
      <c r="B507" s="202" t="s">
        <v>109</v>
      </c>
      <c r="C507" s="148"/>
      <c r="D507" s="148"/>
      <c r="E507" s="119"/>
      <c r="F507" s="20"/>
      <c r="G507" s="6"/>
      <c r="H507" s="6"/>
      <c r="I507" s="19"/>
      <c r="J507" s="46"/>
      <c r="K507" s="46"/>
      <c r="L507" s="47"/>
    </row>
    <row r="508" spans="1:12" ht="48" x14ac:dyDescent="0.3">
      <c r="B508" s="201">
        <v>1</v>
      </c>
      <c r="C508" s="141" t="s">
        <v>110</v>
      </c>
      <c r="D508" s="147" t="s">
        <v>7</v>
      </c>
      <c r="E508" s="67" t="s">
        <v>139</v>
      </c>
      <c r="F508" s="65">
        <v>1282</v>
      </c>
      <c r="G508" s="66">
        <v>7.6231999999999998</v>
      </c>
      <c r="H508" s="186">
        <f>G508*0.75</f>
        <v>5.7173999999999996</v>
      </c>
      <c r="I508" s="72">
        <v>53.5</v>
      </c>
      <c r="J508" s="80">
        <f>I508*H508</f>
        <v>305.8809</v>
      </c>
      <c r="K508" s="80">
        <f>J508*23.59%</f>
        <v>72.157304310000001</v>
      </c>
      <c r="L508" s="80">
        <f t="shared" ref="L508:L563" si="105">J508+K508</f>
        <v>378.03820430999997</v>
      </c>
    </row>
    <row r="509" spans="1:12" ht="48" x14ac:dyDescent="0.3">
      <c r="B509" s="201">
        <v>2</v>
      </c>
      <c r="C509" s="141" t="s">
        <v>110</v>
      </c>
      <c r="D509" s="147" t="s">
        <v>7</v>
      </c>
      <c r="E509" s="67" t="s">
        <v>139</v>
      </c>
      <c r="F509" s="65">
        <v>1282</v>
      </c>
      <c r="G509" s="66">
        <v>7.6231999999999998</v>
      </c>
      <c r="H509" s="186">
        <f t="shared" ref="H509:H563" si="106">G509*0.75</f>
        <v>5.7173999999999996</v>
      </c>
      <c r="I509" s="120">
        <v>58.5</v>
      </c>
      <c r="J509" s="80">
        <f>I509*H509</f>
        <v>334.46789999999999</v>
      </c>
      <c r="K509" s="80">
        <f>J509*23.59%</f>
        <v>78.900977609999998</v>
      </c>
      <c r="L509" s="80">
        <f t="shared" si="105"/>
        <v>413.36887760999997</v>
      </c>
    </row>
    <row r="510" spans="1:12" ht="48" x14ac:dyDescent="0.3">
      <c r="B510" s="201">
        <v>3</v>
      </c>
      <c r="C510" s="141" t="s">
        <v>110</v>
      </c>
      <c r="D510" s="147" t="s">
        <v>7</v>
      </c>
      <c r="E510" s="67" t="s">
        <v>139</v>
      </c>
      <c r="F510" s="65">
        <v>1282</v>
      </c>
      <c r="G510" s="66">
        <v>7.6231999999999998</v>
      </c>
      <c r="H510" s="186">
        <f t="shared" si="106"/>
        <v>5.7173999999999996</v>
      </c>
      <c r="I510" s="72">
        <v>45</v>
      </c>
      <c r="J510" s="80">
        <f t="shared" ref="J510:J563" si="107">I510*H510</f>
        <v>257.28299999999996</v>
      </c>
      <c r="K510" s="80">
        <f>J510*23.59%+0.01</f>
        <v>60.70305969999999</v>
      </c>
      <c r="L510" s="80">
        <f t="shared" si="105"/>
        <v>317.98605969999994</v>
      </c>
    </row>
    <row r="511" spans="1:12" ht="48" x14ac:dyDescent="0.3">
      <c r="B511" s="201">
        <v>4</v>
      </c>
      <c r="C511" s="141" t="s">
        <v>110</v>
      </c>
      <c r="D511" s="147" t="s">
        <v>7</v>
      </c>
      <c r="E511" s="67" t="s">
        <v>139</v>
      </c>
      <c r="F511" s="65">
        <v>1282</v>
      </c>
      <c r="G511" s="66">
        <v>7.6231999999999998</v>
      </c>
      <c r="H511" s="66">
        <f t="shared" si="106"/>
        <v>5.7173999999999996</v>
      </c>
      <c r="I511" s="122">
        <v>42.5</v>
      </c>
      <c r="J511" s="80">
        <f t="shared" si="107"/>
        <v>242.98949999999999</v>
      </c>
      <c r="K511" s="80">
        <f>J511*23.59%</f>
        <v>57.32122305</v>
      </c>
      <c r="L511" s="80">
        <f t="shared" si="105"/>
        <v>300.31072304999998</v>
      </c>
    </row>
    <row r="512" spans="1:12" ht="36" x14ac:dyDescent="0.3">
      <c r="B512" s="201">
        <v>5</v>
      </c>
      <c r="C512" s="141" t="s">
        <v>110</v>
      </c>
      <c r="D512" s="147" t="s">
        <v>111</v>
      </c>
      <c r="E512" s="67" t="s">
        <v>140</v>
      </c>
      <c r="F512" s="65">
        <v>1282</v>
      </c>
      <c r="G512" s="66">
        <v>7.6231999999999998</v>
      </c>
      <c r="H512" s="66">
        <f t="shared" si="106"/>
        <v>5.7173999999999996</v>
      </c>
      <c r="I512" s="95">
        <v>10.5</v>
      </c>
      <c r="J512" s="80">
        <f t="shared" si="107"/>
        <v>60.032699999999998</v>
      </c>
      <c r="K512" s="80">
        <f>J512*23.59%</f>
        <v>14.161713929999999</v>
      </c>
      <c r="L512" s="80">
        <f t="shared" si="105"/>
        <v>74.194413929999996</v>
      </c>
    </row>
    <row r="513" spans="2:12" ht="48" x14ac:dyDescent="0.3">
      <c r="B513" s="201">
        <v>6</v>
      </c>
      <c r="C513" s="141" t="s">
        <v>110</v>
      </c>
      <c r="D513" s="147" t="s">
        <v>112</v>
      </c>
      <c r="E513" s="67" t="s">
        <v>139</v>
      </c>
      <c r="F513" s="65">
        <v>1140</v>
      </c>
      <c r="G513" s="66">
        <v>6.7789000000000001</v>
      </c>
      <c r="H513" s="66">
        <f t="shared" si="106"/>
        <v>5.0841750000000001</v>
      </c>
      <c r="I513" s="72">
        <v>49</v>
      </c>
      <c r="J513" s="80">
        <f t="shared" si="107"/>
        <v>249.12457499999999</v>
      </c>
      <c r="K513" s="80">
        <f>J513*23.59%-0.01</f>
        <v>58.758487242500003</v>
      </c>
      <c r="L513" s="80">
        <f t="shared" si="105"/>
        <v>307.88306224249999</v>
      </c>
    </row>
    <row r="514" spans="2:12" ht="48" x14ac:dyDescent="0.3">
      <c r="B514" s="201">
        <v>7</v>
      </c>
      <c r="C514" s="141" t="s">
        <v>110</v>
      </c>
      <c r="D514" s="147" t="s">
        <v>112</v>
      </c>
      <c r="E514" s="67" t="s">
        <v>139</v>
      </c>
      <c r="F514" s="65">
        <v>1140</v>
      </c>
      <c r="G514" s="66">
        <v>6.7789000000000001</v>
      </c>
      <c r="H514" s="66">
        <f t="shared" si="106"/>
        <v>5.0841750000000001</v>
      </c>
      <c r="I514" s="122">
        <v>31.5</v>
      </c>
      <c r="J514" s="80">
        <f t="shared" si="107"/>
        <v>160.1515125</v>
      </c>
      <c r="K514" s="80">
        <f>J514*23.59%</f>
        <v>37.779741798749995</v>
      </c>
      <c r="L514" s="80">
        <f t="shared" si="105"/>
        <v>197.93125429874999</v>
      </c>
    </row>
    <row r="515" spans="2:12" ht="48" x14ac:dyDescent="0.3">
      <c r="B515" s="201">
        <v>8</v>
      </c>
      <c r="C515" s="141" t="s">
        <v>110</v>
      </c>
      <c r="D515" s="147" t="s">
        <v>112</v>
      </c>
      <c r="E515" s="67" t="s">
        <v>139</v>
      </c>
      <c r="F515" s="65">
        <v>1140</v>
      </c>
      <c r="G515" s="66">
        <v>6.7789000000000001</v>
      </c>
      <c r="H515" s="66">
        <f t="shared" si="106"/>
        <v>5.0841750000000001</v>
      </c>
      <c r="I515" s="121">
        <v>44</v>
      </c>
      <c r="J515" s="80">
        <f t="shared" si="107"/>
        <v>223.7037</v>
      </c>
      <c r="K515" s="80">
        <f>J515*23.59%</f>
        <v>52.771702830000002</v>
      </c>
      <c r="L515" s="80">
        <f>J515+K515-0.01</f>
        <v>276.46540283000002</v>
      </c>
    </row>
    <row r="516" spans="2:12" ht="48" x14ac:dyDescent="0.3">
      <c r="B516" s="201">
        <v>9</v>
      </c>
      <c r="C516" s="141" t="s">
        <v>110</v>
      </c>
      <c r="D516" s="147" t="s">
        <v>112</v>
      </c>
      <c r="E516" s="67" t="s">
        <v>139</v>
      </c>
      <c r="F516" s="65">
        <v>1140</v>
      </c>
      <c r="G516" s="66">
        <v>6.7789000000000001</v>
      </c>
      <c r="H516" s="66">
        <f t="shared" si="106"/>
        <v>5.0841750000000001</v>
      </c>
      <c r="I516" s="122">
        <v>34.5</v>
      </c>
      <c r="J516" s="80">
        <f t="shared" si="107"/>
        <v>175.40403750000002</v>
      </c>
      <c r="K516" s="80">
        <f>J516*23.59%</f>
        <v>41.377812446250005</v>
      </c>
      <c r="L516" s="80">
        <f t="shared" si="105"/>
        <v>216.78184994625002</v>
      </c>
    </row>
    <row r="517" spans="2:12" ht="108" x14ac:dyDescent="0.3">
      <c r="B517" s="201">
        <v>10</v>
      </c>
      <c r="C517" s="141" t="s">
        <v>110</v>
      </c>
      <c r="D517" s="147" t="s">
        <v>113</v>
      </c>
      <c r="E517" s="67" t="s">
        <v>114</v>
      </c>
      <c r="F517" s="65">
        <v>1073</v>
      </c>
      <c r="G517" s="66">
        <v>6.3803999999999998</v>
      </c>
      <c r="H517" s="66">
        <f t="shared" si="106"/>
        <v>4.7852999999999994</v>
      </c>
      <c r="I517" s="72">
        <v>53</v>
      </c>
      <c r="J517" s="80">
        <f t="shared" si="107"/>
        <v>253.62089999999998</v>
      </c>
      <c r="K517" s="80">
        <f>J517*23.59%-0.01</f>
        <v>59.819170309999997</v>
      </c>
      <c r="L517" s="80">
        <f t="shared" si="105"/>
        <v>313.44007030999995</v>
      </c>
    </row>
    <row r="518" spans="2:12" ht="108" x14ac:dyDescent="0.3">
      <c r="B518" s="201">
        <v>11</v>
      </c>
      <c r="C518" s="141" t="s">
        <v>110</v>
      </c>
      <c r="D518" s="147" t="s">
        <v>113</v>
      </c>
      <c r="E518" s="67" t="s">
        <v>114</v>
      </c>
      <c r="F518" s="65">
        <v>1073</v>
      </c>
      <c r="G518" s="66">
        <v>6.3803999999999998</v>
      </c>
      <c r="H518" s="66">
        <f t="shared" si="106"/>
        <v>4.7852999999999994</v>
      </c>
      <c r="I518" s="72">
        <v>59</v>
      </c>
      <c r="J518" s="80">
        <f t="shared" si="107"/>
        <v>282.33269999999999</v>
      </c>
      <c r="K518" s="80">
        <f>J518*23.59%</f>
        <v>66.602283929999999</v>
      </c>
      <c r="L518" s="80">
        <f t="shared" si="105"/>
        <v>348.93498392999999</v>
      </c>
    </row>
    <row r="519" spans="2:12" ht="108" x14ac:dyDescent="0.3">
      <c r="B519" s="201">
        <v>12</v>
      </c>
      <c r="C519" s="141" t="s">
        <v>110</v>
      </c>
      <c r="D519" s="147" t="s">
        <v>113</v>
      </c>
      <c r="E519" s="67" t="s">
        <v>114</v>
      </c>
      <c r="F519" s="65">
        <v>1073</v>
      </c>
      <c r="G519" s="66">
        <v>6.3803999999999998</v>
      </c>
      <c r="H519" s="66">
        <f t="shared" si="106"/>
        <v>4.7852999999999994</v>
      </c>
      <c r="I519" s="72">
        <v>50</v>
      </c>
      <c r="J519" s="80">
        <f t="shared" si="107"/>
        <v>239.26499999999999</v>
      </c>
      <c r="K519" s="80">
        <f>J519*23.59%+0.01</f>
        <v>56.452613499999991</v>
      </c>
      <c r="L519" s="80">
        <f t="shared" si="105"/>
        <v>295.71761349999997</v>
      </c>
    </row>
    <row r="520" spans="2:12" ht="108" x14ac:dyDescent="0.3">
      <c r="B520" s="201">
        <v>13</v>
      </c>
      <c r="C520" s="141" t="s">
        <v>110</v>
      </c>
      <c r="D520" s="147" t="s">
        <v>113</v>
      </c>
      <c r="E520" s="67" t="s">
        <v>114</v>
      </c>
      <c r="F520" s="65">
        <v>1153</v>
      </c>
      <c r="G520" s="66">
        <v>6.8562000000000003</v>
      </c>
      <c r="H520" s="66">
        <f t="shared" si="106"/>
        <v>5.14215</v>
      </c>
      <c r="I520" s="72">
        <v>56.5</v>
      </c>
      <c r="J520" s="80">
        <f t="shared" si="107"/>
        <v>290.531475</v>
      </c>
      <c r="K520" s="80">
        <f>J520*23.59%</f>
        <v>68.536374952499997</v>
      </c>
      <c r="L520" s="80">
        <f t="shared" si="105"/>
        <v>359.06784995250001</v>
      </c>
    </row>
    <row r="521" spans="2:12" ht="108" x14ac:dyDescent="0.3">
      <c r="B521" s="201">
        <v>14</v>
      </c>
      <c r="C521" s="141" t="s">
        <v>110</v>
      </c>
      <c r="D521" s="147" t="s">
        <v>113</v>
      </c>
      <c r="E521" s="67" t="s">
        <v>114</v>
      </c>
      <c r="F521" s="65">
        <v>1073</v>
      </c>
      <c r="G521" s="66">
        <v>6.3803999999999998</v>
      </c>
      <c r="H521" s="66">
        <f t="shared" si="106"/>
        <v>4.7852999999999994</v>
      </c>
      <c r="I521" s="72">
        <v>51.5</v>
      </c>
      <c r="J521" s="80">
        <f>I521*H521</f>
        <v>246.44294999999997</v>
      </c>
      <c r="K521" s="80">
        <f>J521*23.59%</f>
        <v>58.135891904999994</v>
      </c>
      <c r="L521" s="80">
        <f t="shared" si="105"/>
        <v>304.57884190499999</v>
      </c>
    </row>
    <row r="522" spans="2:12" ht="108" x14ac:dyDescent="0.3">
      <c r="B522" s="201">
        <v>15</v>
      </c>
      <c r="C522" s="141" t="s">
        <v>110</v>
      </c>
      <c r="D522" s="147" t="s">
        <v>113</v>
      </c>
      <c r="E522" s="67" t="s">
        <v>114</v>
      </c>
      <c r="F522" s="65">
        <v>1073</v>
      </c>
      <c r="G522" s="66">
        <v>6.3803999999999998</v>
      </c>
      <c r="H522" s="66">
        <f t="shared" si="106"/>
        <v>4.7852999999999994</v>
      </c>
      <c r="I522" s="72">
        <v>46.5</v>
      </c>
      <c r="J522" s="80">
        <f t="shared" si="107"/>
        <v>222.51644999999996</v>
      </c>
      <c r="K522" s="80">
        <f>J522*23.59%</f>
        <v>52.491630554999993</v>
      </c>
      <c r="L522" s="80">
        <f t="shared" si="105"/>
        <v>275.00808055499994</v>
      </c>
    </row>
    <row r="523" spans="2:12" ht="108" x14ac:dyDescent="0.3">
      <c r="B523" s="201">
        <v>16</v>
      </c>
      <c r="C523" s="141" t="s">
        <v>110</v>
      </c>
      <c r="D523" s="147" t="s">
        <v>113</v>
      </c>
      <c r="E523" s="67" t="s">
        <v>114</v>
      </c>
      <c r="F523" s="65">
        <v>1073</v>
      </c>
      <c r="G523" s="66">
        <v>6.3803999999999998</v>
      </c>
      <c r="H523" s="66">
        <f t="shared" si="106"/>
        <v>4.7852999999999994</v>
      </c>
      <c r="I523" s="72">
        <v>48.5</v>
      </c>
      <c r="J523" s="80">
        <f t="shared" si="107"/>
        <v>232.08704999999998</v>
      </c>
      <c r="K523" s="80">
        <f>J523*23.59%</f>
        <v>54.749335094999992</v>
      </c>
      <c r="L523" s="80">
        <f t="shared" si="105"/>
        <v>286.83638509499997</v>
      </c>
    </row>
    <row r="524" spans="2:12" ht="108" x14ac:dyDescent="0.3">
      <c r="B524" s="201">
        <v>17</v>
      </c>
      <c r="C524" s="141" t="s">
        <v>110</v>
      </c>
      <c r="D524" s="147" t="s">
        <v>8</v>
      </c>
      <c r="E524" s="67" t="s">
        <v>114</v>
      </c>
      <c r="F524" s="65">
        <v>924</v>
      </c>
      <c r="G524" s="66">
        <v>5.4943999999999997</v>
      </c>
      <c r="H524" s="66">
        <f t="shared" si="106"/>
        <v>4.1208</v>
      </c>
      <c r="I524" s="72">
        <v>55.5</v>
      </c>
      <c r="J524" s="80">
        <f t="shared" si="107"/>
        <v>228.70439999999999</v>
      </c>
      <c r="K524" s="80">
        <f>J524*23.59%</f>
        <v>53.951367959999999</v>
      </c>
      <c r="L524" s="80">
        <f>J524+K524-0.01</f>
        <v>282.64576796</v>
      </c>
    </row>
    <row r="525" spans="2:12" ht="108" x14ac:dyDescent="0.3">
      <c r="B525" s="201">
        <v>18</v>
      </c>
      <c r="C525" s="141" t="s">
        <v>110</v>
      </c>
      <c r="D525" s="147" t="s">
        <v>8</v>
      </c>
      <c r="E525" s="67" t="s">
        <v>114</v>
      </c>
      <c r="F525" s="65">
        <v>924</v>
      </c>
      <c r="G525" s="66">
        <v>5.4943999999999997</v>
      </c>
      <c r="H525" s="66">
        <f>G525*0.75</f>
        <v>4.1208</v>
      </c>
      <c r="I525" s="72">
        <v>46.5</v>
      </c>
      <c r="J525" s="80">
        <f>I525*H525</f>
        <v>191.6172</v>
      </c>
      <c r="K525" s="80">
        <f>J525*23.59%+0.01</f>
        <v>45.212497479999996</v>
      </c>
      <c r="L525" s="80">
        <f t="shared" si="105"/>
        <v>236.82969747999999</v>
      </c>
    </row>
    <row r="526" spans="2:12" ht="108" x14ac:dyDescent="0.3">
      <c r="B526" s="201">
        <v>19</v>
      </c>
      <c r="C526" s="141" t="s">
        <v>110</v>
      </c>
      <c r="D526" s="147" t="s">
        <v>113</v>
      </c>
      <c r="E526" s="67" t="s">
        <v>114</v>
      </c>
      <c r="F526" s="65">
        <v>1073</v>
      </c>
      <c r="G526" s="66">
        <v>6.3803999999999998</v>
      </c>
      <c r="H526" s="66">
        <f t="shared" si="106"/>
        <v>4.7852999999999994</v>
      </c>
      <c r="I526" s="72">
        <v>44.5</v>
      </c>
      <c r="J526" s="80">
        <f t="shared" si="107"/>
        <v>212.94584999999998</v>
      </c>
      <c r="K526" s="80">
        <f>J526*23.59%</f>
        <v>50.233926014999994</v>
      </c>
      <c r="L526" s="80">
        <f t="shared" si="105"/>
        <v>263.17977601499996</v>
      </c>
    </row>
    <row r="527" spans="2:12" ht="108" x14ac:dyDescent="0.3">
      <c r="B527" s="201">
        <v>20</v>
      </c>
      <c r="C527" s="141" t="s">
        <v>110</v>
      </c>
      <c r="D527" s="147" t="s">
        <v>113</v>
      </c>
      <c r="E527" s="67" t="s">
        <v>114</v>
      </c>
      <c r="F527" s="65">
        <v>1153</v>
      </c>
      <c r="G527" s="66">
        <v>6.8562000000000003</v>
      </c>
      <c r="H527" s="66">
        <f t="shared" si="106"/>
        <v>5.14215</v>
      </c>
      <c r="I527" s="72">
        <v>23.5</v>
      </c>
      <c r="J527" s="80">
        <f t="shared" si="107"/>
        <v>120.840525</v>
      </c>
      <c r="K527" s="80">
        <f>J527*23.59%</f>
        <v>28.5062798475</v>
      </c>
      <c r="L527" s="80">
        <f t="shared" si="105"/>
        <v>149.34680484750001</v>
      </c>
    </row>
    <row r="528" spans="2:12" ht="108" x14ac:dyDescent="0.3">
      <c r="B528" s="201">
        <v>21</v>
      </c>
      <c r="C528" s="141" t="s">
        <v>110</v>
      </c>
      <c r="D528" s="147" t="s">
        <v>113</v>
      </c>
      <c r="E528" s="67" t="s">
        <v>114</v>
      </c>
      <c r="F528" s="65">
        <v>1073</v>
      </c>
      <c r="G528" s="66">
        <v>6.3803999999999998</v>
      </c>
      <c r="H528" s="66">
        <f t="shared" si="106"/>
        <v>4.7852999999999994</v>
      </c>
      <c r="I528" s="72">
        <v>46.5</v>
      </c>
      <c r="J528" s="80">
        <f t="shared" si="107"/>
        <v>222.51644999999996</v>
      </c>
      <c r="K528" s="80">
        <f>J528*23.59%</f>
        <v>52.491630554999993</v>
      </c>
      <c r="L528" s="80">
        <f t="shared" si="105"/>
        <v>275.00808055499994</v>
      </c>
    </row>
    <row r="529" spans="2:12" ht="108" x14ac:dyDescent="0.3">
      <c r="B529" s="201">
        <v>22</v>
      </c>
      <c r="C529" s="141" t="s">
        <v>110</v>
      </c>
      <c r="D529" s="147" t="s">
        <v>113</v>
      </c>
      <c r="E529" s="67" t="s">
        <v>114</v>
      </c>
      <c r="F529" s="65">
        <v>1073</v>
      </c>
      <c r="G529" s="66">
        <v>6.3803999999999998</v>
      </c>
      <c r="H529" s="66">
        <f t="shared" si="106"/>
        <v>4.7852999999999994</v>
      </c>
      <c r="I529" s="72">
        <v>34.5</v>
      </c>
      <c r="J529" s="80">
        <f>I529*H529</f>
        <v>165.09284999999997</v>
      </c>
      <c r="K529" s="80">
        <f>J529*23.59%-0.01</f>
        <v>38.935403314999995</v>
      </c>
      <c r="L529" s="80">
        <f t="shared" si="105"/>
        <v>204.02825331499997</v>
      </c>
    </row>
    <row r="530" spans="2:12" ht="108" x14ac:dyDescent="0.3">
      <c r="B530" s="201">
        <v>23</v>
      </c>
      <c r="C530" s="141" t="s">
        <v>110</v>
      </c>
      <c r="D530" s="147" t="s">
        <v>113</v>
      </c>
      <c r="E530" s="67" t="s">
        <v>114</v>
      </c>
      <c r="F530" s="65">
        <v>1073</v>
      </c>
      <c r="G530" s="66">
        <v>6.3803999999999998</v>
      </c>
      <c r="H530" s="66">
        <f t="shared" si="106"/>
        <v>4.7852999999999994</v>
      </c>
      <c r="I530" s="72">
        <v>34</v>
      </c>
      <c r="J530" s="80">
        <f t="shared" si="107"/>
        <v>162.7002</v>
      </c>
      <c r="K530" s="80">
        <f>J530*23.59%</f>
        <v>38.380977180000002</v>
      </c>
      <c r="L530" s="80">
        <f t="shared" si="105"/>
        <v>201.08117718</v>
      </c>
    </row>
    <row r="531" spans="2:12" ht="108" x14ac:dyDescent="0.3">
      <c r="B531" s="201">
        <v>24</v>
      </c>
      <c r="C531" s="141" t="s">
        <v>110</v>
      </c>
      <c r="D531" s="147" t="s">
        <v>113</v>
      </c>
      <c r="E531" s="67" t="s">
        <v>114</v>
      </c>
      <c r="F531" s="65">
        <v>1073</v>
      </c>
      <c r="G531" s="66">
        <v>6.3803999999999998</v>
      </c>
      <c r="H531" s="66">
        <f t="shared" si="106"/>
        <v>4.7852999999999994</v>
      </c>
      <c r="I531" s="72">
        <v>45.5</v>
      </c>
      <c r="J531" s="80">
        <f>I531*H531</f>
        <v>217.73114999999999</v>
      </c>
      <c r="K531" s="80">
        <f>J531*23.59%+0.01</f>
        <v>51.372778284999995</v>
      </c>
      <c r="L531" s="80">
        <f t="shared" si="105"/>
        <v>269.10392828499999</v>
      </c>
    </row>
    <row r="532" spans="2:12" ht="108" x14ac:dyDescent="0.3">
      <c r="B532" s="201">
        <v>25</v>
      </c>
      <c r="C532" s="141" t="s">
        <v>110</v>
      </c>
      <c r="D532" s="147" t="s">
        <v>113</v>
      </c>
      <c r="E532" s="67" t="s">
        <v>114</v>
      </c>
      <c r="F532" s="65">
        <v>1073</v>
      </c>
      <c r="G532" s="66">
        <v>6.3803999999999998</v>
      </c>
      <c r="H532" s="66">
        <f t="shared" si="106"/>
        <v>4.7852999999999994</v>
      </c>
      <c r="I532" s="72">
        <v>48.5</v>
      </c>
      <c r="J532" s="80">
        <f t="shared" si="107"/>
        <v>232.08704999999998</v>
      </c>
      <c r="K532" s="80">
        <f t="shared" ref="K532:K537" si="108">J532*23.59%</f>
        <v>54.749335094999992</v>
      </c>
      <c r="L532" s="80">
        <f t="shared" si="105"/>
        <v>286.83638509499997</v>
      </c>
    </row>
    <row r="533" spans="2:12" ht="108" x14ac:dyDescent="0.3">
      <c r="B533" s="201">
        <v>26</v>
      </c>
      <c r="C533" s="141" t="s">
        <v>110</v>
      </c>
      <c r="D533" s="147" t="s">
        <v>8</v>
      </c>
      <c r="E533" s="67" t="s">
        <v>114</v>
      </c>
      <c r="F533" s="65">
        <v>924</v>
      </c>
      <c r="G533" s="66">
        <v>5.4943999999999997</v>
      </c>
      <c r="H533" s="66">
        <f t="shared" si="106"/>
        <v>4.1208</v>
      </c>
      <c r="I533" s="72">
        <v>41.5</v>
      </c>
      <c r="J533" s="80">
        <f t="shared" si="107"/>
        <v>171.01320000000001</v>
      </c>
      <c r="K533" s="80">
        <f t="shared" si="108"/>
        <v>40.342013880000003</v>
      </c>
      <c r="L533" s="80">
        <f>J533+K533-0.01</f>
        <v>211.34521388000002</v>
      </c>
    </row>
    <row r="534" spans="2:12" ht="108" x14ac:dyDescent="0.3">
      <c r="B534" s="201">
        <v>27</v>
      </c>
      <c r="C534" s="141" t="s">
        <v>110</v>
      </c>
      <c r="D534" s="147" t="s">
        <v>8</v>
      </c>
      <c r="E534" s="67" t="s">
        <v>114</v>
      </c>
      <c r="F534" s="65">
        <v>924</v>
      </c>
      <c r="G534" s="66">
        <v>5.4943999999999997</v>
      </c>
      <c r="H534" s="66">
        <f t="shared" si="106"/>
        <v>4.1208</v>
      </c>
      <c r="I534" s="72">
        <v>48.5</v>
      </c>
      <c r="J534" s="80">
        <f>I534*H534</f>
        <v>199.8588</v>
      </c>
      <c r="K534" s="80">
        <f t="shared" si="108"/>
        <v>47.146690919999998</v>
      </c>
      <c r="L534" s="80">
        <f t="shared" si="105"/>
        <v>247.00549092</v>
      </c>
    </row>
    <row r="535" spans="2:12" ht="108" x14ac:dyDescent="0.3">
      <c r="B535" s="201">
        <v>28</v>
      </c>
      <c r="C535" s="141" t="s">
        <v>110</v>
      </c>
      <c r="D535" s="147" t="s">
        <v>8</v>
      </c>
      <c r="E535" s="67" t="s">
        <v>114</v>
      </c>
      <c r="F535" s="65">
        <v>924</v>
      </c>
      <c r="G535" s="66">
        <v>5.4943999999999997</v>
      </c>
      <c r="H535" s="66">
        <f t="shared" si="106"/>
        <v>4.1208</v>
      </c>
      <c r="I535" s="72">
        <v>44.5</v>
      </c>
      <c r="J535" s="80">
        <f t="shared" si="107"/>
        <v>183.37559999999999</v>
      </c>
      <c r="K535" s="80">
        <f t="shared" si="108"/>
        <v>43.258304039999999</v>
      </c>
      <c r="L535" s="80">
        <f>J535+K535+0.01</f>
        <v>226.64390404</v>
      </c>
    </row>
    <row r="536" spans="2:12" ht="108" x14ac:dyDescent="0.3">
      <c r="B536" s="201">
        <v>29</v>
      </c>
      <c r="C536" s="141" t="s">
        <v>110</v>
      </c>
      <c r="D536" s="147" t="s">
        <v>8</v>
      </c>
      <c r="E536" s="67" t="s">
        <v>114</v>
      </c>
      <c r="F536" s="65">
        <v>924</v>
      </c>
      <c r="G536" s="66">
        <v>5.4943999999999997</v>
      </c>
      <c r="H536" s="66">
        <f t="shared" si="106"/>
        <v>4.1208</v>
      </c>
      <c r="I536" s="72">
        <v>47.5</v>
      </c>
      <c r="J536" s="80">
        <f t="shared" si="107"/>
        <v>195.738</v>
      </c>
      <c r="K536" s="80">
        <f t="shared" si="108"/>
        <v>46.174594200000001</v>
      </c>
      <c r="L536" s="80">
        <f t="shared" si="105"/>
        <v>241.9125942</v>
      </c>
    </row>
    <row r="537" spans="2:12" ht="108" x14ac:dyDescent="0.3">
      <c r="B537" s="201">
        <v>30</v>
      </c>
      <c r="C537" s="141" t="s">
        <v>110</v>
      </c>
      <c r="D537" s="147" t="s">
        <v>8</v>
      </c>
      <c r="E537" s="67" t="s">
        <v>114</v>
      </c>
      <c r="F537" s="95">
        <v>924</v>
      </c>
      <c r="G537" s="66">
        <v>5.4943999999999997</v>
      </c>
      <c r="H537" s="66">
        <f t="shared" si="106"/>
        <v>4.1208</v>
      </c>
      <c r="I537" s="72">
        <v>35.5</v>
      </c>
      <c r="J537" s="80">
        <f t="shared" si="107"/>
        <v>146.2884</v>
      </c>
      <c r="K537" s="80">
        <f t="shared" si="108"/>
        <v>34.509433559999998</v>
      </c>
      <c r="L537" s="80">
        <f t="shared" si="105"/>
        <v>180.79783355999999</v>
      </c>
    </row>
    <row r="538" spans="2:12" ht="108" x14ac:dyDescent="0.3">
      <c r="B538" s="201">
        <v>31</v>
      </c>
      <c r="C538" s="141" t="s">
        <v>110</v>
      </c>
      <c r="D538" s="147" t="s">
        <v>113</v>
      </c>
      <c r="E538" s="67" t="s">
        <v>114</v>
      </c>
      <c r="F538" s="65">
        <v>1073</v>
      </c>
      <c r="G538" s="66">
        <v>6.3803999999999998</v>
      </c>
      <c r="H538" s="66">
        <f t="shared" si="106"/>
        <v>4.7852999999999994</v>
      </c>
      <c r="I538" s="72">
        <v>38</v>
      </c>
      <c r="J538" s="80">
        <f t="shared" si="107"/>
        <v>181.84139999999996</v>
      </c>
      <c r="K538" s="80">
        <f>J538*23.59%-0.01</f>
        <v>42.886386259999995</v>
      </c>
      <c r="L538" s="80">
        <f t="shared" si="105"/>
        <v>224.72778625999996</v>
      </c>
    </row>
    <row r="539" spans="2:12" ht="108" x14ac:dyDescent="0.3">
      <c r="B539" s="201">
        <v>32</v>
      </c>
      <c r="C539" s="141" t="s">
        <v>110</v>
      </c>
      <c r="D539" s="147" t="s">
        <v>113</v>
      </c>
      <c r="E539" s="67" t="s">
        <v>114</v>
      </c>
      <c r="F539" s="65">
        <v>1073</v>
      </c>
      <c r="G539" s="66">
        <v>6.3803999999999998</v>
      </c>
      <c r="H539" s="66">
        <f t="shared" si="106"/>
        <v>4.7852999999999994</v>
      </c>
      <c r="I539" s="72">
        <v>43</v>
      </c>
      <c r="J539" s="80">
        <f t="shared" si="107"/>
        <v>205.76789999999997</v>
      </c>
      <c r="K539" s="80">
        <f>J539*23.59%</f>
        <v>48.540647609999994</v>
      </c>
      <c r="L539" s="80">
        <f t="shared" si="105"/>
        <v>254.30854760999995</v>
      </c>
    </row>
    <row r="540" spans="2:12" ht="108" x14ac:dyDescent="0.3">
      <c r="B540" s="201">
        <v>33</v>
      </c>
      <c r="C540" s="141" t="s">
        <v>110</v>
      </c>
      <c r="D540" s="147" t="s">
        <v>113</v>
      </c>
      <c r="E540" s="67" t="s">
        <v>114</v>
      </c>
      <c r="F540" s="65">
        <v>1073</v>
      </c>
      <c r="G540" s="66">
        <v>6.3803999999999998</v>
      </c>
      <c r="H540" s="66">
        <f t="shared" si="106"/>
        <v>4.7852999999999994</v>
      </c>
      <c r="I540" s="72">
        <v>39.5</v>
      </c>
      <c r="J540" s="80">
        <f t="shared" si="107"/>
        <v>189.01934999999997</v>
      </c>
      <c r="K540" s="80">
        <f>J540*23.59%</f>
        <v>44.589664664999994</v>
      </c>
      <c r="L540" s="80">
        <f t="shared" si="105"/>
        <v>233.60901466499996</v>
      </c>
    </row>
    <row r="541" spans="2:12" ht="108" x14ac:dyDescent="0.3">
      <c r="B541" s="201">
        <v>34</v>
      </c>
      <c r="C541" s="141" t="s">
        <v>110</v>
      </c>
      <c r="D541" s="147" t="s">
        <v>113</v>
      </c>
      <c r="E541" s="67" t="s">
        <v>114</v>
      </c>
      <c r="F541" s="65">
        <v>1073</v>
      </c>
      <c r="G541" s="66">
        <v>6.3803999999999998</v>
      </c>
      <c r="H541" s="66">
        <f t="shared" si="106"/>
        <v>4.7852999999999994</v>
      </c>
      <c r="I541" s="72">
        <v>51.5</v>
      </c>
      <c r="J541" s="80">
        <f t="shared" si="107"/>
        <v>246.44294999999997</v>
      </c>
      <c r="K541" s="80">
        <f>J541*23.59%</f>
        <v>58.135891904999994</v>
      </c>
      <c r="L541" s="80">
        <f t="shared" si="105"/>
        <v>304.57884190499999</v>
      </c>
    </row>
    <row r="542" spans="2:12" ht="108" x14ac:dyDescent="0.3">
      <c r="B542" s="201">
        <v>35</v>
      </c>
      <c r="C542" s="141" t="s">
        <v>110</v>
      </c>
      <c r="D542" s="147" t="s">
        <v>113</v>
      </c>
      <c r="E542" s="67" t="s">
        <v>114</v>
      </c>
      <c r="F542" s="65">
        <v>1073</v>
      </c>
      <c r="G542" s="66">
        <v>6.3803999999999998</v>
      </c>
      <c r="H542" s="66">
        <f t="shared" si="106"/>
        <v>4.7852999999999994</v>
      </c>
      <c r="I542" s="72">
        <v>27</v>
      </c>
      <c r="J542" s="80">
        <f t="shared" si="107"/>
        <v>129.20309999999998</v>
      </c>
      <c r="K542" s="80">
        <f>J542*23.59%</f>
        <v>30.479011289999995</v>
      </c>
      <c r="L542" s="80">
        <f t="shared" si="105"/>
        <v>159.68211128999997</v>
      </c>
    </row>
    <row r="543" spans="2:12" ht="108" x14ac:dyDescent="0.3">
      <c r="B543" s="201">
        <v>36</v>
      </c>
      <c r="C543" s="141" t="s">
        <v>110</v>
      </c>
      <c r="D543" s="147" t="s">
        <v>113</v>
      </c>
      <c r="E543" s="67" t="s">
        <v>114</v>
      </c>
      <c r="F543" s="65">
        <v>1073</v>
      </c>
      <c r="G543" s="66">
        <v>6.3803999999999998</v>
      </c>
      <c r="H543" s="66">
        <f t="shared" si="106"/>
        <v>4.7852999999999994</v>
      </c>
      <c r="I543" s="72">
        <v>29</v>
      </c>
      <c r="J543" s="80">
        <f t="shared" si="107"/>
        <v>138.77369999999999</v>
      </c>
      <c r="K543" s="80">
        <f>J543*23.59%-0.01</f>
        <v>32.726715829999996</v>
      </c>
      <c r="L543" s="80">
        <f t="shared" si="105"/>
        <v>171.50041582999998</v>
      </c>
    </row>
    <row r="544" spans="2:12" ht="108" x14ac:dyDescent="0.3">
      <c r="B544" s="201">
        <v>37</v>
      </c>
      <c r="C544" s="141" t="s">
        <v>110</v>
      </c>
      <c r="D544" s="147" t="s">
        <v>113</v>
      </c>
      <c r="E544" s="67" t="s">
        <v>114</v>
      </c>
      <c r="F544" s="65">
        <v>1073</v>
      </c>
      <c r="G544" s="66">
        <v>6.3803999999999998</v>
      </c>
      <c r="H544" s="66">
        <f t="shared" si="106"/>
        <v>4.7852999999999994</v>
      </c>
      <c r="I544" s="72">
        <v>26</v>
      </c>
      <c r="J544" s="80">
        <f>I544*H544</f>
        <v>124.41779999999999</v>
      </c>
      <c r="K544" s="80">
        <f>J544*23.59%</f>
        <v>29.350159019999996</v>
      </c>
      <c r="L544" s="80">
        <f t="shared" si="105"/>
        <v>153.76795901999998</v>
      </c>
    </row>
    <row r="545" spans="2:12" ht="108" x14ac:dyDescent="0.3">
      <c r="B545" s="201">
        <v>38</v>
      </c>
      <c r="C545" s="141" t="s">
        <v>110</v>
      </c>
      <c r="D545" s="147" t="s">
        <v>8</v>
      </c>
      <c r="E545" s="67" t="s">
        <v>114</v>
      </c>
      <c r="F545" s="65">
        <v>924</v>
      </c>
      <c r="G545" s="66">
        <v>5.4943999999999997</v>
      </c>
      <c r="H545" s="66">
        <f t="shared" si="106"/>
        <v>4.1208</v>
      </c>
      <c r="I545" s="72">
        <v>39</v>
      </c>
      <c r="J545" s="80">
        <f t="shared" si="107"/>
        <v>160.71119999999999</v>
      </c>
      <c r="K545" s="80">
        <f>J545*23.59%</f>
        <v>37.911772079999999</v>
      </c>
      <c r="L545" s="80">
        <f t="shared" si="105"/>
        <v>198.62297207999998</v>
      </c>
    </row>
    <row r="546" spans="2:12" ht="108" x14ac:dyDescent="0.3">
      <c r="B546" s="201">
        <v>39</v>
      </c>
      <c r="C546" s="141" t="s">
        <v>110</v>
      </c>
      <c r="D546" s="147" t="s">
        <v>8</v>
      </c>
      <c r="E546" s="67" t="s">
        <v>114</v>
      </c>
      <c r="F546" s="65">
        <v>924</v>
      </c>
      <c r="G546" s="66">
        <v>5.4943999999999997</v>
      </c>
      <c r="H546" s="66">
        <f t="shared" si="106"/>
        <v>4.1208</v>
      </c>
      <c r="I546" s="72">
        <v>12</v>
      </c>
      <c r="J546" s="80">
        <f t="shared" si="107"/>
        <v>49.449600000000004</v>
      </c>
      <c r="K546" s="80">
        <f>J546*23.59%-0.01</f>
        <v>11.655160640000002</v>
      </c>
      <c r="L546" s="80">
        <f t="shared" si="105"/>
        <v>61.104760640000009</v>
      </c>
    </row>
    <row r="547" spans="2:12" ht="108" x14ac:dyDescent="0.3">
      <c r="B547" s="201">
        <v>40</v>
      </c>
      <c r="C547" s="141" t="s">
        <v>110</v>
      </c>
      <c r="D547" s="147" t="s">
        <v>8</v>
      </c>
      <c r="E547" s="67" t="s">
        <v>114</v>
      </c>
      <c r="F547" s="65">
        <v>924</v>
      </c>
      <c r="G547" s="66">
        <v>5.4943999999999997</v>
      </c>
      <c r="H547" s="66">
        <f t="shared" si="106"/>
        <v>4.1208</v>
      </c>
      <c r="I547" s="72">
        <v>35.5</v>
      </c>
      <c r="J547" s="80">
        <f>I547*H547</f>
        <v>146.2884</v>
      </c>
      <c r="K547" s="80">
        <f>J547*23.59%</f>
        <v>34.509433559999998</v>
      </c>
      <c r="L547" s="80">
        <f t="shared" si="105"/>
        <v>180.79783355999999</v>
      </c>
    </row>
    <row r="548" spans="2:12" ht="108" x14ac:dyDescent="0.3">
      <c r="B548" s="201">
        <v>41</v>
      </c>
      <c r="C548" s="141" t="s">
        <v>110</v>
      </c>
      <c r="D548" s="147" t="s">
        <v>8</v>
      </c>
      <c r="E548" s="67" t="s">
        <v>114</v>
      </c>
      <c r="F548" s="65">
        <v>740</v>
      </c>
      <c r="G548" s="66">
        <v>4.4002999999999997</v>
      </c>
      <c r="H548" s="66">
        <f>G548*0.75</f>
        <v>3.3002249999999997</v>
      </c>
      <c r="I548" s="72">
        <v>19</v>
      </c>
      <c r="J548" s="80">
        <f>I548*H548</f>
        <v>62.704274999999996</v>
      </c>
      <c r="K548" s="80">
        <f>J548*23.59%+0.01</f>
        <v>14.801938472499998</v>
      </c>
      <c r="L548" s="80">
        <f t="shared" si="105"/>
        <v>77.506213472499994</v>
      </c>
    </row>
    <row r="549" spans="2:12" ht="108" x14ac:dyDescent="0.3">
      <c r="B549" s="201">
        <v>42</v>
      </c>
      <c r="C549" s="141" t="s">
        <v>110</v>
      </c>
      <c r="D549" s="147" t="s">
        <v>113</v>
      </c>
      <c r="E549" s="67" t="s">
        <v>114</v>
      </c>
      <c r="F549" s="65">
        <v>1073</v>
      </c>
      <c r="G549" s="66">
        <v>6.3803999999999998</v>
      </c>
      <c r="H549" s="66">
        <f t="shared" si="106"/>
        <v>4.7852999999999994</v>
      </c>
      <c r="I549" s="72">
        <v>36</v>
      </c>
      <c r="J549" s="80">
        <f t="shared" si="107"/>
        <v>172.27079999999998</v>
      </c>
      <c r="K549" s="80">
        <f>J549*23.59%</f>
        <v>40.638681719999994</v>
      </c>
      <c r="L549" s="80">
        <f t="shared" si="105"/>
        <v>212.90948171999997</v>
      </c>
    </row>
    <row r="550" spans="2:12" ht="108" x14ac:dyDescent="0.3">
      <c r="B550" s="201">
        <v>43</v>
      </c>
      <c r="C550" s="141" t="s">
        <v>110</v>
      </c>
      <c r="D550" s="147" t="s">
        <v>113</v>
      </c>
      <c r="E550" s="67" t="s">
        <v>114</v>
      </c>
      <c r="F550" s="65">
        <v>1073</v>
      </c>
      <c r="G550" s="66">
        <v>6.3803999999999998</v>
      </c>
      <c r="H550" s="66">
        <f t="shared" si="106"/>
        <v>4.7852999999999994</v>
      </c>
      <c r="I550" s="72">
        <v>36.5</v>
      </c>
      <c r="J550" s="80">
        <f>I550*H550</f>
        <v>174.66344999999998</v>
      </c>
      <c r="K550" s="80">
        <f>J550*23.59%</f>
        <v>41.203107854999999</v>
      </c>
      <c r="L550" s="80">
        <f>J550+K550-0.01</f>
        <v>215.85655785500001</v>
      </c>
    </row>
    <row r="551" spans="2:12" ht="108" x14ac:dyDescent="0.3">
      <c r="B551" s="201">
        <v>44</v>
      </c>
      <c r="C551" s="141" t="s">
        <v>110</v>
      </c>
      <c r="D551" s="147" t="s">
        <v>113</v>
      </c>
      <c r="E551" s="67" t="s">
        <v>114</v>
      </c>
      <c r="F551" s="65">
        <v>1073</v>
      </c>
      <c r="G551" s="66">
        <v>6.3803999999999998</v>
      </c>
      <c r="H551" s="66">
        <f t="shared" si="106"/>
        <v>4.7852999999999994</v>
      </c>
      <c r="I551" s="72">
        <v>15.5</v>
      </c>
      <c r="J551" s="80">
        <f>I551*H551</f>
        <v>74.172149999999988</v>
      </c>
      <c r="K551" s="80">
        <f>J551*23.59%-0.01</f>
        <v>17.487210184999995</v>
      </c>
      <c r="L551" s="80">
        <f t="shared" si="105"/>
        <v>91.659360184999983</v>
      </c>
    </row>
    <row r="552" spans="2:12" ht="108" x14ac:dyDescent="0.3">
      <c r="B552" s="201">
        <v>45</v>
      </c>
      <c r="C552" s="141" t="s">
        <v>110</v>
      </c>
      <c r="D552" s="147" t="s">
        <v>113</v>
      </c>
      <c r="E552" s="67" t="s">
        <v>114</v>
      </c>
      <c r="F552" s="65">
        <v>1153</v>
      </c>
      <c r="G552" s="66">
        <v>6.8562000000000003</v>
      </c>
      <c r="H552" s="66">
        <f t="shared" si="106"/>
        <v>5.14215</v>
      </c>
      <c r="I552" s="72">
        <v>41</v>
      </c>
      <c r="J552" s="80">
        <f t="shared" si="107"/>
        <v>210.82814999999999</v>
      </c>
      <c r="K552" s="80">
        <f>J552*23.59%</f>
        <v>49.734360584999997</v>
      </c>
      <c r="L552" s="80">
        <f t="shared" si="105"/>
        <v>260.56251058499998</v>
      </c>
    </row>
    <row r="553" spans="2:12" ht="108" x14ac:dyDescent="0.3">
      <c r="B553" s="201">
        <v>46</v>
      </c>
      <c r="C553" s="141" t="s">
        <v>110</v>
      </c>
      <c r="D553" s="147" t="s">
        <v>113</v>
      </c>
      <c r="E553" s="67" t="s">
        <v>114</v>
      </c>
      <c r="F553" s="65">
        <v>1073</v>
      </c>
      <c r="G553" s="66">
        <v>6.3803999999999998</v>
      </c>
      <c r="H553" s="66">
        <f t="shared" si="106"/>
        <v>4.7852999999999994</v>
      </c>
      <c r="I553" s="72">
        <v>37</v>
      </c>
      <c r="J553" s="80">
        <f t="shared" si="107"/>
        <v>177.05609999999999</v>
      </c>
      <c r="K553" s="80">
        <f>J553*23.59%</f>
        <v>41.767533989999997</v>
      </c>
      <c r="L553" s="80">
        <f>J553+K553+0.01</f>
        <v>218.83363398999998</v>
      </c>
    </row>
    <row r="554" spans="2:12" ht="108" x14ac:dyDescent="0.3">
      <c r="B554" s="201">
        <v>47</v>
      </c>
      <c r="C554" s="141" t="s">
        <v>110</v>
      </c>
      <c r="D554" s="147" t="s">
        <v>113</v>
      </c>
      <c r="E554" s="67" t="s">
        <v>114</v>
      </c>
      <c r="F554" s="65">
        <v>1073</v>
      </c>
      <c r="G554" s="66">
        <v>6.3803999999999998</v>
      </c>
      <c r="H554" s="66">
        <f t="shared" si="106"/>
        <v>4.7852999999999994</v>
      </c>
      <c r="I554" s="72">
        <v>42.5</v>
      </c>
      <c r="J554" s="80">
        <f>I554*H554</f>
        <v>203.37524999999997</v>
      </c>
      <c r="K554" s="80">
        <f>J554*23.59%-0.01</f>
        <v>47.96622147499999</v>
      </c>
      <c r="L554" s="80">
        <f t="shared" si="105"/>
        <v>251.34147147499996</v>
      </c>
    </row>
    <row r="555" spans="2:12" ht="108" x14ac:dyDescent="0.3">
      <c r="B555" s="201">
        <v>48</v>
      </c>
      <c r="C555" s="141" t="s">
        <v>110</v>
      </c>
      <c r="D555" s="147" t="s">
        <v>113</v>
      </c>
      <c r="E555" s="67" t="s">
        <v>114</v>
      </c>
      <c r="F555" s="65">
        <v>1073</v>
      </c>
      <c r="G555" s="66">
        <v>6.3803999999999998</v>
      </c>
      <c r="H555" s="66">
        <f t="shared" si="106"/>
        <v>4.7852999999999994</v>
      </c>
      <c r="I555" s="72">
        <v>33</v>
      </c>
      <c r="J555" s="80">
        <f>I555*H555</f>
        <v>157.91489999999999</v>
      </c>
      <c r="K555" s="80">
        <f>J555*23.59%</f>
        <v>37.252124909999999</v>
      </c>
      <c r="L555" s="80">
        <f>J555+K555-0.01</f>
        <v>195.15702490999999</v>
      </c>
    </row>
    <row r="556" spans="2:12" ht="108" x14ac:dyDescent="0.3">
      <c r="B556" s="201">
        <v>49</v>
      </c>
      <c r="C556" s="141" t="s">
        <v>110</v>
      </c>
      <c r="D556" s="147" t="s">
        <v>113</v>
      </c>
      <c r="E556" s="67" t="s">
        <v>114</v>
      </c>
      <c r="F556" s="65">
        <v>1073</v>
      </c>
      <c r="G556" s="66">
        <v>6.3803999999999998</v>
      </c>
      <c r="H556" s="66">
        <f t="shared" si="106"/>
        <v>4.7852999999999994</v>
      </c>
      <c r="I556" s="72">
        <v>39.5</v>
      </c>
      <c r="J556" s="80">
        <f t="shared" si="107"/>
        <v>189.01934999999997</v>
      </c>
      <c r="K556" s="80">
        <f>J556*23.59%</f>
        <v>44.589664664999994</v>
      </c>
      <c r="L556" s="80">
        <f t="shared" si="105"/>
        <v>233.60901466499996</v>
      </c>
    </row>
    <row r="557" spans="2:12" ht="108" x14ac:dyDescent="0.3">
      <c r="B557" s="201">
        <v>50</v>
      </c>
      <c r="C557" s="141" t="s">
        <v>110</v>
      </c>
      <c r="D557" s="147" t="s">
        <v>8</v>
      </c>
      <c r="E557" s="67" t="s">
        <v>114</v>
      </c>
      <c r="F557" s="65">
        <v>924</v>
      </c>
      <c r="G557" s="66">
        <v>5.4943999999999997</v>
      </c>
      <c r="H557" s="66">
        <f t="shared" si="106"/>
        <v>4.1208</v>
      </c>
      <c r="I557" s="72">
        <v>51</v>
      </c>
      <c r="J557" s="80">
        <f t="shared" si="107"/>
        <v>210.16079999999999</v>
      </c>
      <c r="K557" s="80">
        <f>J557*23.59%-0.01</f>
        <v>49.566932719999997</v>
      </c>
      <c r="L557" s="80">
        <f t="shared" si="105"/>
        <v>259.72773272000001</v>
      </c>
    </row>
    <row r="558" spans="2:12" ht="108" x14ac:dyDescent="0.3">
      <c r="B558" s="201">
        <v>51</v>
      </c>
      <c r="C558" s="141" t="s">
        <v>110</v>
      </c>
      <c r="D558" s="147" t="s">
        <v>8</v>
      </c>
      <c r="E558" s="67" t="s">
        <v>114</v>
      </c>
      <c r="F558" s="65">
        <v>924</v>
      </c>
      <c r="G558" s="66">
        <v>5.4943999999999997</v>
      </c>
      <c r="H558" s="66">
        <f>G558*0.75</f>
        <v>4.1208</v>
      </c>
      <c r="I558" s="72">
        <v>31.5</v>
      </c>
      <c r="J558" s="80">
        <f>I558*H558</f>
        <v>129.80520000000001</v>
      </c>
      <c r="K558" s="80">
        <f>J558*23.59%</f>
        <v>30.621046680000003</v>
      </c>
      <c r="L558" s="80">
        <f t="shared" si="105"/>
        <v>160.42624668000002</v>
      </c>
    </row>
    <row r="559" spans="2:12" ht="24" x14ac:dyDescent="0.3">
      <c r="B559" s="201">
        <v>52</v>
      </c>
      <c r="C559" s="141" t="s">
        <v>110</v>
      </c>
      <c r="D559" s="147" t="s">
        <v>115</v>
      </c>
      <c r="E559" s="67" t="s">
        <v>116</v>
      </c>
      <c r="F559" s="65">
        <v>509</v>
      </c>
      <c r="G559" s="66">
        <v>3.0266999999999999</v>
      </c>
      <c r="H559" s="66">
        <f>G559*0.75</f>
        <v>2.270025</v>
      </c>
      <c r="I559" s="72">
        <v>9.5</v>
      </c>
      <c r="J559" s="80">
        <f>I559*H559</f>
        <v>21.565237499999999</v>
      </c>
      <c r="K559" s="80">
        <f>J559*23.59%</f>
        <v>5.0872395262499994</v>
      </c>
      <c r="L559" s="80">
        <f>J559+K559+0.01</f>
        <v>26.662477026249999</v>
      </c>
    </row>
    <row r="560" spans="2:12" ht="24" x14ac:dyDescent="0.3">
      <c r="B560" s="201">
        <v>53</v>
      </c>
      <c r="C560" s="141" t="s">
        <v>110</v>
      </c>
      <c r="D560" s="147" t="s">
        <v>115</v>
      </c>
      <c r="E560" s="67" t="s">
        <v>116</v>
      </c>
      <c r="F560" s="65">
        <v>509</v>
      </c>
      <c r="G560" s="66">
        <v>3.0266999999999999</v>
      </c>
      <c r="H560" s="66">
        <f t="shared" si="106"/>
        <v>2.270025</v>
      </c>
      <c r="I560" s="72">
        <v>21</v>
      </c>
      <c r="J560" s="80">
        <f t="shared" si="107"/>
        <v>47.670524999999998</v>
      </c>
      <c r="K560" s="80">
        <f>J560*23.59%</f>
        <v>11.245476847499999</v>
      </c>
      <c r="L560" s="80">
        <f t="shared" si="105"/>
        <v>58.916001847499999</v>
      </c>
    </row>
    <row r="561" spans="2:12" ht="24" x14ac:dyDescent="0.3">
      <c r="B561" s="201">
        <v>54</v>
      </c>
      <c r="C561" s="141" t="s">
        <v>110</v>
      </c>
      <c r="D561" s="147" t="s">
        <v>115</v>
      </c>
      <c r="E561" s="67" t="s">
        <v>116</v>
      </c>
      <c r="F561" s="65">
        <v>509</v>
      </c>
      <c r="G561" s="66">
        <v>3.0266999999999999</v>
      </c>
      <c r="H561" s="66">
        <f t="shared" si="106"/>
        <v>2.270025</v>
      </c>
      <c r="I561" s="72">
        <v>16</v>
      </c>
      <c r="J561" s="80">
        <f t="shared" si="107"/>
        <v>36.320399999999999</v>
      </c>
      <c r="K561" s="80">
        <f>J561*21.94%</f>
        <v>7.9686957600000001</v>
      </c>
      <c r="L561" s="80">
        <f t="shared" si="105"/>
        <v>44.289095760000002</v>
      </c>
    </row>
    <row r="562" spans="2:12" ht="24" x14ac:dyDescent="0.3">
      <c r="B562" s="201">
        <v>55</v>
      </c>
      <c r="C562" s="141" t="s">
        <v>110</v>
      </c>
      <c r="D562" s="147" t="s">
        <v>115</v>
      </c>
      <c r="E562" s="67" t="s">
        <v>116</v>
      </c>
      <c r="F562" s="65">
        <v>509</v>
      </c>
      <c r="G562" s="66">
        <v>3.0266999999999999</v>
      </c>
      <c r="H562" s="66">
        <f t="shared" si="106"/>
        <v>2.270025</v>
      </c>
      <c r="I562" s="72">
        <v>17</v>
      </c>
      <c r="J562" s="80">
        <f t="shared" si="107"/>
        <v>38.590424999999996</v>
      </c>
      <c r="K562" s="80">
        <f>J562*23.59%</f>
        <v>9.1034812574999986</v>
      </c>
      <c r="L562" s="80">
        <f t="shared" si="105"/>
        <v>47.693906257499997</v>
      </c>
    </row>
    <row r="563" spans="2:12" ht="24" x14ac:dyDescent="0.3">
      <c r="B563" s="201">
        <v>56</v>
      </c>
      <c r="C563" s="141" t="s">
        <v>110</v>
      </c>
      <c r="D563" s="147" t="s">
        <v>115</v>
      </c>
      <c r="E563" s="67" t="s">
        <v>116</v>
      </c>
      <c r="F563" s="65">
        <v>509</v>
      </c>
      <c r="G563" s="66">
        <v>3.0266999999999999</v>
      </c>
      <c r="H563" s="66">
        <f t="shared" si="106"/>
        <v>2.270025</v>
      </c>
      <c r="I563" s="72">
        <v>11</v>
      </c>
      <c r="J563" s="80">
        <f t="shared" si="107"/>
        <v>24.970275000000001</v>
      </c>
      <c r="K563" s="80">
        <f>J563*23.59%</f>
        <v>5.8904878725000005</v>
      </c>
      <c r="L563" s="80">
        <f t="shared" si="105"/>
        <v>30.8607628725</v>
      </c>
    </row>
    <row r="564" spans="2:12" x14ac:dyDescent="0.3">
      <c r="C564" s="143" t="s">
        <v>10</v>
      </c>
      <c r="D564" s="146"/>
      <c r="E564" s="63"/>
      <c r="F564" s="17"/>
      <c r="G564" s="5"/>
      <c r="H564" s="5"/>
      <c r="I564" s="123">
        <f>SUM(I508:I563)</f>
        <v>2128</v>
      </c>
      <c r="J564" s="124">
        <f>SUM(J508:J563)-0.01</f>
        <v>9929.3367124999986</v>
      </c>
      <c r="K564" s="124">
        <f>SUM(K508:K563)+0.02</f>
        <v>2341.7136028787504</v>
      </c>
      <c r="L564" s="124">
        <f>ROUND(SUM(L508:L563)+0.03,2)</f>
        <v>12271.05</v>
      </c>
    </row>
    <row r="567" spans="2:12" x14ac:dyDescent="0.3">
      <c r="I567" s="2"/>
      <c r="L567" s="41"/>
    </row>
    <row r="568" spans="2:12" x14ac:dyDescent="0.3">
      <c r="L568" s="41"/>
    </row>
  </sheetData>
  <mergeCells count="10">
    <mergeCell ref="C439:L439"/>
    <mergeCell ref="E460:E466"/>
    <mergeCell ref="B506:L506"/>
    <mergeCell ref="E418:E437"/>
    <mergeCell ref="C234:L234"/>
    <mergeCell ref="A6:L6"/>
    <mergeCell ref="B9:H9"/>
    <mergeCell ref="B91:D91"/>
    <mergeCell ref="E92:E101"/>
    <mergeCell ref="E382:E385"/>
  </mergeCells>
  <pageMargins left="0.70866141732283472" right="0.70866141732283472" top="0.74803149606299213" bottom="0.74803149606299213" header="0.31496062992125984" footer="0.31496062992125984"/>
  <pageSetup paperSize="9" scale="52" fitToHeight="0" orientation="portrait" horizontalDpi="90" verticalDpi="9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2.pielikums</vt:lpstr>
      <vt:lpstr>'2.pielikums'!Print_Titles</vt:lpstr>
    </vt:vector>
  </TitlesOfParts>
  <Company>Iekšlietu ministrija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2.pielikums anotācijai</dc:title>
  <dc:creator>Inga Ošiņa</dc:creator>
  <cp:lastModifiedBy>Inga Ošiņa</cp:lastModifiedBy>
  <cp:lastPrinted>2022-03-07T09:27:13Z</cp:lastPrinted>
  <dcterms:created xsi:type="dcterms:W3CDTF">2021-11-17T06:58:27Z</dcterms:created>
  <dcterms:modified xsi:type="dcterms:W3CDTF">2022-03-07T09:40:14Z</dcterms:modified>
</cp:coreProperties>
</file>