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defaultThemeVersion="166925"/>
  <mc:AlternateContent xmlns:mc="http://schemas.openxmlformats.org/markup-compatibility/2006">
    <mc:Choice Requires="x15">
      <x15ac:absPath xmlns:x15ac="http://schemas.microsoft.com/office/spreadsheetml/2010/11/ac" url="T:\FAD\FVD\Bāze_2026\PP aprēķini\Demogrāfijas paka\Valsts soc.pabalstu likums\"/>
    </mc:Choice>
  </mc:AlternateContent>
  <xr:revisionPtr revIDLastSave="0" documentId="13_ncr:1_{8B291ABF-BA52-44D7-9EBB-E17958C59CD6}" xr6:coauthVersionLast="36" xr6:coauthVersionMax="36" xr10:uidLastSave="{00000000-0000-0000-0000-000000000000}"/>
  <bookViews>
    <workbookView xWindow="0" yWindow="0" windowWidth="19200" windowHeight="6650" tabRatio="776" xr2:uid="{BFD08F63-8698-4612-ACFF-C89DA93FAB58}"/>
  </bookViews>
  <sheets>
    <sheet name="Kopsavilkums" sheetId="17" r:id="rId1"/>
    <sheet name="1.tabula" sheetId="2" r:id="rId2"/>
    <sheet name="2.tabula" sheetId="5" r:id="rId3"/>
    <sheet name="aizb_atlīdz_171" sheetId="12" state="hidden" r:id="rId4"/>
    <sheet name="piemaksa_ĢVP_FVD" sheetId="16" state="hidden" r:id="rId5"/>
    <sheet name="piemaksa_ĢVP" sheetId="13" state="hidden" r:id="rId6"/>
    <sheet name="patv" sheetId="11" state="hidden" r:id="rId7"/>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63" i="5" l="1"/>
  <c r="D63" i="5"/>
  <c r="C63" i="5"/>
  <c r="B63" i="5"/>
  <c r="M43" i="5"/>
  <c r="J43" i="5"/>
  <c r="G43" i="5"/>
  <c r="D43" i="5"/>
  <c r="E25" i="2"/>
  <c r="E24" i="2"/>
  <c r="C25" i="2"/>
  <c r="C24" i="2"/>
  <c r="D25" i="2"/>
  <c r="B25" i="2"/>
  <c r="C21" i="17" l="1"/>
  <c r="D21" i="17"/>
  <c r="E21" i="17"/>
  <c r="B21" i="17"/>
  <c r="B86" i="5"/>
  <c r="B87" i="5" s="1"/>
  <c r="E75" i="5"/>
  <c r="E76" i="5" s="1"/>
  <c r="E77" i="5" s="1"/>
  <c r="E20" i="17" s="1"/>
  <c r="D75" i="5"/>
  <c r="D76" i="5" s="1"/>
  <c r="D77" i="5" s="1"/>
  <c r="D20" i="17" s="1"/>
  <c r="C75" i="5"/>
  <c r="C76" i="5" s="1"/>
  <c r="C77" i="5" s="1"/>
  <c r="C20" i="17" s="1"/>
  <c r="B75" i="5"/>
  <c r="B76" i="5" s="1"/>
  <c r="B77" i="5" s="1"/>
  <c r="B20" i="17" s="1"/>
  <c r="E64" i="5"/>
  <c r="E65" i="5" s="1"/>
  <c r="E19" i="17" s="1"/>
  <c r="D64" i="5"/>
  <c r="D65" i="5" s="1"/>
  <c r="D19" i="17" s="1"/>
  <c r="C64" i="5"/>
  <c r="C65" i="5" s="1"/>
  <c r="C19" i="17" s="1"/>
  <c r="B64" i="5"/>
  <c r="B65" i="5" s="1"/>
  <c r="B19" i="17" s="1"/>
  <c r="M48" i="5"/>
  <c r="J47" i="5"/>
  <c r="G47" i="5"/>
  <c r="O50" i="5"/>
  <c r="N48" i="5"/>
  <c r="K48" i="5"/>
  <c r="H48" i="5"/>
  <c r="E48" i="5"/>
  <c r="N47" i="5"/>
  <c r="K47" i="5"/>
  <c r="H47" i="5"/>
  <c r="E47" i="5"/>
  <c r="N46" i="5"/>
  <c r="K46" i="5"/>
  <c r="H46" i="5"/>
  <c r="E46" i="5"/>
  <c r="N45" i="5"/>
  <c r="K45" i="5"/>
  <c r="H45" i="5"/>
  <c r="E45" i="5"/>
  <c r="N44" i="5"/>
  <c r="K44" i="5"/>
  <c r="H44" i="5"/>
  <c r="E44" i="5"/>
  <c r="N43" i="5"/>
  <c r="K43" i="5"/>
  <c r="H43" i="5"/>
  <c r="E43" i="5"/>
  <c r="H27" i="5"/>
  <c r="H31" i="5" s="1"/>
  <c r="E27" i="5"/>
  <c r="E31" i="5" s="1"/>
  <c r="B27" i="5"/>
  <c r="B31" i="5" s="1"/>
  <c r="L31" i="5"/>
  <c r="I31" i="5"/>
  <c r="F31" i="5"/>
  <c r="C31" i="5"/>
  <c r="L30" i="5"/>
  <c r="I30" i="5"/>
  <c r="F30" i="5"/>
  <c r="C30" i="5"/>
  <c r="M28" i="5"/>
  <c r="C87" i="5" l="1"/>
  <c r="E87" i="5" s="1"/>
  <c r="D87" i="5"/>
  <c r="B88" i="5"/>
  <c r="I47" i="5"/>
  <c r="L47" i="5"/>
  <c r="O48" i="5"/>
  <c r="I43" i="5"/>
  <c r="F43" i="5"/>
  <c r="D48" i="5"/>
  <c r="F48" i="5" s="1"/>
  <c r="D46" i="5"/>
  <c r="F46" i="5" s="1"/>
  <c r="D44" i="5"/>
  <c r="F44" i="5" s="1"/>
  <c r="D47" i="5"/>
  <c r="F47" i="5" s="1"/>
  <c r="D45" i="5"/>
  <c r="F45" i="5" s="1"/>
  <c r="M44" i="5"/>
  <c r="O44" i="5" s="1"/>
  <c r="O43" i="5"/>
  <c r="G44" i="5"/>
  <c r="I44" i="5" s="1"/>
  <c r="G46" i="5"/>
  <c r="I46" i="5" s="1"/>
  <c r="G48" i="5"/>
  <c r="I48" i="5" s="1"/>
  <c r="M45" i="5"/>
  <c r="O45" i="5" s="1"/>
  <c r="M47" i="5"/>
  <c r="O47" i="5" s="1"/>
  <c r="J44" i="5"/>
  <c r="L44" i="5" s="1"/>
  <c r="J46" i="5"/>
  <c r="L46" i="5" s="1"/>
  <c r="J48" i="5"/>
  <c r="L48" i="5" s="1"/>
  <c r="M46" i="5"/>
  <c r="O46" i="5" s="1"/>
  <c r="G45" i="5"/>
  <c r="I45" i="5" s="1"/>
  <c r="L43" i="5"/>
  <c r="J45" i="5"/>
  <c r="L45" i="5" s="1"/>
  <c r="D31" i="5"/>
  <c r="G31" i="5"/>
  <c r="J31" i="5"/>
  <c r="H30" i="5"/>
  <c r="J30" i="5" s="1"/>
  <c r="J32" i="5" s="1"/>
  <c r="J33" i="5" s="1"/>
  <c r="D17" i="17" s="1"/>
  <c r="B30" i="5"/>
  <c r="D30" i="5" s="1"/>
  <c r="E30" i="5"/>
  <c r="G30" i="5" s="1"/>
  <c r="B22" i="17"/>
  <c r="B12" i="17"/>
  <c r="C49" i="2"/>
  <c r="E53" i="2" s="1"/>
  <c r="E55" i="2" s="1"/>
  <c r="E11" i="17" s="1"/>
  <c r="B48" i="2"/>
  <c r="E26" i="2"/>
  <c r="D26" i="2"/>
  <c r="C26" i="2"/>
  <c r="B26" i="2"/>
  <c r="E23" i="2"/>
  <c r="D23" i="2"/>
  <c r="C23" i="2"/>
  <c r="B23" i="2"/>
  <c r="D21" i="2"/>
  <c r="E21" i="2" s="1"/>
  <c r="B90" i="5" l="1"/>
  <c r="D88" i="5"/>
  <c r="D90" i="5" s="1"/>
  <c r="C88" i="5"/>
  <c r="G32" i="5"/>
  <c r="G33" i="5" s="1"/>
  <c r="C17" i="17" s="1"/>
  <c r="I49" i="5"/>
  <c r="I51" i="5" s="1"/>
  <c r="C18" i="17" s="1"/>
  <c r="F49" i="5"/>
  <c r="F51" i="5" s="1"/>
  <c r="B18" i="17" s="1"/>
  <c r="L49" i="5"/>
  <c r="L51" i="5" s="1"/>
  <c r="D18" i="17" s="1"/>
  <c r="O49" i="5"/>
  <c r="O51" i="5" s="1"/>
  <c r="E18" i="17" s="1"/>
  <c r="D32" i="5"/>
  <c r="D33" i="5" s="1"/>
  <c r="B17" i="17" s="1"/>
  <c r="B53" i="2"/>
  <c r="B55" i="2" s="1"/>
  <c r="B11" i="17" s="1"/>
  <c r="C53" i="2"/>
  <c r="C55" i="2" s="1"/>
  <c r="C11" i="17" s="1"/>
  <c r="D53" i="2"/>
  <c r="D55" i="2" s="1"/>
  <c r="D11" i="17" s="1"/>
  <c r="B27" i="2"/>
  <c r="B10" i="17" s="1"/>
  <c r="C27" i="2"/>
  <c r="C10" i="17" s="1"/>
  <c r="E27" i="2"/>
  <c r="E10" i="17" s="1"/>
  <c r="D27" i="2"/>
  <c r="D10" i="17" s="1"/>
  <c r="C90" i="5" l="1"/>
  <c r="E88" i="5"/>
  <c r="E90" i="5" s="1"/>
  <c r="B11" i="12"/>
  <c r="B12" i="2"/>
  <c r="B14" i="2" s="1"/>
  <c r="B9" i="17" s="1"/>
  <c r="H27" i="16" l="1"/>
  <c r="H26" i="16"/>
  <c r="E27" i="16"/>
  <c r="G27" i="16" s="1"/>
  <c r="E26" i="16"/>
  <c r="B27" i="16"/>
  <c r="B26" i="16"/>
  <c r="B18" i="16"/>
  <c r="M18" i="16" s="1"/>
  <c r="B37" i="16"/>
  <c r="I27" i="16"/>
  <c r="F27" i="16"/>
  <c r="C27" i="16"/>
  <c r="I26" i="16"/>
  <c r="H28" i="16"/>
  <c r="F26" i="16"/>
  <c r="C26" i="16"/>
  <c r="M19" i="16"/>
  <c r="L19" i="16"/>
  <c r="D19" i="16"/>
  <c r="E19" i="16" s="1"/>
  <c r="B19" i="16"/>
  <c r="L18" i="16"/>
  <c r="D18" i="16"/>
  <c r="E18" i="16" s="1"/>
  <c r="T12" i="16"/>
  <c r="S12" i="16"/>
  <c r="R12" i="16"/>
  <c r="Q12" i="16"/>
  <c r="P12" i="16"/>
  <c r="O12" i="16"/>
  <c r="N12" i="16"/>
  <c r="M12" i="16"/>
  <c r="L12" i="16"/>
  <c r="K12" i="16"/>
  <c r="J12" i="16"/>
  <c r="I12" i="16"/>
  <c r="H12" i="16"/>
  <c r="G12" i="16"/>
  <c r="F12" i="16"/>
  <c r="E12" i="16"/>
  <c r="D12" i="16"/>
  <c r="C12" i="16"/>
  <c r="B12" i="16"/>
  <c r="Z11" i="16"/>
  <c r="T10" i="16"/>
  <c r="S10" i="16"/>
  <c r="R10" i="16"/>
  <c r="Q10" i="16"/>
  <c r="P10" i="16"/>
  <c r="O10" i="16"/>
  <c r="N10" i="16"/>
  <c r="M10" i="16"/>
  <c r="L10" i="16"/>
  <c r="K10" i="16"/>
  <c r="J10" i="16"/>
  <c r="I10" i="16"/>
  <c r="H10" i="16"/>
  <c r="G10" i="16"/>
  <c r="F10" i="16"/>
  <c r="E10" i="16"/>
  <c r="D10" i="16"/>
  <c r="C10" i="16"/>
  <c r="B10" i="16"/>
  <c r="Y8" i="16"/>
  <c r="X8" i="16"/>
  <c r="W8" i="16"/>
  <c r="B24" i="13"/>
  <c r="B26" i="13" s="1"/>
  <c r="E24" i="13"/>
  <c r="H24" i="13"/>
  <c r="E25" i="13"/>
  <c r="F24" i="13"/>
  <c r="B25" i="13"/>
  <c r="D17" i="13"/>
  <c r="D16" i="13"/>
  <c r="E16" i="13"/>
  <c r="W8" i="13"/>
  <c r="G26" i="16" l="1"/>
  <c r="G28" i="16" s="1"/>
  <c r="D37" i="16" s="1"/>
  <c r="F18" i="16"/>
  <c r="M20" i="16"/>
  <c r="J27" i="16"/>
  <c r="J26" i="16"/>
  <c r="D27" i="16"/>
  <c r="B28" i="16"/>
  <c r="F19" i="16"/>
  <c r="F20" i="16" s="1"/>
  <c r="E28" i="16"/>
  <c r="B20" i="16"/>
  <c r="D26" i="16"/>
  <c r="H26" i="13"/>
  <c r="E26" i="13"/>
  <c r="H25" i="13"/>
  <c r="D25" i="13"/>
  <c r="J25" i="13"/>
  <c r="J24" i="13"/>
  <c r="G24" i="13"/>
  <c r="G25" i="13"/>
  <c r="D24" i="13"/>
  <c r="F25" i="13"/>
  <c r="C25" i="13"/>
  <c r="I25" i="13"/>
  <c r="I24" i="13"/>
  <c r="C24" i="13"/>
  <c r="J28" i="16" l="1"/>
  <c r="E37" i="16" s="1"/>
  <c r="D28" i="16"/>
  <c r="C37" i="16" s="1"/>
  <c r="G26" i="13"/>
  <c r="D35" i="13" s="1"/>
  <c r="D26" i="13"/>
  <c r="C35" i="13" s="1"/>
  <c r="J26" i="13"/>
  <c r="E35" i="13" s="1"/>
  <c r="B12" i="13" l="1"/>
  <c r="X8" i="13"/>
  <c r="Y8" i="13"/>
  <c r="Y11" i="13" s="1"/>
  <c r="B35" i="13"/>
  <c r="M12" i="5" l="1"/>
  <c r="B14" i="5" l="1"/>
  <c r="M18" i="13"/>
  <c r="M17" i="13"/>
  <c r="M16" i="13"/>
  <c r="L16" i="13"/>
  <c r="Z11" i="13"/>
  <c r="B16" i="13"/>
  <c r="H15" i="5" l="1"/>
  <c r="H14" i="5"/>
  <c r="E15" i="5"/>
  <c r="E14" i="5"/>
  <c r="B15" i="5"/>
  <c r="B9" i="11" l="1"/>
  <c r="B10" i="11" s="1"/>
  <c r="B23" i="12" l="1"/>
  <c r="D12" i="12"/>
  <c r="E12" i="12"/>
  <c r="C12" i="12"/>
  <c r="B12" i="12"/>
  <c r="D8" i="11" l="1"/>
  <c r="B17" i="13" l="1"/>
  <c r="C12" i="13"/>
  <c r="D12" i="13"/>
  <c r="E12" i="13"/>
  <c r="F12" i="13"/>
  <c r="G12" i="13"/>
  <c r="H12" i="13"/>
  <c r="I12" i="13"/>
  <c r="J12" i="13"/>
  <c r="K12" i="13"/>
  <c r="L12" i="13"/>
  <c r="M12" i="13"/>
  <c r="N12" i="13"/>
  <c r="O12" i="13"/>
  <c r="P12" i="13"/>
  <c r="Q12" i="13"/>
  <c r="R12" i="13"/>
  <c r="S12" i="13"/>
  <c r="T12" i="13"/>
  <c r="L17" i="13"/>
  <c r="E17" i="13"/>
  <c r="F17" i="13" s="1"/>
  <c r="F16" i="13"/>
  <c r="T10" i="13"/>
  <c r="S10" i="13"/>
  <c r="R10" i="13"/>
  <c r="Q10" i="13"/>
  <c r="P10" i="13"/>
  <c r="O10" i="13"/>
  <c r="N10" i="13"/>
  <c r="M10" i="13"/>
  <c r="L10" i="13"/>
  <c r="K10" i="13"/>
  <c r="J10" i="13"/>
  <c r="I10" i="13"/>
  <c r="H10" i="13"/>
  <c r="G10" i="13"/>
  <c r="F10" i="13"/>
  <c r="E10" i="13"/>
  <c r="D10" i="13"/>
  <c r="C10" i="13"/>
  <c r="B10" i="13"/>
  <c r="B18" i="13" l="1"/>
  <c r="F18" i="13"/>
  <c r="D9" i="11" l="1"/>
  <c r="C9" i="11"/>
  <c r="C10" i="11" s="1"/>
  <c r="E8" i="11"/>
  <c r="C8" i="11"/>
  <c r="B8" i="11"/>
  <c r="K11" i="5" l="1"/>
  <c r="K27" i="5" l="1"/>
  <c r="K15" i="5"/>
  <c r="E9" i="11" s="1"/>
  <c r="K14" i="5"/>
  <c r="D11" i="12"/>
  <c r="D23" i="12" s="1"/>
  <c r="B20" i="12"/>
  <c r="E11" i="12"/>
  <c r="E23" i="12" s="1"/>
  <c r="C11" i="12"/>
  <c r="C23" i="12" s="1"/>
  <c r="K31" i="5" l="1"/>
  <c r="M31" i="5" s="1"/>
  <c r="K30" i="5"/>
  <c r="M30" i="5" s="1"/>
  <c r="L15" i="5"/>
  <c r="M15" i="5" s="1"/>
  <c r="L14" i="5"/>
  <c r="M14" i="5" s="1"/>
  <c r="M32" i="5" l="1"/>
  <c r="M33" i="5" s="1"/>
  <c r="E17" i="17" s="1"/>
  <c r="M16" i="5"/>
  <c r="M17" i="5" s="1"/>
  <c r="E16" i="17" s="1"/>
  <c r="E15" i="17" l="1"/>
  <c r="E14" i="17" s="1"/>
  <c r="E10" i="11"/>
  <c r="D10" i="11" l="1"/>
  <c r="I15" i="5" l="1"/>
  <c r="J15" i="5" s="1"/>
  <c r="I14" i="5"/>
  <c r="J14" i="5" s="1"/>
  <c r="F15" i="5"/>
  <c r="G15" i="5" s="1"/>
  <c r="F14" i="5"/>
  <c r="G14" i="5" s="1"/>
  <c r="C15" i="5"/>
  <c r="D15" i="5" s="1"/>
  <c r="C14" i="5"/>
  <c r="D14" i="5" s="1"/>
  <c r="G16" i="5" l="1"/>
  <c r="G17" i="5" s="1"/>
  <c r="D16" i="5"/>
  <c r="D17" i="5" s="1"/>
  <c r="B16" i="17" s="1"/>
  <c r="C16" i="17" l="1"/>
  <c r="B15" i="17"/>
  <c r="B14" i="17" s="1"/>
  <c r="J16" i="5"/>
  <c r="J17" i="5" s="1"/>
  <c r="D12" i="2"/>
  <c r="D14" i="2" s="1"/>
  <c r="C12" i="2"/>
  <c r="C14" i="2" s="1"/>
  <c r="C9" i="17" s="1"/>
  <c r="D16" i="17" l="1"/>
  <c r="C15" i="17"/>
  <c r="C14" i="17" s="1"/>
  <c r="D9" i="17"/>
  <c r="E12" i="2"/>
  <c r="E14" i="2" s="1"/>
  <c r="D15" i="17" l="1"/>
  <c r="D14" i="17" s="1"/>
  <c r="E9" i="17"/>
  <c r="E8" i="17" s="1"/>
  <c r="E7" i="17" s="1"/>
  <c r="E6" i="17" s="1"/>
  <c r="D8" i="17" l="1"/>
  <c r="D7" i="17" s="1"/>
  <c r="D6" i="17" s="1"/>
  <c r="B8" i="17"/>
  <c r="B7" i="17" s="1"/>
  <c r="B6" i="17" s="1"/>
  <c r="C8" i="17"/>
  <c r="C7" i="17" s="1"/>
  <c r="C6" i="17"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Linda Liepa</author>
  </authors>
  <commentList>
    <comment ref="A2" authorId="0" shapeId="0" xr:uid="{ABCE2586-09A8-47CF-B832-1358AEE6E628}">
      <text>
        <r>
          <rPr>
            <b/>
            <sz val="9"/>
            <color indexed="81"/>
            <rFont val="Tahoma"/>
            <family val="2"/>
            <charset val="186"/>
          </rPr>
          <t>Linda Liepa:</t>
        </r>
        <r>
          <rPr>
            <sz val="9"/>
            <color indexed="81"/>
            <rFont val="Tahoma"/>
            <family val="2"/>
            <charset val="186"/>
          </rPr>
          <t xml:space="preserve">
šo vispār liekam uz 2026. PP???</t>
        </r>
      </text>
    </comment>
  </commentList>
</comments>
</file>

<file path=xl/sharedStrings.xml><?xml version="1.0" encoding="utf-8"?>
<sst xmlns="http://schemas.openxmlformats.org/spreadsheetml/2006/main" count="333" uniqueCount="187">
  <si>
    <t>KOPĀ</t>
  </si>
  <si>
    <r>
      <rPr>
        <sz val="11"/>
        <color theme="1"/>
        <rFont val="Times New Roman"/>
        <family val="1"/>
        <charset val="186"/>
      </rPr>
      <t>Nepieciešamais finansējums IT pielāgošanai</t>
    </r>
    <r>
      <rPr>
        <i/>
        <sz val="11"/>
        <color theme="1"/>
        <rFont val="Times New Roman"/>
        <family val="1"/>
        <charset val="186"/>
      </rPr>
      <t>, euro</t>
    </r>
  </si>
  <si>
    <r>
      <t>Kopējie izdevumi pasākuma ieviešanai,</t>
    </r>
    <r>
      <rPr>
        <b/>
        <i/>
        <sz val="11"/>
        <color theme="1"/>
        <rFont val="Times New Roman"/>
        <family val="1"/>
        <charset val="186"/>
      </rPr>
      <t xml:space="preserve"> euro</t>
    </r>
  </si>
  <si>
    <t>Atlīdzības par aizbildņa pienākumu pildīšanu pārskatīšana</t>
  </si>
  <si>
    <t>izdevumi</t>
  </si>
  <si>
    <t>saņēmēju skaits</t>
  </si>
  <si>
    <t xml:space="preserve">par 1 bērnu </t>
  </si>
  <si>
    <t>par 2 bērniem</t>
  </si>
  <si>
    <t>par 3 bērniem</t>
  </si>
  <si>
    <t>par 4 bērniem</t>
  </si>
  <si>
    <t>par 5 bērniem</t>
  </si>
  <si>
    <t>par 6 un vairāk bērniem</t>
  </si>
  <si>
    <t>saņēmēju īpatsvars*</t>
  </si>
  <si>
    <t>esošais atlīdzības apmērs, euro</t>
  </si>
  <si>
    <t>atlīdzības apmēra pieaugums</t>
  </si>
  <si>
    <t xml:space="preserve">Pabalsta izmaksu nodrošināšana tiks veikta apakšprogrammas 20.01.00 "Valsts sociālie pabalsti" ietvaros. </t>
  </si>
  <si>
    <t xml:space="preserve">Atlīdzību izmaksu nodrošināšana tiks veikta apakšprogrammas 20.01.00 "Valsts sociālie pabalsti" ietvaros. </t>
  </si>
  <si>
    <t>par vienu bērnu</t>
  </si>
  <si>
    <t xml:space="preserve">par diviem bērniem </t>
  </si>
  <si>
    <t>par trīs bērniem</t>
  </si>
  <si>
    <t xml:space="preserve">par četriem bērniem </t>
  </si>
  <si>
    <t xml:space="preserve">par pieciem bērniem </t>
  </si>
  <si>
    <t>par sešiem bērniem</t>
  </si>
  <si>
    <t xml:space="preserve">par septiņiem bērniem </t>
  </si>
  <si>
    <t xml:space="preserve">par astoņiem bērniem </t>
  </si>
  <si>
    <t xml:space="preserve">par deviņiem bērniem </t>
  </si>
  <si>
    <t>par desmit bērniem</t>
  </si>
  <si>
    <t xml:space="preserve">par 11 bērniem </t>
  </si>
  <si>
    <t>par 12 bērniem</t>
  </si>
  <si>
    <t>Bērnu skaits, par kuriem izmaksājams pabalsts*</t>
  </si>
  <si>
    <t>saņēmēju skaits*</t>
  </si>
  <si>
    <t>jaunais apmērs**</t>
  </si>
  <si>
    <r>
      <t xml:space="preserve">VSAA IS pielāgošanai nepieciešams papildus finansējums 22 264 </t>
    </r>
    <r>
      <rPr>
        <i/>
        <sz val="11"/>
        <color theme="1"/>
        <rFont val="Times New Roman"/>
        <family val="1"/>
        <charset val="186"/>
      </rPr>
      <t>euro</t>
    </r>
    <r>
      <rPr>
        <b/>
        <sz val="11"/>
        <color theme="1"/>
        <rFont val="Times New Roman"/>
        <family val="1"/>
        <charset val="186"/>
      </rPr>
      <t xml:space="preserve"> </t>
    </r>
    <r>
      <rPr>
        <sz val="11"/>
        <color theme="1"/>
        <rFont val="Times New Roman"/>
        <family val="1"/>
        <charset val="186"/>
      </rPr>
      <t xml:space="preserve">(40 c/d * 556,60 </t>
    </r>
    <r>
      <rPr>
        <i/>
        <sz val="11"/>
        <color theme="1"/>
        <rFont val="Times New Roman"/>
        <family val="1"/>
        <charset val="186"/>
      </rPr>
      <t xml:space="preserve">euro </t>
    </r>
    <r>
      <rPr>
        <sz val="11"/>
        <color theme="1"/>
        <rFont val="Times New Roman"/>
        <family val="1"/>
        <charset val="186"/>
      </rPr>
      <t>ar PVN). Provizoriskā darbietilpība ietver sistēmanalīzes, programmēšanas un testēšanas uzdevumu izpildi ārpakalpojumā.</t>
    </r>
  </si>
  <si>
    <t>Atbalsts bērnu – patvēruma meklētāju aprūpei ģimeniskā vidē</t>
  </si>
  <si>
    <t>bērnu skaits*</t>
  </si>
  <si>
    <t>atlīdzības apmērs par pienākumu pildīšanu, euro**</t>
  </si>
  <si>
    <t>pabalsta bērna uzturam apmērs, euro***</t>
  </si>
  <si>
    <r>
      <t>Paredzēts, ka atbilstoši Patvēruma likuma 9.panta 8.un 9.daļai un Bērnu tiesību aizsardzības likuma 74.</t>
    </r>
    <r>
      <rPr>
        <vertAlign val="superscript"/>
        <sz val="11"/>
        <rFont val="Times New Roman"/>
        <family val="1"/>
        <charset val="186"/>
      </rPr>
      <t>1</t>
    </r>
    <r>
      <rPr>
        <sz val="11"/>
        <rFont val="Times New Roman"/>
        <family val="1"/>
        <charset val="186"/>
      </rPr>
      <t xml:space="preserve"> pantam pašvaldības izdevumi tiks segti reizi ceturksnī no Labklājības ministrijai kārtējam gadam šim mērķim piešķirtajiem valsts budžeta līdzekļiem. Izdevumu kompensēšanu nosaka MK 2016. gada 14. jūnija noteikumi Nr. 370 “Kārtība, kādā no valsts budžeta līdzekļiem sedz pašvaldības izdevumus par nepilngadīgu patvēruma meklētāju izmitināšanu”. Minētie pašvaldību izdevumi tiek segti no LM valsts pamatbudžeta apakšprogrammas 05.01.00. “Sociālās rehabilitācijas valsts programma”.</t>
    </r>
  </si>
  <si>
    <t>plānotais atlīdzības apmērs, euro</t>
  </si>
  <si>
    <t>Izdevumi IT sistēmu pielāgošanai 2026.gadā tiks plānoti apakšprogrammas 97.02.00 "Nozares centralizēto funkciju izpilde" ietvaros kā kapitālo izdevumu transferti no valsts pamatbudžeta uz valsts speciālā budžeta apakšprogrammu 04.05.00 "Valsts sociālās apdrošināšanas aģentūras speciālais budžets".</t>
  </si>
  <si>
    <t>* atbilstoši prognozei FSP (2025.gada marts)</t>
  </si>
  <si>
    <t>apmērs</t>
  </si>
  <si>
    <r>
      <t xml:space="preserve">Izmaiņu darbietilpība - 40 cilvēkdienas, kas rada ieviešanas izmaksas </t>
    </r>
    <r>
      <rPr>
        <b/>
        <sz val="10"/>
        <color rgb="FF0070C0"/>
        <rFont val="Times New Roman"/>
        <family val="1"/>
        <charset val="186"/>
      </rPr>
      <t>22264 EUR</t>
    </r>
    <r>
      <rPr>
        <sz val="10"/>
        <color rgb="FF0070C0"/>
        <rFont val="Times New Roman"/>
        <family val="1"/>
        <charset val="186"/>
      </rPr>
      <t xml:space="preserve"> (556,60 EUR x 40 c/d).
Darbietilpība ietver sistēmanalīzi, programmēšanu un testēšanu, lai izstrādātu jaunu masveida uzdevumu pabalsta pārrēķināšanai, kā arī veiktu izmaiņas pabalsta apmēra noteikšanā.
</t>
    </r>
  </si>
  <si>
    <t>2026 (6 mēn)</t>
  </si>
  <si>
    <t xml:space="preserve">apmērs </t>
  </si>
  <si>
    <t>2. Lai veiktu atlīdzības izmaksas paaugstinātā apmērā, 2026.gadā nepieciešams veikt VSAA IS pielāgošanu.</t>
  </si>
  <si>
    <r>
      <t xml:space="preserve">papildu nepieciešamais finansējums 2026.-2029.gadā, </t>
    </r>
    <r>
      <rPr>
        <b/>
        <i/>
        <sz val="11"/>
        <color theme="1"/>
        <rFont val="Times New Roman"/>
        <family val="1"/>
        <charset val="186"/>
      </rPr>
      <t>euro</t>
    </r>
  </si>
  <si>
    <t>2026 (6mēn)</t>
  </si>
  <si>
    <t>Pasākums paredz no 2026.gada 1.jūlija nodrošināt bērna - patvēruma meklētāja - aprūpi ģimeniskā vidē, kompensējot pašvaldības izmaksas par šādu bērnu aprūpi pie aizbildņa, t.i., kompensējot atlīdzības aizbildnim un pabalsta bērna uzturam apmēru izmaksas.</t>
  </si>
  <si>
    <r>
      <t xml:space="preserve">papildu nepieciešamais finansējums 2026-2029.gadā, </t>
    </r>
    <r>
      <rPr>
        <b/>
        <i/>
        <sz val="11"/>
        <color theme="1"/>
        <rFont val="Times New Roman"/>
        <family val="1"/>
        <charset val="186"/>
      </rPr>
      <t>euro</t>
    </r>
    <r>
      <rPr>
        <b/>
        <sz val="11"/>
        <color theme="1"/>
        <rFont val="Times New Roman"/>
        <family val="1"/>
        <charset val="186"/>
      </rPr>
      <t>****</t>
    </r>
  </si>
  <si>
    <t>**Atlīdzības apmērs plānots analoģiski aizbildnim plānotajam apmēram jeb 50% no ienākumu mediānas.</t>
  </si>
  <si>
    <t>**** aprēķini (ietekme) var precizēties atbilstoši pieņemtajiem lēmumiem par pabalstu pārskatīšanu par aizbildnībā esošiem bērniem 2026.g. budžeta sagatavošanas procesā.</t>
  </si>
  <si>
    <t>*** Visi bērni patvēruma meklētāju centrā "Mucenieki" ir vecumā virs 7 gadiem, līdz ar to uztura pabalsts tiek plānots analoģiski plānotajām izmaiņām no 2026.g.  aizbildnībā esošo bērnu uztura pabalstam.</t>
  </si>
  <si>
    <t>2006</t>
  </si>
  <si>
    <t>2007</t>
  </si>
  <si>
    <t>2008</t>
  </si>
  <si>
    <t>2009</t>
  </si>
  <si>
    <t>2010</t>
  </si>
  <si>
    <t>2011</t>
  </si>
  <si>
    <t>2012</t>
  </si>
  <si>
    <t>2013</t>
  </si>
  <si>
    <t>2014</t>
  </si>
  <si>
    <t>2015</t>
  </si>
  <si>
    <t>2016</t>
  </si>
  <si>
    <t>2017</t>
  </si>
  <si>
    <t>2018</t>
  </si>
  <si>
    <t>2019</t>
  </si>
  <si>
    <t>2020</t>
  </si>
  <si>
    <t>2021</t>
  </si>
  <si>
    <t>2022</t>
  </si>
  <si>
    <t>2023</t>
  </si>
  <si>
    <t>TM dati par bērniem, kuriem reģistrējot dzimšanas faktu, nav noteikta paternitāte</t>
  </si>
  <si>
    <t>bērna vecums</t>
  </si>
  <si>
    <t>skaits</t>
  </si>
  <si>
    <t>50% no min uzturlīdzekļiem</t>
  </si>
  <si>
    <t>bērnu vecums 0-6</t>
  </si>
  <si>
    <t>PMLP dati pēc dzimšanas gada - bērni bez tēva dzīvojoši LV</t>
  </si>
  <si>
    <t>% no dzimušajiem</t>
  </si>
  <si>
    <t>bērnu vecums 7-17</t>
  </si>
  <si>
    <t>min uzturlīdzekļi B variants (UGF)</t>
  </si>
  <si>
    <t>min uzturlīdzekļi A variants (CL)</t>
  </si>
  <si>
    <t xml:space="preserve"> dzimušie CSP dati, Dzīvi dzimušo skaits pēc dzimuma – Jaundzimušā dzimums un Laika periods</t>
  </si>
  <si>
    <t>kopā izdevumi piemaksai pie ĢVP</t>
  </si>
  <si>
    <r>
      <t xml:space="preserve">1. Pasākums paredz no 2026.gada </t>
    </r>
    <r>
      <rPr>
        <sz val="11"/>
        <color rgb="FFFF0000"/>
        <rFont val="Times New Roman"/>
        <family val="1"/>
        <charset val="186"/>
      </rPr>
      <t>1.jūlija</t>
    </r>
    <r>
      <rPr>
        <sz val="11"/>
        <color theme="1"/>
        <rFont val="Times New Roman"/>
        <family val="1"/>
        <charset val="186"/>
      </rPr>
      <t xml:space="preserve"> noteikt atlīdzību aizbildnim analoģiskā apmērā kā audžuģimenei par viena bērna aprūpi (171 euro), nodrošinot  vienlīdzīgāku attieksmi atlīdzības noteikšanā audžuģimenēm un aizbildņiem. </t>
    </r>
  </si>
  <si>
    <t xml:space="preserve">*dati par nepilngadīgo skaitu patvēruma meklētāju centrā 2023.gadā - 30. @025.gada sākumā - nav. </t>
  </si>
  <si>
    <t>* saskaņā ar likumu "Par valsts budžetu 2025.gadam un budžeta ietvaru 2025., 2026. un 2027.gadam"</t>
  </si>
  <si>
    <t xml:space="preserve">Jauns valsts sociālais pabalsts, ja bērnam nav noteikta paternitāte </t>
  </si>
  <si>
    <r>
      <t>Izmaiņu darbietilpība - 131 cilvēkdiena, kas rada ieviešanas izmaksas 72 915</t>
    </r>
    <r>
      <rPr>
        <b/>
        <sz val="10"/>
        <color rgb="FF0070C0"/>
        <rFont val="Times New Roman"/>
        <family val="1"/>
        <charset val="186"/>
      </rPr>
      <t xml:space="preserve"> EUR</t>
    </r>
    <r>
      <rPr>
        <sz val="10"/>
        <color rgb="FF0070C0"/>
        <rFont val="Times New Roman"/>
        <family val="1"/>
        <charset val="186"/>
      </rPr>
      <t xml:space="preserve"> (556,60 EUR x 131 c/d).
Darbietilpība ietver sistēmanalīzi, programmēšanu un testēšanu, lai izstrādātu jaunu masveida uzdevumu pabalsta pārrēķināšanai, kā arī veiktu izmaiņas pabalsta apmēra noteikšanā, ieviešot jaunus koeficientus lielākam bērnu skaitam ģimenē.
</t>
    </r>
  </si>
  <si>
    <t>min algas apmērs 2027</t>
  </si>
  <si>
    <r>
      <t xml:space="preserve">Priekšlikums paredz </t>
    </r>
    <r>
      <rPr>
        <sz val="10"/>
        <color rgb="FFFF0000"/>
        <rFont val="Times New Roman"/>
        <family val="1"/>
        <charset val="186"/>
      </rPr>
      <t xml:space="preserve">no 2027.gada </t>
    </r>
    <r>
      <rPr>
        <sz val="10"/>
        <color theme="1"/>
        <rFont val="Times New Roman"/>
        <family val="1"/>
        <charset val="186"/>
      </rPr>
      <t>ieviest jaunu valsts sociālo pabalstu bērniem, kuriem nav noteikta paternitāte. Pabalsta apmērs tiek rēķināts atbilstoši minimālo uzturlīdzekļu apmēram, ko katram vecākam ir pienākums nodrošināt bērnam saskaņā ar MK15.01.2013. noteikumiem Nr.37 "Noteikumi par minimālo uzturlīdzekļu apmēru bērnam", proti, 25% no minimālās algas par bērniem 0-6 gadi un 30% no minimālās algas par bērniem 7-17 gadi. Minimālā alga 2026.gadā ir plānota 780 euro, 2027.gadā - 820 euro, 2028.gadā - 860 euro (2029. gadā tiek pieņemta 2028.g. līmenī). Pabalsts tiek noteikts 50% apmērā no minimālajiem uzturlīdzekļiem. Līdz ar to pabalsta apmērs 2027.gadā plānots: par bērnu līdz septiņu gadu vecuma sasniegšanai – 102,5 euro mēnesī; par bērnu vecumā no septiņiem gadiem – 123 euro mēnesī.  Turpmākajos gados apmērs pieaug atbilstoši minimālās algas izmaiņām.</t>
    </r>
  </si>
  <si>
    <t>minimālā alga</t>
  </si>
  <si>
    <t>papildu nepieciešamie izdevumi kopā</t>
  </si>
  <si>
    <t>skaits*</t>
  </si>
  <si>
    <t>*Bērnu skaits, kam nav noteikta paternitāte, līdz 2024.g. ir MPLP dati pēc dzimšanas gada - bērni bez tāva, dzīvojoši LV. Tiek pieņemts, ka 2025. g un turpmāk ik gadu 300 bērniem netiek noteikta paternitāte</t>
  </si>
  <si>
    <t>* 2029.gadā minimālā alga tiek pieņemta 2028.gadam plānotā līmenī.</t>
  </si>
  <si>
    <r>
      <t xml:space="preserve">VSAA IS pielāgošanai nepieciešams papildu finansējums 72 915 </t>
    </r>
    <r>
      <rPr>
        <i/>
        <sz val="11"/>
        <color rgb="FFFF0000"/>
        <rFont val="Times New Roman"/>
        <family val="1"/>
        <charset val="186"/>
      </rPr>
      <t>euro</t>
    </r>
    <r>
      <rPr>
        <b/>
        <sz val="11"/>
        <color rgb="FFFF0000"/>
        <rFont val="Times New Roman"/>
        <family val="1"/>
        <charset val="186"/>
      </rPr>
      <t xml:space="preserve"> </t>
    </r>
    <r>
      <rPr>
        <sz val="11"/>
        <color rgb="FFFF0000"/>
        <rFont val="Times New Roman"/>
        <family val="1"/>
        <charset val="186"/>
      </rPr>
      <t xml:space="preserve">(131 c/d * 556,60 </t>
    </r>
    <r>
      <rPr>
        <i/>
        <sz val="11"/>
        <color rgb="FFFF0000"/>
        <rFont val="Times New Roman"/>
        <family val="1"/>
        <charset val="186"/>
      </rPr>
      <t xml:space="preserve">euro </t>
    </r>
    <r>
      <rPr>
        <sz val="11"/>
        <color rgb="FFFF0000"/>
        <rFont val="Times New Roman"/>
        <family val="1"/>
        <charset val="186"/>
      </rPr>
      <t>ar PVN). Provizoriskā darbietilpība ietver sistēmanalīzes, programmēšanas un testēšanas uzdevumu izpildi ārpakalpojumā.</t>
    </r>
  </si>
  <si>
    <r>
      <rPr>
        <sz val="11"/>
        <color rgb="FFFF0000"/>
        <rFont val="Times New Roman"/>
        <family val="1"/>
        <charset val="186"/>
      </rPr>
      <t>Nepieciešamais finansējums IT pielāgošanai</t>
    </r>
    <r>
      <rPr>
        <i/>
        <sz val="11"/>
        <color rgb="FFFF0000"/>
        <rFont val="Times New Roman"/>
        <family val="1"/>
        <charset val="186"/>
      </rPr>
      <t>, euro</t>
    </r>
  </si>
  <si>
    <t>bērna vecums 2027</t>
  </si>
  <si>
    <t>bērna vecums 2028</t>
  </si>
  <si>
    <t>bērna vecums 2029</t>
  </si>
  <si>
    <t xml:space="preserve">18_02_P Materiālā atbalsta pilnveidošana ārpusģimenes aprūpē esošiem bērniem </t>
  </si>
  <si>
    <t>2.pielikums anotācijai</t>
  </si>
  <si>
    <t>likumprojektam "Grozījumi Valsts sociālo pabalstu likumā"</t>
  </si>
  <si>
    <t>KOPSAVILKUMS</t>
  </si>
  <si>
    <t>1.tabula</t>
  </si>
  <si>
    <t>1. Bērna piedzimšanas pabalsta pārskatīšana</t>
  </si>
  <si>
    <t xml:space="preserve">2. Bērna kopšanas pabalsta pārskatīšana
</t>
  </si>
  <si>
    <t>t.sk. līdz 1,5 g. vecumam**</t>
  </si>
  <si>
    <t>**atbilstoši VSAA 2023.gada statistikas datiem par bērna kopšanas pabalsta saņēmējiem pabalstu līdz bērna pusotra gada vecumam saņēma 70%, bet par bērnu no pusotra līdz divu gadu vecumam - 30% saņēmēju.</t>
  </si>
  <si>
    <t>Nosaukums</t>
  </si>
  <si>
    <t>3. Ģimenes valsts pabalsta pārskatīšana</t>
  </si>
  <si>
    <t xml:space="preserve">Pasākums paredz no 2026.gada ģimenes valsts pabalstu par bērniem no 16 gadiem līdz 20 gadu vecuma sasniegšanai maksāt neatkarīgi no tā, kādu izglītību iegūst (līdz šim maksā tiem, kas mācās vidējās vai profesionālās izglītības iestādēs, augstskolās studējošajiem nemaksā), t.sk. ārvalstīs studējošajiem. </t>
  </si>
  <si>
    <t>bērni kopā</t>
  </si>
  <si>
    <t>*bērnu skaits, par kuriem izmaksājams pabalsts, vid.mēn. 2024.gadā  (datu avots: VSAA, LabIS)</t>
  </si>
  <si>
    <t>2.tabula</t>
  </si>
  <si>
    <r>
      <t xml:space="preserve">Pabalsta apmērs (esošā situācija), </t>
    </r>
    <r>
      <rPr>
        <i/>
        <sz val="12"/>
        <rFont val="Times New Roman"/>
        <family val="1"/>
        <charset val="186"/>
      </rPr>
      <t>euro</t>
    </r>
  </si>
  <si>
    <t>* ņemot vērā IZM 2023.g. datus par Latvijas augstkolās studējošajiem (5 755), kā arī VSAA datus par 2002.-2006.gadā dzimušām personām, kurām tika izmaksāts 50 euro atbalsts energoresursu izmaksu kompensēšanai un kurām par šo periodu nebija izmaksāts ģimenes valsts pabalsts – 6 302 personas (t.i., gan tādas, kas mācījās Latvijā, gan tādas, kas mācījās ārzemēs), tiek pieņemts, ka kontingents ik gadu būtu 6 000 bērni.</t>
  </si>
  <si>
    <t>vidējais svērtais pabalsta apmērs, euro</t>
  </si>
  <si>
    <t>1. Pabalsta aizbildnim par bērna uzturēšanu pārskatīšana</t>
  </si>
  <si>
    <t>* atbilstoši likumam "Par valsts budžetu 2025. gadam un budžeta ietvaru 2025., 2026. un 2027. gadam"; 2029.gada izdevumi saglabāti 2028.gada līmenī</t>
  </si>
  <si>
    <t>no tiem par bērnu vecumā 0-6 gadi**</t>
  </si>
  <si>
    <t>par bērnu vecumā 7-17 gadi**</t>
  </si>
  <si>
    <t>**atbilstoši VSAA 2023.gada statistikas datiem pabalstu par bērniem vecumā līdz 6 gadiem saņēma 13%, bet par bērniem no 7 gadu vecuma - 87% (noapaļojot tiek pieņemti attiecīgi 15% un 85%)</t>
  </si>
  <si>
    <t>2. Bērna adopcijas pabalsta pārskatīšana</t>
  </si>
  <si>
    <r>
      <t xml:space="preserve">Pasākums paredz no 2026.gada pārskatīt pabalsta apmēru, ņemot vērā minimālās algas pieaugumu. Pabalsta apmērs tiek rēķināts atbilstoši minimālo uzturlīdzekļu apmēram, ko katram vecākam ir pienākums nodrošināt bērnam saskaņā ar MK 15.01.2013. noteikumiem Nr.37 "Noteikumi par minimālo uzturlīdzekļu apmēru bērnam", t.i., 25% no minimālās algas par bērniem 0-6 gadi un 30% no minimālās algas par bērniem 7-17 gadi. Pabalsts tiek noteikts divkāršā minimālo uzturlīdzekļu apmērā (kā par abiem vecākiem). Minimālā alga 2026.gadā ir plānota 780 </t>
    </r>
    <r>
      <rPr>
        <i/>
        <sz val="11"/>
        <rFont val="Times New Roman"/>
        <family val="1"/>
        <charset val="186"/>
      </rPr>
      <t>euro</t>
    </r>
    <r>
      <rPr>
        <sz val="11"/>
        <rFont val="Times New Roman"/>
        <family val="1"/>
        <charset val="186"/>
      </rPr>
      <t xml:space="preserve">, 2027.gadā - 820 </t>
    </r>
    <r>
      <rPr>
        <i/>
        <sz val="11"/>
        <rFont val="Times New Roman"/>
        <family val="1"/>
        <charset val="186"/>
      </rPr>
      <t>euro</t>
    </r>
    <r>
      <rPr>
        <sz val="11"/>
        <rFont val="Times New Roman"/>
        <family val="1"/>
        <charset val="186"/>
      </rPr>
      <t xml:space="preserve">, 2028.gadā - 860 </t>
    </r>
    <r>
      <rPr>
        <i/>
        <sz val="11"/>
        <rFont val="Times New Roman"/>
        <family val="1"/>
        <charset val="186"/>
      </rPr>
      <t>euro</t>
    </r>
    <r>
      <rPr>
        <sz val="11"/>
        <rFont val="Times New Roman"/>
        <family val="1"/>
        <charset val="186"/>
      </rPr>
      <t xml:space="preserve"> (2029. gadā tiek pieņemta 2028.gada līmenī). Līdz ar to pabalsta apmērs 2026.gadā plānots: par bērnu līdz septiņu gadu vecuma sasniegšanai – 390 </t>
    </r>
    <r>
      <rPr>
        <i/>
        <sz val="11"/>
        <rFont val="Times New Roman"/>
        <family val="1"/>
        <charset val="186"/>
      </rPr>
      <t>euro</t>
    </r>
    <r>
      <rPr>
        <sz val="11"/>
        <rFont val="Times New Roman"/>
        <family val="1"/>
        <charset val="186"/>
      </rPr>
      <t xml:space="preserve"> mēnesī; par bērnu vecumā no septiņiem gadiem – 468 </t>
    </r>
    <r>
      <rPr>
        <i/>
        <sz val="11"/>
        <rFont val="Times New Roman"/>
        <family val="1"/>
        <charset val="186"/>
      </rPr>
      <t xml:space="preserve">euro </t>
    </r>
    <r>
      <rPr>
        <sz val="11"/>
        <rFont val="Times New Roman"/>
        <family val="1"/>
        <charset val="186"/>
      </rPr>
      <t>mēnesī.  Turpmākajos gados apmērs pieaug atbilstoši minimālās algas izmaiņām.</t>
    </r>
  </si>
  <si>
    <t>**atbilstoši VSAA 2023.gada statistikas datiem pabalstu par bērniem vecumā līdz 6 gadiem saņēma 25%, bet par bērniem no 7 gadu vecuma - 75%.</t>
  </si>
  <si>
    <t xml:space="preserve">3. Atlīdzības par audžuģimenes pienākumu pildīšanu pārskatīšana
</t>
  </si>
  <si>
    <t>atlīdzības apmēram piemērotais koeficients</t>
  </si>
  <si>
    <t>*saskaņā ar VSAA statistikas dati par 2023. gada decembri</t>
  </si>
  <si>
    <t>kopā</t>
  </si>
  <si>
    <t>***atbilstoši likumam "Par valsts budžetu 2025. gadam un budžeta ietvaru 2025., 2026. un 2027. gadam";  2029.gada izdevumi saglabāti 2028.gada līmenī</t>
  </si>
  <si>
    <t>4. Atlīdzības par aizbildņa pienākumu pildīšanu pārskatīšana</t>
  </si>
  <si>
    <t>**atbilstoši VSAA datiem 2024.gadā faktiskā vidējā sociālās apdrošināšanas iemaksu alga bija 1 487,77 euro, bet prognozes 2025.-2027.gadam - attiecīgi 1 591,13 euro/1 682.03 euro/1 772.35 euro.</t>
  </si>
  <si>
    <t>6. Atlīdzības par bērna adopciju pārskatīšana</t>
  </si>
  <si>
    <t>inflācijas pieauguma 50% 2004.g.janvāris-2024.g.decembris, %*</t>
  </si>
  <si>
    <t>saņēmēju skaits, vid.mēnesī</t>
  </si>
  <si>
    <t>VSAA IT sistēmu pielāgošana (105 c/d * 556,60 euro ar PVN)</t>
  </si>
  <si>
    <t>1. Bērna piedzimšanas pabalsts*</t>
  </si>
  <si>
    <t>2. Bērna kopšanas pabalsts*</t>
  </si>
  <si>
    <t>3. Ģimenes valsts pabalsts*</t>
  </si>
  <si>
    <t>1. Pabalsts aizbildnim par bērna uzturēšanu**</t>
  </si>
  <si>
    <t>2. Bērna adopcijas pabalsts**</t>
  </si>
  <si>
    <t>3. Atlīdzība par audžuģimenes pienākumu pildīšanu**</t>
  </si>
  <si>
    <t>4. Atlīdzība par aizbildņa pienākumu pildīšanu**</t>
  </si>
  <si>
    <t>5. Atlīdzība par adoptējamā bērna aprūpi**</t>
  </si>
  <si>
    <t>6. Atlīdzība par bērna adopciju**</t>
  </si>
  <si>
    <t>* Detalizēts aprēķins 1.tabulā</t>
  </si>
  <si>
    <t>* Detalizēts aprēķins 2.tabulā</t>
  </si>
  <si>
    <t>LM pamatbudžeta apakšprogramma 20.01.00 "Valsts sociālie pabalsti", t.sk.</t>
  </si>
  <si>
    <t>LM speciālā budžeta apakšprogramma 04.05.00 "Valsts sociālās apdrošināšanas aģentūras speciālais budžets"</t>
  </si>
  <si>
    <t>plānotais pabalsta saņēmēju skaits, vid.mēn.</t>
  </si>
  <si>
    <t>plānotais saņēmēju skaits, vid.mēnesī</t>
  </si>
  <si>
    <t>bērnu skaits 16-19 gadi, kas iegūst augstāko izglītību, vid.mēnesī*</t>
  </si>
  <si>
    <t>***no 2026.g. 1.janvāra - faktiskais ienākumu mediānas apmērs ir 850,02 euro, 2028.gadā - prognozētais apmērs 1 002,41 euro.</t>
  </si>
  <si>
    <t>VSAA IT sistēmu pielāgošana (230 c/d * 556,60 euro ar PVN)</t>
  </si>
  <si>
    <r>
      <t xml:space="preserve">Pasākums paredz no 2026.gada bērna kopšanas pabalstu (t.sk. piemaksas par dvīņiem vai vairākiem vienās dzemdībās dzimušiem bērniem) līdz bērna pusotra gada vecumam (171 </t>
    </r>
    <r>
      <rPr>
        <i/>
        <sz val="11"/>
        <rFont val="Times New Roman"/>
        <family val="1"/>
        <charset val="186"/>
      </rPr>
      <t>euro</t>
    </r>
    <r>
      <rPr>
        <sz val="11"/>
        <rFont val="Times New Roman"/>
        <family val="1"/>
        <charset val="186"/>
      </rPr>
      <t>) sasaistīt ar ienākumu mediānu un noteikt 35% apmērā no ienākumu mediānas, apmēru pārskatot reizi divos gados</t>
    </r>
  </si>
  <si>
    <r>
      <t xml:space="preserve">Pasākums paredz no 2026.gada atteikties no atlīdzības sasaistes ar bērna kopšanas pabalsta apmēru un tā vietā noteikt atlīdzības apmēru 35% apmērā no ienākumu mediānas, atlīdzības apmēru pārskatot reizi divos gados. Vienlaikus paredzēts saglabāt esošos koeficientus par otrā berna aprūpi - koeficients 1,3 un trešā bērnu aprūpi - koeficients 1,6, kā arī noteikt koeficientus par lielāka skaita vienas ģimenes bērnu aprūpi, proti, par 4 bērniem - koeficients 1,7, par 5 bērniem - koeficients 1,8 un par 6 un vairāk bērniem (ja ir vienas ģimenes bērni) - koeficients 1,9 (noapaļojot līdz veseliem </t>
    </r>
    <r>
      <rPr>
        <i/>
        <sz val="11"/>
        <rFont val="Times New Roman"/>
        <family val="1"/>
        <charset val="186"/>
      </rPr>
      <t>euro</t>
    </r>
    <r>
      <rPr>
        <sz val="11"/>
        <rFont val="Times New Roman"/>
        <family val="1"/>
        <charset val="186"/>
      </rPr>
      <t>).</t>
    </r>
  </si>
  <si>
    <t>**no 2026.g. 1.janvāra - faktiskais ienākumu mediānas apmērs ir 850,02 euro, 2028.gadā - prognozētais apmērs 1 002,41 euro.</t>
  </si>
  <si>
    <t xml:space="preserve">Pasākums paredz no 2026.gada noteikt atlīdzību aizbildnim analoģiskā apmērā kā audžuģimenei par viena bērna aprūpi, t.i., 35% apmērā no ienākumu mediānas, atlīdzības apmēru pārskatot reizi divos gados, nodrošinot vienlīdzīgāku attieksmi atlīdzības noteikšanā audžuģimenēm un aizbildņiem. </t>
  </si>
  <si>
    <t>*no 2026.g. 1.janvāra - faktiskais ienākumu mediānas apmērs ir 850,02 euro, 2028.gadā - prognozētais apmērs 1 002,41 euro.</t>
  </si>
  <si>
    <t>*CSP statistikas dati. Patēriņa cenu pārmaiņas 2024. gada decembrī salīdzinot ar 2004. gada janvāri ir 141.8% (50% atbilst 71% pieaugumam)</t>
  </si>
  <si>
    <t>Ilze Štrausa
Labklājības ministrija 
Finanšu vadības departaments 
Tālr. 20688364
Ilze.Strausa@lm.gov.lv</t>
  </si>
  <si>
    <t>Linda Liepa
Labklājības ministrija 
Bērnu un ģimenes politikas departaments
Tālr. 20683941
Linda.Liepa@lm.gov.lv</t>
  </si>
  <si>
    <t xml:space="preserve">18_01_P Materiālā atbalsta (pabalstu) pilnveidošana ģimenēm ar bērniem </t>
  </si>
  <si>
    <r>
      <t xml:space="preserve">Pasākums paredz no 2026.gada palielināt bērna piedzimšanas pabalsta apmēru no 421,17 </t>
    </r>
    <r>
      <rPr>
        <i/>
        <sz val="11"/>
        <rFont val="Times New Roman"/>
        <family val="1"/>
        <charset val="186"/>
      </rPr>
      <t>euro</t>
    </r>
    <r>
      <rPr>
        <sz val="11"/>
        <rFont val="Times New Roman"/>
        <family val="1"/>
        <charset val="186"/>
      </rPr>
      <t xml:space="preserve"> līdz 600 </t>
    </r>
    <r>
      <rPr>
        <i/>
        <sz val="11"/>
        <rFont val="Times New Roman"/>
        <family val="1"/>
        <charset val="186"/>
      </rPr>
      <t>euro</t>
    </r>
    <r>
      <rPr>
        <sz val="11"/>
        <rFont val="Times New Roman"/>
        <family val="1"/>
        <charset val="186"/>
      </rPr>
      <t xml:space="preserve">, atbilstoši manabalss.lv iniciatīvai.
</t>
    </r>
  </si>
  <si>
    <r>
      <t xml:space="preserve">esošais pabalsta apmērs, </t>
    </r>
    <r>
      <rPr>
        <i/>
        <sz val="11"/>
        <rFont val="Times New Roman"/>
        <family val="1"/>
        <charset val="186"/>
      </rPr>
      <t>euro</t>
    </r>
  </si>
  <si>
    <r>
      <t xml:space="preserve">jaunais pabalsta apmērs, </t>
    </r>
    <r>
      <rPr>
        <i/>
        <sz val="11"/>
        <rFont val="Times New Roman"/>
        <family val="1"/>
        <charset val="186"/>
      </rPr>
      <t>euro</t>
    </r>
    <r>
      <rPr>
        <sz val="11"/>
        <rFont val="Times New Roman"/>
        <family val="1"/>
        <charset val="186"/>
      </rPr>
      <t xml:space="preserve"> </t>
    </r>
  </si>
  <si>
    <r>
      <t xml:space="preserve">pabalsta apmēra pieaugums, </t>
    </r>
    <r>
      <rPr>
        <i/>
        <sz val="11"/>
        <rFont val="Times New Roman"/>
        <family val="1"/>
        <charset val="186"/>
      </rPr>
      <t>euro</t>
    </r>
  </si>
  <si>
    <r>
      <t xml:space="preserve">papildu nepieciešamais finansējums, </t>
    </r>
    <r>
      <rPr>
        <b/>
        <i/>
        <sz val="11"/>
        <rFont val="Times New Roman"/>
        <family val="1"/>
        <charset val="186"/>
      </rPr>
      <t>euro</t>
    </r>
  </si>
  <si>
    <r>
      <t xml:space="preserve">izdevumi saskaņā ar budžeta ietvara likumu, </t>
    </r>
    <r>
      <rPr>
        <i/>
        <sz val="11"/>
        <rFont val="Times New Roman"/>
        <family val="1"/>
        <charset val="186"/>
      </rPr>
      <t>euro</t>
    </r>
    <r>
      <rPr>
        <sz val="11"/>
        <rFont val="Times New Roman"/>
        <family val="1"/>
        <charset val="186"/>
      </rPr>
      <t>*</t>
    </r>
  </si>
  <si>
    <r>
      <t xml:space="preserve">ienākumu mediānas apmērs gadā, </t>
    </r>
    <r>
      <rPr>
        <i/>
        <sz val="11"/>
        <rFont val="Times New Roman"/>
        <family val="1"/>
        <charset val="186"/>
      </rPr>
      <t>euro</t>
    </r>
    <r>
      <rPr>
        <sz val="11"/>
        <rFont val="Times New Roman"/>
        <family val="1"/>
        <charset val="186"/>
      </rPr>
      <t>***</t>
    </r>
  </si>
  <si>
    <r>
      <t xml:space="preserve">jaunais pabalsta apmērs līdz 1,5 g. vecumam (35% no mediānas), </t>
    </r>
    <r>
      <rPr>
        <i/>
        <sz val="11"/>
        <rFont val="Times New Roman"/>
        <family val="1"/>
        <charset val="186"/>
      </rPr>
      <t>euro</t>
    </r>
  </si>
  <si>
    <r>
      <rPr>
        <sz val="11"/>
        <rFont val="Times New Roman"/>
        <family val="1"/>
        <charset val="186"/>
      </rPr>
      <t>pabalsta apmēra pieaugums,</t>
    </r>
    <r>
      <rPr>
        <i/>
        <sz val="11"/>
        <rFont val="Times New Roman"/>
        <family val="1"/>
        <charset val="186"/>
      </rPr>
      <t xml:space="preserve"> euro</t>
    </r>
  </si>
  <si>
    <r>
      <t xml:space="preserve">vidējais svērtais pabalsta apmērs, </t>
    </r>
    <r>
      <rPr>
        <i/>
        <sz val="11"/>
        <rFont val="Times New Roman"/>
        <family val="1"/>
        <charset val="186"/>
      </rPr>
      <t>euro</t>
    </r>
  </si>
  <si>
    <r>
      <t xml:space="preserve">plānotā minimālā alga valstī, </t>
    </r>
    <r>
      <rPr>
        <i/>
        <sz val="11"/>
        <rFont val="Times New Roman"/>
        <family val="1"/>
        <charset val="186"/>
      </rPr>
      <t>euro</t>
    </r>
  </si>
  <si>
    <r>
      <t xml:space="preserve">plānotie izdevumi gadam ar jauno pabalsta apmēru, </t>
    </r>
    <r>
      <rPr>
        <i/>
        <sz val="11"/>
        <rFont val="Times New Roman"/>
        <family val="1"/>
        <charset val="186"/>
      </rPr>
      <t>euro</t>
    </r>
  </si>
  <si>
    <r>
      <t xml:space="preserve">Pasākums paredz, ka pabalsta apmērs no 2026.gada tiek rēķināts atbilstoši minimālo uzturlīdzekļu apmēram, ko katram vecākam ir pienākums nodrošināt bērnam saskaņā ar MK 15.01.2013. noteikumiem Nr.37 "Noteikumi par minimālo uzturlīdzekļu apmēru bērnam", t.i., 25% no minimālās algas par bērniem 0-6 gadi un 30% no minimālās algas par bērniem 7-17 gadi. Minimālā alga 2026.gadā ir plānota 780 </t>
    </r>
    <r>
      <rPr>
        <i/>
        <sz val="11"/>
        <rFont val="Times New Roman"/>
        <family val="1"/>
        <charset val="186"/>
      </rPr>
      <t>euro</t>
    </r>
    <r>
      <rPr>
        <sz val="11"/>
        <rFont val="Times New Roman"/>
        <family val="1"/>
        <charset val="186"/>
      </rPr>
      <t xml:space="preserve">, 2027.gadā - 820 </t>
    </r>
    <r>
      <rPr>
        <i/>
        <sz val="11"/>
        <rFont val="Times New Roman"/>
        <family val="1"/>
        <charset val="186"/>
      </rPr>
      <t>euro</t>
    </r>
    <r>
      <rPr>
        <sz val="11"/>
        <rFont val="Times New Roman"/>
        <family val="1"/>
        <charset val="186"/>
      </rPr>
      <t xml:space="preserve">, 2028.gadā - 860 </t>
    </r>
    <r>
      <rPr>
        <i/>
        <sz val="11"/>
        <rFont val="Times New Roman"/>
        <family val="1"/>
        <charset val="186"/>
      </rPr>
      <t>euro</t>
    </r>
    <r>
      <rPr>
        <sz val="11"/>
        <rFont val="Times New Roman"/>
        <family val="1"/>
        <charset val="186"/>
      </rPr>
      <t xml:space="preserve"> (2029. gadā tiek pieņemta 2028.gada līmenī). Līdz ar to pabalsta apmērs 2026.gadā plānots: par bērnu līdz septiņu gadu vecuma sasniegšanai – 195 </t>
    </r>
    <r>
      <rPr>
        <i/>
        <sz val="11"/>
        <rFont val="Times New Roman"/>
        <family val="1"/>
        <charset val="186"/>
      </rPr>
      <t>euro</t>
    </r>
    <r>
      <rPr>
        <sz val="11"/>
        <rFont val="Times New Roman"/>
        <family val="1"/>
        <charset val="186"/>
      </rPr>
      <t xml:space="preserve"> mēnesī; par bērnu vecumā no septiņiem gadiem – 234 </t>
    </r>
    <r>
      <rPr>
        <i/>
        <sz val="11"/>
        <rFont val="Times New Roman"/>
        <family val="1"/>
        <charset val="186"/>
      </rPr>
      <t>euro</t>
    </r>
    <r>
      <rPr>
        <sz val="11"/>
        <rFont val="Times New Roman"/>
        <family val="1"/>
        <charset val="186"/>
      </rPr>
      <t xml:space="preserve"> mēnesī.  Turpmākajos gados apmērs pieaug atbilstoši minimālās algas izmaiņām.</t>
    </r>
  </si>
  <si>
    <r>
      <t xml:space="preserve">izdevumi saskaņā ar budžeta ietvara likumu, </t>
    </r>
    <r>
      <rPr>
        <i/>
        <sz val="11"/>
        <rFont val="Times New Roman"/>
        <family val="1"/>
        <charset val="186"/>
      </rPr>
      <t>euro</t>
    </r>
    <r>
      <rPr>
        <sz val="11"/>
        <rFont val="Times New Roman"/>
        <family val="1"/>
        <charset val="186"/>
      </rPr>
      <t>***</t>
    </r>
  </si>
  <si>
    <r>
      <t xml:space="preserve">esošais atlīdzības apmērs, </t>
    </r>
    <r>
      <rPr>
        <i/>
        <sz val="11"/>
        <rFont val="Times New Roman"/>
        <family val="1"/>
        <charset val="186"/>
      </rPr>
      <t>euro</t>
    </r>
  </si>
  <si>
    <r>
      <t xml:space="preserve">plānotais atlīdzības apmērs, </t>
    </r>
    <r>
      <rPr>
        <i/>
        <sz val="11"/>
        <rFont val="Times New Roman"/>
        <family val="1"/>
        <charset val="186"/>
      </rPr>
      <t>euro</t>
    </r>
    <r>
      <rPr>
        <sz val="11"/>
        <rFont val="Times New Roman"/>
        <family val="1"/>
        <charset val="186"/>
      </rPr>
      <t>*</t>
    </r>
  </si>
  <si>
    <r>
      <t>atlīdzības apmēra pieaugums,</t>
    </r>
    <r>
      <rPr>
        <i/>
        <sz val="11"/>
        <rFont val="Times New Roman"/>
        <family val="1"/>
        <charset val="186"/>
      </rPr>
      <t xml:space="preserve"> euro</t>
    </r>
  </si>
  <si>
    <t xml:space="preserve">5. Atlīdzības par adoptējamā bērna aprūpi pārskatīšana </t>
  </si>
  <si>
    <r>
      <t xml:space="preserve">Pasākums paredz no 2026.gada atlīdzību par adoptējamā bērna aprūpi neatkarīgi no bērna vecuma maksāt 70% apmērā no valstī noteiktās vidējās apdrošināšanas iemaksu algas (kalendāra gadā, kas beidzas gadu pirms tā gada, kurā tiek piešķirta atlīdzība) (noapaļojot līdz apaļiem </t>
    </r>
    <r>
      <rPr>
        <i/>
        <sz val="11"/>
        <rFont val="Times New Roman"/>
        <family val="1"/>
        <charset val="186"/>
      </rPr>
      <t>euro</t>
    </r>
    <r>
      <rPr>
        <sz val="11"/>
        <rFont val="Times New Roman"/>
        <family val="1"/>
        <charset val="186"/>
      </rPr>
      <t>).</t>
    </r>
  </si>
  <si>
    <r>
      <t xml:space="preserve">esošais vidējais atlīdzības apmērs, </t>
    </r>
    <r>
      <rPr>
        <i/>
        <sz val="11"/>
        <rFont val="Times New Roman"/>
        <family val="1"/>
        <charset val="186"/>
      </rPr>
      <t>euro</t>
    </r>
  </si>
  <si>
    <r>
      <t xml:space="preserve">atlīdzības apmēra pieaugums, </t>
    </r>
    <r>
      <rPr>
        <i/>
        <sz val="11"/>
        <rFont val="Times New Roman"/>
        <family val="1"/>
        <charset val="186"/>
      </rPr>
      <t>euro</t>
    </r>
  </si>
  <si>
    <r>
      <t xml:space="preserve">Pasākums paredz no 2026.gada pārskatīt atlīdzības apmēru par 50% no patēriņu cenu pieauguma kopš atlīdzības noteikšanas (noapaļojot līdz apaļiem </t>
    </r>
    <r>
      <rPr>
        <i/>
        <sz val="11"/>
        <rFont val="Times New Roman"/>
        <family val="1"/>
        <charset val="186"/>
      </rPr>
      <t>euro</t>
    </r>
    <r>
      <rPr>
        <sz val="11"/>
        <rFont val="Times New Roman"/>
        <family val="1"/>
        <charset val="186"/>
      </rPr>
      <t xml:space="preserve">) </t>
    </r>
  </si>
  <si>
    <r>
      <t xml:space="preserve">jaunais pabalsta apmērs, </t>
    </r>
    <r>
      <rPr>
        <i/>
        <sz val="11"/>
        <rFont val="Times New Roman"/>
        <family val="1"/>
        <charset val="186"/>
      </rPr>
      <t>euro</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</si>
</sst>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3">
    <font>
      <sz val="11"/>
      <color theme="1"/>
      <name val="Calibri"/>
      <family val="2"/>
      <charset val="186"/>
      <scheme val="minor"/>
    </font>
    <font>
      <sz val="11"/>
      <color theme="1"/>
      <name val="Calibri"/>
      <family val="2"/>
      <charset val="186"/>
      <scheme val="minor"/>
    </font>
    <font>
      <sz val="11"/>
      <color theme="1"/>
      <name val="Times New Roman"/>
      <family val="1"/>
      <charset val="186"/>
    </font>
    <font>
      <b/>
      <sz val="11"/>
      <color theme="1"/>
      <name val="Times New Roman"/>
      <family val="1"/>
      <charset val="186"/>
    </font>
    <font>
      <b/>
      <i/>
      <sz val="11"/>
      <color theme="1"/>
      <name val="Times New Roman"/>
      <family val="1"/>
      <charset val="186"/>
    </font>
    <font>
      <i/>
      <sz val="11"/>
      <color theme="1"/>
      <name val="Times New Roman"/>
      <family val="1"/>
      <charset val="186"/>
    </font>
    <font>
      <b/>
      <sz val="11"/>
      <color rgb="FFFF0000"/>
      <name val="Times New Roman"/>
      <family val="1"/>
      <charset val="186"/>
    </font>
    <font>
      <i/>
      <sz val="9"/>
      <color theme="1"/>
      <name val="Times New Roman"/>
      <family val="1"/>
      <charset val="186"/>
    </font>
    <font>
      <b/>
      <sz val="11"/>
      <name val="Times New Roman"/>
      <family val="1"/>
      <charset val="186"/>
    </font>
    <font>
      <sz val="10"/>
      <name val="Arial"/>
      <family val="2"/>
      <charset val="186"/>
    </font>
    <font>
      <i/>
      <sz val="9"/>
      <color rgb="FFFF0000"/>
      <name val="Times New Roman"/>
      <family val="1"/>
      <charset val="186"/>
    </font>
    <font>
      <sz val="11"/>
      <color rgb="FFFF0000"/>
      <name val="Times New Roman"/>
      <family val="1"/>
      <charset val="186"/>
    </font>
    <font>
      <sz val="10"/>
      <name val="Helv"/>
    </font>
    <font>
      <b/>
      <sz val="12"/>
      <name val="Times New Roman"/>
      <family val="1"/>
      <charset val="186"/>
    </font>
    <font>
      <sz val="10"/>
      <color rgb="FF0070C0"/>
      <name val="Times New Roman"/>
      <family val="1"/>
      <charset val="186"/>
    </font>
    <font>
      <b/>
      <sz val="10"/>
      <color rgb="FF0070C0"/>
      <name val="Times New Roman"/>
      <family val="1"/>
      <charset val="186"/>
    </font>
    <font>
      <sz val="11"/>
      <name val="Times New Roman"/>
      <family val="1"/>
      <charset val="186"/>
    </font>
    <font>
      <i/>
      <sz val="11"/>
      <name val="Times New Roman"/>
      <family val="1"/>
      <charset val="186"/>
    </font>
    <font>
      <sz val="12"/>
      <name val="Times New Roman"/>
      <family val="1"/>
      <charset val="186"/>
    </font>
    <font>
      <i/>
      <sz val="12"/>
      <name val="Times New Roman"/>
      <family val="1"/>
      <charset val="186"/>
    </font>
    <font>
      <vertAlign val="superscript"/>
      <sz val="11"/>
      <name val="Times New Roman"/>
      <family val="1"/>
      <charset val="186"/>
    </font>
    <font>
      <sz val="9"/>
      <color indexed="81"/>
      <name val="Tahoma"/>
      <family val="2"/>
      <charset val="186"/>
    </font>
    <font>
      <b/>
      <sz val="9"/>
      <color indexed="81"/>
      <name val="Tahoma"/>
      <family val="2"/>
      <charset val="186"/>
    </font>
    <font>
      <sz val="10"/>
      <color theme="1"/>
      <name val="Times New Roman"/>
      <family val="1"/>
      <charset val="186"/>
    </font>
    <font>
      <i/>
      <sz val="10"/>
      <color theme="1"/>
      <name val="Times New Roman"/>
      <family val="1"/>
      <charset val="186"/>
    </font>
    <font>
      <sz val="10"/>
      <color rgb="FFFF0000"/>
      <name val="Times New Roman"/>
      <family val="1"/>
      <charset val="186"/>
    </font>
    <font>
      <b/>
      <sz val="10"/>
      <color theme="1"/>
      <name val="Times New Roman"/>
      <family val="1"/>
      <charset val="186"/>
    </font>
    <font>
      <b/>
      <sz val="10"/>
      <color rgb="FF000000"/>
      <name val="Times New Roman"/>
      <family val="1"/>
      <charset val="186"/>
    </font>
    <font>
      <sz val="10"/>
      <color theme="0" tint="-0.14999847407452621"/>
      <name val="Times New Roman"/>
      <family val="1"/>
      <charset val="186"/>
    </font>
    <font>
      <sz val="10"/>
      <color rgb="FF000000"/>
      <name val="Times New Roman"/>
      <family val="1"/>
      <charset val="186"/>
    </font>
    <font>
      <i/>
      <sz val="10"/>
      <color rgb="FF000000"/>
      <name val="Times New Roman"/>
      <family val="1"/>
      <charset val="186"/>
    </font>
    <font>
      <i/>
      <sz val="11"/>
      <color rgb="FFFF0000"/>
      <name val="Times New Roman"/>
      <family val="1"/>
      <charset val="186"/>
    </font>
    <font>
      <b/>
      <sz val="10"/>
      <color rgb="FFFF0000"/>
      <name val="Times New Roman"/>
      <family val="1"/>
      <charset val="186"/>
    </font>
    <font>
      <i/>
      <sz val="10"/>
      <color rgb="FFFF0000"/>
      <name val="Times New Roman"/>
      <family val="1"/>
      <charset val="186"/>
    </font>
    <font>
      <sz val="10"/>
      <color rgb="FF7030A0"/>
      <name val="Times New Roman"/>
      <family val="1"/>
      <charset val="186"/>
    </font>
    <font>
      <sz val="8"/>
      <color rgb="FF000000"/>
      <name val="Times New Roman"/>
      <family val="1"/>
      <charset val="186"/>
    </font>
    <font>
      <sz val="9"/>
      <name val="Times New Roman"/>
      <family val="1"/>
      <charset val="186"/>
    </font>
    <font>
      <b/>
      <i/>
      <sz val="11"/>
      <name val="Times New Roman"/>
      <family val="1"/>
      <charset val="186"/>
    </font>
    <font>
      <i/>
      <sz val="9"/>
      <name val="Times New Roman"/>
      <family val="1"/>
      <charset val="186"/>
    </font>
    <font>
      <sz val="11"/>
      <name val="Calibri"/>
      <family val="2"/>
      <charset val="186"/>
      <scheme val="minor"/>
    </font>
    <font>
      <sz val="8"/>
      <name val="Times New Roman"/>
      <family val="1"/>
      <charset val="186"/>
    </font>
    <font>
      <sz val="10"/>
      <name val="Times New Roman"/>
      <family val="1"/>
      <charset val="186"/>
    </font>
    <font>
      <b/>
      <sz val="10"/>
      <name val="Times New Roman"/>
      <family val="1"/>
      <charset val="186"/>
    </font>
  </fonts>
  <fills count="12">
    <fill>
      <patternFill patternType="none"/>
    </fill>
    <fill>
      <patternFill patternType="gray125"/>
    </fill>
    <fill>
      <patternFill patternType="solid">
        <fgColor theme="8" tint="0.59999389629810485"/>
        <bgColor indexed="65"/>
      </patternFill>
    </fill>
    <fill>
      <patternFill patternType="solid">
        <fgColor theme="0"/>
        <bgColor indexed="64"/>
      </patternFill>
    </fill>
    <fill>
      <patternFill patternType="solid">
        <fgColor rgb="FFFFFF00"/>
        <bgColor indexed="64"/>
      </patternFill>
    </fill>
    <fill>
      <patternFill patternType="solid">
        <fgColor theme="2"/>
        <bgColor indexed="64"/>
      </patternFill>
    </fill>
    <fill>
      <patternFill patternType="solid">
        <fgColor theme="6" tint="0.59999389629810485"/>
        <bgColor indexed="64"/>
      </patternFill>
    </fill>
    <fill>
      <patternFill patternType="solid">
        <fgColor rgb="FFFFC000"/>
        <bgColor indexed="64"/>
      </patternFill>
    </fill>
    <fill>
      <patternFill patternType="solid">
        <fgColor theme="7" tint="0.79998168889431442"/>
        <bgColor indexed="64"/>
      </patternFill>
    </fill>
    <fill>
      <patternFill patternType="solid">
        <fgColor theme="6"/>
        <bgColor indexed="64"/>
      </patternFill>
    </fill>
    <fill>
      <patternFill patternType="solid">
        <fgColor theme="7"/>
        <bgColor indexed="64"/>
      </patternFill>
    </fill>
    <fill>
      <patternFill patternType="solid">
        <fgColor theme="7" tint="0.59999389629810485"/>
        <bgColor indexed="64"/>
      </patternFill>
    </fill>
  </fills>
  <borders count="2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5">
    <xf numFmtId="0" fontId="0" fillId="0" borderId="0"/>
    <xf numFmtId="0" fontId="1" fillId="2" borderId="0" applyNumberFormat="0" applyBorder="0" applyAlignment="0" applyProtection="0"/>
    <xf numFmtId="0" fontId="9" fillId="0" borderId="0"/>
    <xf numFmtId="0" fontId="12" fillId="0" borderId="0"/>
    <xf numFmtId="9" fontId="1" fillId="0" borderId="0" applyFont="0" applyFill="0" applyBorder="0" applyAlignment="0" applyProtection="0"/>
  </cellStyleXfs>
  <cellXfs count="269">
    <xf numFmtId="0" fontId="0" fillId="0" borderId="0" xfId="0"/>
    <xf numFmtId="0" fontId="2" fillId="0" borderId="0" xfId="0" applyFont="1"/>
    <xf numFmtId="0" fontId="2" fillId="0" borderId="0" xfId="0" applyFont="1" applyAlignment="1">
      <alignment wrapText="1"/>
    </xf>
    <xf numFmtId="0" fontId="2" fillId="0" borderId="1" xfId="0" applyFont="1" applyBorder="1"/>
    <xf numFmtId="0" fontId="3" fillId="0" borderId="0" xfId="0" applyFont="1"/>
    <xf numFmtId="0" fontId="3" fillId="0" borderId="1" xfId="0" applyFont="1" applyFill="1" applyBorder="1"/>
    <xf numFmtId="3" fontId="3" fillId="0" borderId="1" xfId="0" applyNumberFormat="1" applyFont="1" applyBorder="1"/>
    <xf numFmtId="0" fontId="2" fillId="0" borderId="0" xfId="0" applyFont="1" applyAlignment="1">
      <alignment vertical="top"/>
    </xf>
    <xf numFmtId="0" fontId="2" fillId="0" borderId="1" xfId="0" applyFont="1" applyBorder="1" applyAlignment="1">
      <alignment horizontal="left" vertical="top" wrapText="1"/>
    </xf>
    <xf numFmtId="0" fontId="5" fillId="0" borderId="1" xfId="0" applyFont="1" applyFill="1" applyBorder="1" applyAlignment="1">
      <alignment horizontal="left"/>
    </xf>
    <xf numFmtId="3" fontId="8" fillId="0" borderId="1" xfId="0" applyNumberFormat="1" applyFont="1" applyFill="1" applyBorder="1"/>
    <xf numFmtId="0" fontId="3" fillId="0" borderId="1" xfId="0" applyFont="1" applyBorder="1"/>
    <xf numFmtId="0" fontId="11" fillId="0" borderId="0" xfId="0" applyFont="1"/>
    <xf numFmtId="49" fontId="13" fillId="0" borderId="0" xfId="1" applyNumberFormat="1" applyFont="1" applyFill="1" applyBorder="1" applyAlignment="1">
      <alignment horizontal="left" vertical="top" wrapText="1"/>
    </xf>
    <xf numFmtId="0" fontId="2" fillId="3" borderId="0" xfId="0" applyFont="1" applyFill="1"/>
    <xf numFmtId="0" fontId="14" fillId="0" borderId="0" xfId="2" applyFont="1" applyAlignment="1">
      <alignment wrapText="1"/>
    </xf>
    <xf numFmtId="0" fontId="2" fillId="3" borderId="1" xfId="0" applyFont="1" applyFill="1" applyBorder="1"/>
    <xf numFmtId="3" fontId="3" fillId="3" borderId="1" xfId="0" applyNumberFormat="1" applyFont="1" applyFill="1" applyBorder="1"/>
    <xf numFmtId="0" fontId="2" fillId="3" borderId="1" xfId="0" applyFont="1" applyFill="1" applyBorder="1" applyAlignment="1">
      <alignment horizontal="right"/>
    </xf>
    <xf numFmtId="3" fontId="2" fillId="3" borderId="1" xfId="0" applyNumberFormat="1" applyFont="1" applyFill="1" applyBorder="1"/>
    <xf numFmtId="0" fontId="7" fillId="0" borderId="0" xfId="0" applyFont="1"/>
    <xf numFmtId="0" fontId="5" fillId="0" borderId="0" xfId="0" applyFont="1"/>
    <xf numFmtId="49" fontId="8" fillId="0" borderId="0" xfId="1" applyNumberFormat="1" applyFont="1" applyFill="1" applyBorder="1" applyAlignment="1">
      <alignment horizontal="left" vertical="top" wrapText="1"/>
    </xf>
    <xf numFmtId="2" fontId="16" fillId="0" borderId="1" xfId="0" applyNumberFormat="1" applyFont="1" applyFill="1" applyBorder="1" applyAlignment="1">
      <alignment horizontal="left" vertical="center" indent="2"/>
    </xf>
    <xf numFmtId="3" fontId="18" fillId="0" borderId="1" xfId="0" applyNumberFormat="1" applyFont="1" applyFill="1" applyBorder="1" applyAlignment="1">
      <alignment horizontal="right" vertical="center" wrapText="1"/>
    </xf>
    <xf numFmtId="3" fontId="2" fillId="0" borderId="0" xfId="0" applyNumberFormat="1" applyFont="1"/>
    <xf numFmtId="49" fontId="13" fillId="0" borderId="0" xfId="1" applyNumberFormat="1" applyFont="1" applyFill="1" applyBorder="1" applyAlignment="1">
      <alignment vertical="top" wrapText="1"/>
    </xf>
    <xf numFmtId="0" fontId="8" fillId="0" borderId="0" xfId="1" applyFont="1" applyFill="1" applyBorder="1" applyAlignment="1">
      <alignment horizontal="left" vertical="top" wrapText="1"/>
    </xf>
    <xf numFmtId="0" fontId="2" fillId="0" borderId="0" xfId="0" applyFont="1" applyAlignment="1">
      <alignment horizontal="left" wrapText="1"/>
    </xf>
    <xf numFmtId="0" fontId="2" fillId="0" borderId="0" xfId="0" applyFont="1" applyAlignment="1">
      <alignment horizontal="left" vertical="top" wrapText="1"/>
    </xf>
    <xf numFmtId="0" fontId="2" fillId="0" borderId="1" xfId="0" applyFont="1" applyBorder="1" applyAlignment="1">
      <alignment horizontal="center"/>
    </xf>
    <xf numFmtId="0" fontId="3" fillId="4" borderId="1" xfId="0" applyFont="1" applyFill="1" applyBorder="1"/>
    <xf numFmtId="3" fontId="3" fillId="4" borderId="1" xfId="0" applyNumberFormat="1" applyFont="1" applyFill="1" applyBorder="1"/>
    <xf numFmtId="0" fontId="2" fillId="0" borderId="0" xfId="0" applyFont="1" applyAlignment="1">
      <alignment horizontal="left" vertical="top" wrapText="1"/>
    </xf>
    <xf numFmtId="3" fontId="16" fillId="3" borderId="1" xfId="0" applyNumberFormat="1" applyFont="1" applyFill="1" applyBorder="1"/>
    <xf numFmtId="0" fontId="16" fillId="3" borderId="1" xfId="0" applyFont="1" applyFill="1" applyBorder="1"/>
    <xf numFmtId="0" fontId="8" fillId="3" borderId="1" xfId="0" applyFont="1" applyFill="1" applyBorder="1" applyAlignment="1">
      <alignment horizontal="right"/>
    </xf>
    <xf numFmtId="0" fontId="23" fillId="0" borderId="0" xfId="0" applyFont="1" applyAlignment="1">
      <alignment horizontal="left" vertical="top" wrapText="1"/>
    </xf>
    <xf numFmtId="0" fontId="2" fillId="6" borderId="1" xfId="0" applyFont="1" applyFill="1" applyBorder="1" applyAlignment="1">
      <alignment horizontal="center"/>
    </xf>
    <xf numFmtId="0" fontId="3" fillId="3" borderId="1" xfId="0" applyFont="1" applyFill="1" applyBorder="1"/>
    <xf numFmtId="1" fontId="2" fillId="0" borderId="1" xfId="0" applyNumberFormat="1" applyFont="1" applyBorder="1"/>
    <xf numFmtId="0" fontId="2" fillId="5" borderId="1" xfId="0" applyFont="1" applyFill="1" applyBorder="1" applyAlignment="1">
      <alignment horizontal="center" vertical="center"/>
    </xf>
    <xf numFmtId="0" fontId="8" fillId="7" borderId="0" xfId="1" applyFont="1" applyFill="1" applyBorder="1" applyAlignment="1">
      <alignment horizontal="left" vertical="top" wrapText="1"/>
    </xf>
    <xf numFmtId="0" fontId="23" fillId="0" borderId="0" xfId="0" applyNumberFormat="1" applyFont="1" applyFill="1" applyAlignment="1" applyProtection="1">
      <alignment wrapText="1"/>
    </xf>
    <xf numFmtId="0" fontId="27" fillId="0" borderId="0" xfId="0" applyNumberFormat="1" applyFont="1" applyFill="1" applyAlignment="1" applyProtection="1"/>
    <xf numFmtId="0" fontId="28" fillId="0" borderId="0" xfId="0" applyNumberFormat="1" applyFont="1" applyFill="1" applyAlignment="1" applyProtection="1"/>
    <xf numFmtId="0" fontId="23" fillId="0" borderId="0" xfId="0" applyNumberFormat="1" applyFont="1" applyFill="1" applyAlignment="1" applyProtection="1"/>
    <xf numFmtId="0" fontId="26" fillId="9" borderId="1" xfId="0" applyNumberFormat="1" applyFont="1" applyFill="1" applyBorder="1" applyAlignment="1" applyProtection="1">
      <alignment horizontal="center"/>
    </xf>
    <xf numFmtId="0" fontId="27" fillId="9" borderId="1" xfId="0" applyNumberFormat="1" applyFont="1" applyFill="1" applyBorder="1" applyAlignment="1" applyProtection="1">
      <alignment horizontal="center"/>
    </xf>
    <xf numFmtId="0" fontId="23" fillId="9" borderId="1" xfId="0" applyNumberFormat="1" applyFont="1" applyFill="1" applyBorder="1" applyAlignment="1" applyProtection="1">
      <alignment horizontal="center"/>
    </xf>
    <xf numFmtId="0" fontId="26" fillId="0" borderId="1" xfId="0" applyNumberFormat="1" applyFont="1" applyFill="1" applyBorder="1" applyAlignment="1" applyProtection="1"/>
    <xf numFmtId="1" fontId="23" fillId="0" borderId="1" xfId="0" applyNumberFormat="1" applyFont="1" applyFill="1" applyBorder="1" applyAlignment="1" applyProtection="1"/>
    <xf numFmtId="0" fontId="23" fillId="0" borderId="1" xfId="0" applyNumberFormat="1" applyFont="1" applyFill="1" applyBorder="1" applyAlignment="1" applyProtection="1"/>
    <xf numFmtId="0" fontId="26" fillId="0" borderId="1" xfId="0" applyNumberFormat="1" applyFont="1" applyFill="1" applyBorder="1" applyAlignment="1" applyProtection="1">
      <alignment wrapText="1"/>
    </xf>
    <xf numFmtId="0" fontId="29" fillId="0" borderId="1" xfId="0" applyNumberFormat="1" applyFont="1" applyFill="1" applyBorder="1" applyAlignment="1" applyProtection="1"/>
    <xf numFmtId="0" fontId="24" fillId="0" borderId="1" xfId="0" applyNumberFormat="1" applyFont="1" applyFill="1" applyBorder="1" applyAlignment="1" applyProtection="1">
      <alignment horizontal="right" wrapText="1"/>
    </xf>
    <xf numFmtId="9" fontId="24" fillId="0" borderId="1" xfId="4" applyFont="1" applyFill="1" applyBorder="1" applyAlignment="1" applyProtection="1"/>
    <xf numFmtId="9" fontId="30" fillId="0" borderId="1" xfId="4" applyFont="1" applyFill="1" applyBorder="1" applyAlignment="1" applyProtection="1"/>
    <xf numFmtId="0" fontId="27" fillId="0" borderId="1" xfId="0" applyNumberFormat="1" applyFont="1" applyFill="1" applyBorder="1" applyAlignment="1" applyProtection="1">
      <alignment horizontal="right" wrapText="1"/>
    </xf>
    <xf numFmtId="0" fontId="23" fillId="0" borderId="1" xfId="0" applyFont="1" applyBorder="1"/>
    <xf numFmtId="1" fontId="23" fillId="0" borderId="0" xfId="0" applyNumberFormat="1" applyFont="1" applyFill="1" applyAlignment="1" applyProtection="1"/>
    <xf numFmtId="9" fontId="24" fillId="0" borderId="1" xfId="4" applyFont="1" applyBorder="1"/>
    <xf numFmtId="0" fontId="24" fillId="0" borderId="1" xfId="0" applyFont="1" applyBorder="1"/>
    <xf numFmtId="1" fontId="24" fillId="0" borderId="0" xfId="0" applyNumberFormat="1" applyFont="1" applyFill="1" applyAlignment="1" applyProtection="1"/>
    <xf numFmtId="0" fontId="24" fillId="0" borderId="0" xfId="0" applyNumberFormat="1" applyFont="1" applyFill="1" applyAlignment="1" applyProtection="1"/>
    <xf numFmtId="0" fontId="27" fillId="8" borderId="0" xfId="0" applyNumberFormat="1" applyFont="1" applyFill="1" applyAlignment="1" applyProtection="1">
      <alignment horizontal="right" wrapText="1"/>
    </xf>
    <xf numFmtId="9" fontId="28" fillId="8" borderId="0" xfId="4" applyFont="1" applyFill="1" applyAlignment="1" applyProtection="1"/>
    <xf numFmtId="1" fontId="29" fillId="8" borderId="0" xfId="4" applyNumberFormat="1" applyFont="1" applyFill="1" applyAlignment="1" applyProtection="1"/>
    <xf numFmtId="0" fontId="27" fillId="0" borderId="0" xfId="0" applyNumberFormat="1" applyFont="1" applyFill="1" applyAlignment="1" applyProtection="1">
      <alignment horizontal="right" wrapText="1"/>
    </xf>
    <xf numFmtId="9" fontId="28" fillId="0" borderId="0" xfId="4" applyFont="1" applyFill="1" applyAlignment="1" applyProtection="1"/>
    <xf numFmtId="1" fontId="29" fillId="0" borderId="0" xfId="4" applyNumberFormat="1" applyFont="1" applyFill="1" applyAlignment="1" applyProtection="1"/>
    <xf numFmtId="0" fontId="25" fillId="0" borderId="0" xfId="0" applyNumberFormat="1" applyFont="1" applyFill="1" applyAlignment="1" applyProtection="1"/>
    <xf numFmtId="3" fontId="23" fillId="0" borderId="0" xfId="0" applyNumberFormat="1" applyFont="1" applyFill="1" applyAlignment="1" applyProtection="1"/>
    <xf numFmtId="3" fontId="23" fillId="4" borderId="0" xfId="0" applyNumberFormat="1" applyFont="1" applyFill="1" applyAlignment="1" applyProtection="1"/>
    <xf numFmtId="0" fontId="30" fillId="0" borderId="1" xfId="0" applyNumberFormat="1" applyFont="1" applyFill="1" applyBorder="1" applyAlignment="1" applyProtection="1">
      <alignment horizontal="right" wrapText="1"/>
    </xf>
    <xf numFmtId="0" fontId="11" fillId="0" borderId="0" xfId="0" applyFont="1" applyAlignment="1">
      <alignment horizontal="left" vertical="top" wrapText="1"/>
    </xf>
    <xf numFmtId="3" fontId="26" fillId="4" borderId="0" xfId="0" applyNumberFormat="1" applyFont="1" applyFill="1" applyAlignment="1" applyProtection="1"/>
    <xf numFmtId="0" fontId="26" fillId="4" borderId="0" xfId="0" applyNumberFormat="1" applyFont="1" applyFill="1" applyAlignment="1" applyProtection="1">
      <alignment horizontal="right"/>
    </xf>
    <xf numFmtId="0" fontId="25" fillId="0" borderId="0" xfId="0" applyFont="1" applyAlignment="1">
      <alignment horizontal="left" vertical="top" wrapText="1"/>
    </xf>
    <xf numFmtId="0" fontId="27" fillId="10" borderId="0" xfId="0" applyNumberFormat="1" applyFont="1" applyFill="1" applyAlignment="1" applyProtection="1"/>
    <xf numFmtId="0" fontId="28" fillId="10" borderId="0" xfId="0" applyNumberFormat="1" applyFont="1" applyFill="1" applyAlignment="1" applyProtection="1"/>
    <xf numFmtId="0" fontId="23" fillId="10" borderId="0" xfId="0" applyNumberFormat="1" applyFont="1" applyFill="1" applyAlignment="1" applyProtection="1"/>
    <xf numFmtId="0" fontId="2" fillId="0" borderId="0" xfId="0" applyFont="1" applyBorder="1"/>
    <xf numFmtId="3" fontId="2" fillId="3" borderId="0" xfId="0" applyNumberFormat="1" applyFont="1" applyFill="1" applyBorder="1"/>
    <xf numFmtId="0" fontId="23" fillId="9" borderId="0" xfId="0" applyNumberFormat="1" applyFont="1" applyFill="1" applyBorder="1" applyAlignment="1" applyProtection="1">
      <alignment horizontal="center"/>
    </xf>
    <xf numFmtId="0" fontId="23" fillId="0" borderId="0" xfId="0" applyNumberFormat="1" applyFont="1" applyFill="1" applyBorder="1" applyAlignment="1" applyProtection="1"/>
    <xf numFmtId="0" fontId="23" fillId="0" borderId="0" xfId="0" applyFont="1" applyBorder="1"/>
    <xf numFmtId="3" fontId="23" fillId="0" borderId="0" xfId="0" applyNumberFormat="1" applyFont="1" applyFill="1" applyBorder="1" applyAlignment="1" applyProtection="1"/>
    <xf numFmtId="9" fontId="24" fillId="0" borderId="0" xfId="0" applyNumberFormat="1" applyFont="1" applyBorder="1"/>
    <xf numFmtId="0" fontId="2" fillId="0" borderId="0" xfId="0" applyFont="1" applyAlignment="1">
      <alignment horizontal="left" vertical="top" wrapText="1"/>
    </xf>
    <xf numFmtId="0" fontId="23" fillId="0" borderId="0" xfId="0" applyFont="1" applyAlignment="1">
      <alignment horizontal="left" vertical="top" wrapText="1"/>
    </xf>
    <xf numFmtId="0" fontId="26" fillId="0" borderId="0" xfId="0" applyNumberFormat="1" applyFont="1" applyFill="1" applyAlignment="1" applyProtection="1"/>
    <xf numFmtId="0" fontId="25" fillId="0" borderId="1" xfId="0" applyNumberFormat="1" applyFont="1" applyFill="1" applyBorder="1" applyAlignment="1" applyProtection="1"/>
    <xf numFmtId="0" fontId="33" fillId="0" borderId="0" xfId="0" applyNumberFormat="1" applyFont="1" applyFill="1" applyAlignment="1" applyProtection="1">
      <alignment horizontal="right"/>
    </xf>
    <xf numFmtId="0" fontId="33" fillId="0" borderId="1" xfId="0" applyNumberFormat="1" applyFont="1" applyFill="1" applyBorder="1" applyAlignment="1" applyProtection="1"/>
    <xf numFmtId="0" fontId="25" fillId="0" borderId="0" xfId="0" applyNumberFormat="1" applyFont="1" applyFill="1" applyAlignment="1" applyProtection="1">
      <alignment horizontal="right"/>
    </xf>
    <xf numFmtId="3" fontId="25" fillId="0" borderId="1" xfId="0" applyNumberFormat="1" applyFont="1" applyFill="1" applyBorder="1" applyAlignment="1" applyProtection="1"/>
    <xf numFmtId="0" fontId="32" fillId="0" borderId="0" xfId="0" applyNumberFormat="1" applyFont="1" applyFill="1" applyAlignment="1" applyProtection="1">
      <alignment horizontal="right"/>
    </xf>
    <xf numFmtId="0" fontId="32" fillId="0" borderId="0" xfId="0" applyNumberFormat="1" applyFont="1" applyFill="1" applyAlignment="1" applyProtection="1"/>
    <xf numFmtId="3" fontId="32" fillId="0" borderId="0" xfId="0" applyNumberFormat="1" applyFont="1" applyFill="1" applyAlignment="1" applyProtection="1"/>
    <xf numFmtId="0" fontId="10" fillId="0" borderId="0" xfId="0" applyNumberFormat="1" applyFont="1" applyFill="1" applyAlignment="1" applyProtection="1"/>
    <xf numFmtId="0" fontId="11" fillId="0" borderId="0" xfId="0" applyFont="1" applyAlignment="1">
      <alignment vertical="top"/>
    </xf>
    <xf numFmtId="0" fontId="11" fillId="0" borderId="0" xfId="0" applyFont="1" applyAlignment="1">
      <alignment wrapText="1"/>
    </xf>
    <xf numFmtId="0" fontId="11" fillId="0" borderId="0" xfId="0" applyFont="1" applyAlignment="1">
      <alignment horizontal="left" vertical="top" wrapText="1"/>
    </xf>
    <xf numFmtId="0" fontId="11" fillId="0" borderId="1" xfId="0" applyFont="1" applyBorder="1" applyAlignment="1">
      <alignment horizontal="left" vertical="top" wrapText="1"/>
    </xf>
    <xf numFmtId="0" fontId="11" fillId="5" borderId="1" xfId="0" applyFont="1" applyFill="1" applyBorder="1" applyAlignment="1">
      <alignment horizontal="center"/>
    </xf>
    <xf numFmtId="0" fontId="11" fillId="5" borderId="1" xfId="0" applyFont="1" applyFill="1" applyBorder="1" applyAlignment="1">
      <alignment horizontal="center" vertical="top" wrapText="1"/>
    </xf>
    <xf numFmtId="0" fontId="31" fillId="0" borderId="1" xfId="0" applyFont="1" applyFill="1" applyBorder="1" applyAlignment="1">
      <alignment horizontal="left"/>
    </xf>
    <xf numFmtId="3" fontId="6" fillId="4" borderId="1" xfId="0" applyNumberFormat="1" applyFont="1" applyFill="1" applyBorder="1"/>
    <xf numFmtId="0" fontId="23" fillId="8" borderId="0" xfId="0" applyNumberFormat="1" applyFont="1" applyFill="1" applyAlignment="1" applyProtection="1"/>
    <xf numFmtId="1" fontId="29" fillId="11" borderId="0" xfId="4" applyNumberFormat="1" applyFont="1" applyFill="1" applyAlignment="1" applyProtection="1"/>
    <xf numFmtId="0" fontId="25" fillId="9" borderId="0" xfId="0" applyNumberFormat="1" applyFont="1" applyFill="1" applyBorder="1" applyAlignment="1" applyProtection="1">
      <alignment horizontal="center"/>
    </xf>
    <xf numFmtId="3" fontId="25" fillId="0" borderId="0" xfId="0" applyNumberFormat="1" applyFont="1" applyFill="1" applyBorder="1" applyAlignment="1" applyProtection="1"/>
    <xf numFmtId="0" fontId="25" fillId="0" borderId="0" xfId="0" applyNumberFormat="1" applyFont="1" applyFill="1" applyBorder="1" applyAlignment="1" applyProtection="1"/>
    <xf numFmtId="0" fontId="25" fillId="0" borderId="0" xfId="0" applyFont="1" applyBorder="1"/>
    <xf numFmtId="9" fontId="33" fillId="0" borderId="0" xfId="0" applyNumberFormat="1" applyFont="1" applyBorder="1"/>
    <xf numFmtId="0" fontId="25" fillId="8" borderId="0" xfId="0" applyNumberFormat="1" applyFont="1" applyFill="1" applyAlignment="1" applyProtection="1"/>
    <xf numFmtId="0" fontId="33" fillId="0" borderId="0" xfId="0" applyNumberFormat="1" applyFont="1" applyFill="1" applyAlignment="1" applyProtection="1"/>
    <xf numFmtId="0" fontId="34" fillId="11" borderId="1" xfId="0" applyNumberFormat="1" applyFont="1" applyFill="1" applyBorder="1" applyAlignment="1" applyProtection="1"/>
    <xf numFmtId="3" fontId="18" fillId="0" borderId="0" xfId="0" applyNumberFormat="1" applyFont="1" applyFill="1" applyBorder="1" applyAlignment="1">
      <alignment horizontal="right" vertical="center" wrapText="1"/>
    </xf>
    <xf numFmtId="0" fontId="5" fillId="0" borderId="0" xfId="0" applyFont="1" applyAlignment="1">
      <alignment horizontal="right"/>
    </xf>
    <xf numFmtId="4" fontId="16" fillId="0" borderId="1" xfId="0" applyNumberFormat="1" applyFont="1" applyBorder="1" applyAlignment="1">
      <alignment wrapText="1"/>
    </xf>
    <xf numFmtId="4" fontId="16" fillId="0" borderId="1" xfId="0" applyNumberFormat="1" applyFont="1" applyBorder="1"/>
    <xf numFmtId="4" fontId="16" fillId="0" borderId="1" xfId="0" applyNumberFormat="1" applyFont="1" applyFill="1" applyBorder="1"/>
    <xf numFmtId="2" fontId="17" fillId="3" borderId="1" xfId="0" applyNumberFormat="1" applyFont="1" applyFill="1" applyBorder="1" applyAlignment="1">
      <alignment horizontal="right" vertical="center" indent="2"/>
    </xf>
    <xf numFmtId="3" fontId="18" fillId="3" borderId="1" xfId="0" applyNumberFormat="1" applyFont="1" applyFill="1" applyBorder="1" applyAlignment="1">
      <alignment horizontal="right" vertical="center" wrapText="1"/>
    </xf>
    <xf numFmtId="0" fontId="17" fillId="3" borderId="1" xfId="0" applyNumberFormat="1" applyFont="1" applyFill="1" applyBorder="1" applyAlignment="1">
      <alignment horizontal="right" vertical="center"/>
    </xf>
    <xf numFmtId="4" fontId="19" fillId="3" borderId="1" xfId="0" applyNumberFormat="1" applyFont="1" applyFill="1" applyBorder="1" applyAlignment="1">
      <alignment horizontal="right" vertical="center" wrapText="1"/>
    </xf>
    <xf numFmtId="3" fontId="8" fillId="0" borderId="1" xfId="0" applyNumberFormat="1" applyFont="1" applyFill="1" applyBorder="1" applyAlignment="1"/>
    <xf numFmtId="3" fontId="8" fillId="3" borderId="1" xfId="0" applyNumberFormat="1" applyFont="1" applyFill="1" applyBorder="1"/>
    <xf numFmtId="49" fontId="13" fillId="0" borderId="0" xfId="1" applyNumberFormat="1" applyFont="1" applyFill="1" applyBorder="1" applyAlignment="1">
      <alignment horizontal="left" vertical="top"/>
    </xf>
    <xf numFmtId="1" fontId="16" fillId="3" borderId="1" xfId="0" applyNumberFormat="1" applyFont="1" applyFill="1" applyBorder="1"/>
    <xf numFmtId="3" fontId="16" fillId="0" borderId="1" xfId="0" applyNumberFormat="1" applyFont="1" applyFill="1" applyBorder="1" applyAlignment="1"/>
    <xf numFmtId="0" fontId="16" fillId="5" borderId="1" xfId="0" applyFont="1" applyFill="1" applyBorder="1" applyAlignment="1">
      <alignment horizontal="center" vertical="center" wrapText="1"/>
    </xf>
    <xf numFmtId="0" fontId="18" fillId="5" borderId="1" xfId="0" applyFont="1" applyFill="1" applyBorder="1" applyAlignment="1">
      <alignment horizontal="center" vertical="center" wrapText="1"/>
    </xf>
    <xf numFmtId="0" fontId="16" fillId="0" borderId="0" xfId="0" applyFont="1" applyAlignment="1">
      <alignment horizontal="left" vertical="top" wrapText="1"/>
    </xf>
    <xf numFmtId="0" fontId="35" fillId="0" borderId="0" xfId="0" applyFont="1" applyAlignment="1">
      <alignment wrapText="1"/>
    </xf>
    <xf numFmtId="0" fontId="35" fillId="0" borderId="0" xfId="0" applyFont="1" applyAlignment="1">
      <alignment horizontal="center" wrapText="1"/>
    </xf>
    <xf numFmtId="0" fontId="2" fillId="0" borderId="0" xfId="0" applyFont="1" applyAlignment="1">
      <alignment horizontal="left" vertical="top" wrapText="1"/>
    </xf>
    <xf numFmtId="0" fontId="16" fillId="0" borderId="0" xfId="0" applyFont="1" applyAlignment="1">
      <alignment horizontal="left" vertical="top" wrapText="1"/>
    </xf>
    <xf numFmtId="0" fontId="7" fillId="0" borderId="0" xfId="0" applyFont="1" applyFill="1" applyAlignment="1">
      <alignment horizontal="left" wrapText="1"/>
    </xf>
    <xf numFmtId="2" fontId="16" fillId="0" borderId="0" xfId="1" applyNumberFormat="1" applyFont="1" applyFill="1" applyBorder="1" applyAlignment="1">
      <alignment horizontal="justify" vertical="top" wrapText="1"/>
    </xf>
    <xf numFmtId="0" fontId="2" fillId="0" borderId="0" xfId="0" applyFont="1" applyAlignment="1">
      <alignment horizontal="left" wrapText="1"/>
    </xf>
    <xf numFmtId="0" fontId="16" fillId="0" borderId="0" xfId="0" applyFont="1" applyAlignment="1">
      <alignment horizontal="justify" vertical="top" wrapText="1"/>
    </xf>
    <xf numFmtId="0" fontId="7" fillId="0" borderId="0" xfId="0" applyFont="1" applyBorder="1" applyAlignment="1">
      <alignment horizontal="left" wrapText="1"/>
    </xf>
    <xf numFmtId="0" fontId="11" fillId="0" borderId="0" xfId="0" applyFont="1" applyAlignment="1">
      <alignment horizontal="left" vertical="top" wrapText="1"/>
    </xf>
    <xf numFmtId="0" fontId="23" fillId="0" borderId="0" xfId="0" applyNumberFormat="1" applyFont="1" applyFill="1" applyAlignment="1" applyProtection="1">
      <alignment horizontal="left" wrapText="1"/>
    </xf>
    <xf numFmtId="0" fontId="23" fillId="0" borderId="0" xfId="0" applyFont="1" applyAlignment="1">
      <alignment horizontal="left" vertical="top" wrapText="1"/>
    </xf>
    <xf numFmtId="0" fontId="32" fillId="5" borderId="3" xfId="0" applyNumberFormat="1" applyFont="1" applyFill="1" applyBorder="1" applyAlignment="1" applyProtection="1">
      <alignment horizontal="center"/>
    </xf>
    <xf numFmtId="0" fontId="32" fillId="5" borderId="4" xfId="0" applyNumberFormat="1" applyFont="1" applyFill="1" applyBorder="1" applyAlignment="1" applyProtection="1">
      <alignment horizontal="center"/>
    </xf>
    <xf numFmtId="0" fontId="32" fillId="5" borderId="5" xfId="0" applyNumberFormat="1" applyFont="1" applyFill="1" applyBorder="1" applyAlignment="1" applyProtection="1">
      <alignment horizontal="center"/>
    </xf>
    <xf numFmtId="0" fontId="32" fillId="5" borderId="1" xfId="0" applyNumberFormat="1" applyFont="1" applyFill="1" applyBorder="1" applyAlignment="1" applyProtection="1">
      <alignment horizontal="center"/>
    </xf>
    <xf numFmtId="0" fontId="11" fillId="0" borderId="0" xfId="0" applyFont="1" applyAlignment="1">
      <alignment horizontal="left" wrapText="1"/>
    </xf>
    <xf numFmtId="0" fontId="7" fillId="0" borderId="0" xfId="0" applyFont="1" applyAlignment="1">
      <alignment horizontal="left" wrapText="1"/>
    </xf>
    <xf numFmtId="0" fontId="16" fillId="0" borderId="0" xfId="1" applyFont="1" applyFill="1" applyBorder="1" applyAlignment="1">
      <alignment horizontal="left" vertical="top" wrapText="1"/>
    </xf>
    <xf numFmtId="0" fontId="16" fillId="0" borderId="0" xfId="0" applyFont="1"/>
    <xf numFmtId="0" fontId="17" fillId="0" borderId="0" xfId="0" applyFont="1" applyAlignment="1">
      <alignment horizontal="right"/>
    </xf>
    <xf numFmtId="0" fontId="36" fillId="0" borderId="0" xfId="0" applyFont="1" applyFill="1" applyAlignment="1">
      <alignment horizontal="right" vertical="top" wrapText="1"/>
    </xf>
    <xf numFmtId="0" fontId="8" fillId="0" borderId="0" xfId="0" applyFont="1"/>
    <xf numFmtId="0" fontId="16" fillId="5" borderId="1" xfId="0" applyFont="1" applyFill="1" applyBorder="1" applyAlignment="1">
      <alignment horizontal="center"/>
    </xf>
    <xf numFmtId="0" fontId="8" fillId="5" borderId="1" xfId="0" applyFont="1" applyFill="1" applyBorder="1" applyAlignment="1">
      <alignment horizontal="center"/>
    </xf>
    <xf numFmtId="0" fontId="16" fillId="0" borderId="3" xfId="0" applyFont="1" applyBorder="1"/>
    <xf numFmtId="0" fontId="16" fillId="0" borderId="1" xfId="0" applyFont="1" applyBorder="1"/>
    <xf numFmtId="2" fontId="16" fillId="0" borderId="1" xfId="0" applyNumberFormat="1" applyFont="1" applyBorder="1"/>
    <xf numFmtId="3" fontId="16" fillId="0" borderId="1" xfId="0" applyNumberFormat="1" applyFont="1" applyFill="1" applyBorder="1"/>
    <xf numFmtId="0" fontId="8" fillId="0" borderId="3" xfId="0" applyFont="1" applyFill="1" applyBorder="1"/>
    <xf numFmtId="3" fontId="8" fillId="0" borderId="1" xfId="0" applyNumberFormat="1" applyFont="1" applyBorder="1"/>
    <xf numFmtId="0" fontId="16" fillId="0" borderId="1" xfId="0" applyFont="1" applyBorder="1" applyAlignment="1">
      <alignment wrapText="1"/>
    </xf>
    <xf numFmtId="3" fontId="16" fillId="0" borderId="1" xfId="0" applyNumberFormat="1" applyFont="1" applyFill="1" applyBorder="1" applyAlignment="1">
      <alignment wrapText="1"/>
    </xf>
    <xf numFmtId="3" fontId="16" fillId="0" borderId="1" xfId="0" applyNumberFormat="1" applyFont="1" applyBorder="1" applyAlignment="1">
      <alignment wrapText="1"/>
    </xf>
    <xf numFmtId="0" fontId="17" fillId="0" borderId="1" xfId="0" applyFont="1" applyBorder="1" applyAlignment="1">
      <alignment horizontal="right" wrapText="1"/>
    </xf>
    <xf numFmtId="0" fontId="16" fillId="0" borderId="2" xfId="0" applyFont="1" applyBorder="1" applyAlignment="1">
      <alignment wrapText="1"/>
    </xf>
    <xf numFmtId="0" fontId="17" fillId="0" borderId="1" xfId="0" applyFont="1" applyBorder="1" applyAlignment="1">
      <alignment horizontal="left" wrapText="1"/>
    </xf>
    <xf numFmtId="1" fontId="16" fillId="0" borderId="1" xfId="0" applyNumberFormat="1" applyFont="1" applyBorder="1"/>
    <xf numFmtId="0" fontId="38" fillId="0" borderId="6" xfId="0" applyFont="1" applyBorder="1" applyAlignment="1">
      <alignment horizontal="justify" wrapText="1"/>
    </xf>
    <xf numFmtId="0" fontId="38" fillId="0" borderId="0" xfId="0" applyFont="1" applyBorder="1" applyAlignment="1">
      <alignment horizontal="justify" wrapText="1"/>
    </xf>
    <xf numFmtId="0" fontId="39" fillId="0" borderId="0" xfId="0" applyFont="1"/>
    <xf numFmtId="3" fontId="16" fillId="0" borderId="1" xfId="0" applyNumberFormat="1" applyFont="1" applyFill="1" applyBorder="1" applyAlignment="1">
      <alignment horizontal="right" vertical="center" wrapText="1"/>
    </xf>
    <xf numFmtId="0" fontId="16" fillId="0" borderId="0" xfId="0" applyFont="1" applyBorder="1"/>
    <xf numFmtId="3" fontId="16" fillId="0" borderId="1" xfId="0" applyNumberFormat="1" applyFont="1" applyFill="1" applyBorder="1" applyAlignment="1">
      <alignment horizontal="right" vertical="center"/>
    </xf>
    <xf numFmtId="3" fontId="17" fillId="3" borderId="1" xfId="0" applyNumberFormat="1" applyFont="1" applyFill="1" applyBorder="1" applyAlignment="1">
      <alignment horizontal="right" vertical="center"/>
    </xf>
    <xf numFmtId="0" fontId="38" fillId="0" borderId="0" xfId="0" applyFont="1"/>
    <xf numFmtId="0" fontId="16" fillId="5" borderId="3" xfId="0" applyFont="1" applyFill="1" applyBorder="1" applyAlignment="1">
      <alignment horizontal="center" vertical="center"/>
    </xf>
    <xf numFmtId="0" fontId="8" fillId="5" borderId="1" xfId="0" applyFont="1" applyFill="1" applyBorder="1" applyAlignment="1">
      <alignment horizontal="center" wrapText="1"/>
    </xf>
    <xf numFmtId="0" fontId="16" fillId="0" borderId="3" xfId="0" applyFont="1" applyBorder="1" applyAlignment="1">
      <alignment wrapText="1"/>
    </xf>
    <xf numFmtId="3" fontId="16" fillId="0" borderId="1" xfId="0" applyNumberFormat="1" applyFont="1" applyBorder="1"/>
    <xf numFmtId="0" fontId="38" fillId="0" borderId="6" xfId="0" applyFont="1" applyFill="1" applyBorder="1" applyAlignment="1">
      <alignment horizontal="justify" wrapText="1"/>
    </xf>
    <xf numFmtId="0" fontId="40" fillId="0" borderId="0" xfId="0" applyFont="1" applyAlignment="1">
      <alignment wrapText="1"/>
    </xf>
    <xf numFmtId="0" fontId="40" fillId="0" borderId="0" xfId="0" applyFont="1" applyAlignment="1">
      <alignment horizontal="left" wrapText="1"/>
    </xf>
    <xf numFmtId="0" fontId="16" fillId="5" borderId="2" xfId="0" applyFont="1" applyFill="1" applyBorder="1" applyAlignment="1">
      <alignment horizontal="center" vertical="center"/>
    </xf>
    <xf numFmtId="0" fontId="8" fillId="5" borderId="3" xfId="0" applyFont="1" applyFill="1" applyBorder="1" applyAlignment="1">
      <alignment horizontal="center"/>
    </xf>
    <xf numFmtId="0" fontId="8" fillId="5" borderId="4" xfId="0" applyFont="1" applyFill="1" applyBorder="1" applyAlignment="1">
      <alignment horizontal="center"/>
    </xf>
    <xf numFmtId="0" fontId="8" fillId="5" borderId="5" xfId="0" applyFont="1" applyFill="1" applyBorder="1" applyAlignment="1">
      <alignment horizontal="center"/>
    </xf>
    <xf numFmtId="0" fontId="16" fillId="5" borderId="7" xfId="0" applyFont="1" applyFill="1" applyBorder="1" applyAlignment="1">
      <alignment horizontal="center" vertical="center"/>
    </xf>
    <xf numFmtId="0" fontId="16" fillId="3" borderId="1" xfId="0" applyFont="1" applyFill="1" applyBorder="1" applyAlignment="1">
      <alignment horizontal="center" vertical="center" wrapText="1"/>
    </xf>
    <xf numFmtId="0" fontId="16" fillId="0" borderId="0" xfId="0" applyFont="1" applyAlignment="1">
      <alignment wrapText="1"/>
    </xf>
    <xf numFmtId="0" fontId="16" fillId="3" borderId="7" xfId="0" applyFont="1" applyFill="1" applyBorder="1" applyAlignment="1">
      <alignment horizontal="left"/>
    </xf>
    <xf numFmtId="0" fontId="16" fillId="3" borderId="1" xfId="0" applyFont="1" applyFill="1" applyBorder="1" applyAlignment="1">
      <alignment horizontal="center"/>
    </xf>
    <xf numFmtId="3" fontId="16" fillId="3" borderId="9" xfId="0" applyNumberFormat="1" applyFont="1" applyFill="1" applyBorder="1" applyAlignment="1"/>
    <xf numFmtId="3" fontId="16" fillId="3" borderId="7" xfId="0" applyNumberFormat="1" applyFont="1" applyFill="1" applyBorder="1" applyAlignment="1"/>
    <xf numFmtId="0" fontId="16" fillId="3" borderId="7" xfId="0" applyFont="1" applyFill="1" applyBorder="1"/>
    <xf numFmtId="3" fontId="16" fillId="3" borderId="8" xfId="0" applyNumberFormat="1" applyFont="1" applyFill="1" applyBorder="1" applyAlignment="1"/>
    <xf numFmtId="3" fontId="16" fillId="0" borderId="9" xfId="0" applyNumberFormat="1" applyFont="1" applyFill="1" applyBorder="1" applyAlignment="1"/>
    <xf numFmtId="3" fontId="16" fillId="0" borderId="7" xfId="0" applyNumberFormat="1" applyFont="1" applyFill="1" applyBorder="1" applyAlignment="1"/>
    <xf numFmtId="0" fontId="16" fillId="3" borderId="1" xfId="0" applyFont="1" applyFill="1" applyBorder="1" applyAlignment="1">
      <alignment horizontal="left"/>
    </xf>
    <xf numFmtId="0" fontId="17" fillId="3" borderId="1" xfId="0" applyFont="1" applyFill="1" applyBorder="1" applyAlignment="1">
      <alignment horizontal="right"/>
    </xf>
    <xf numFmtId="0" fontId="38" fillId="0" borderId="0" xfId="0" applyFont="1" applyFill="1" applyAlignment="1"/>
    <xf numFmtId="0" fontId="38" fillId="0" borderId="0" xfId="0" applyFont="1" applyFill="1" applyAlignment="1">
      <alignment wrapText="1"/>
    </xf>
    <xf numFmtId="0" fontId="38" fillId="3" borderId="0" xfId="0" applyFont="1" applyFill="1" applyAlignment="1"/>
    <xf numFmtId="0" fontId="41" fillId="0" borderId="0" xfId="0" applyFont="1"/>
    <xf numFmtId="0" fontId="8" fillId="5" borderId="3" xfId="0" applyFont="1" applyFill="1" applyBorder="1" applyAlignment="1">
      <alignment horizontal="center" vertical="center"/>
    </xf>
    <xf numFmtId="0" fontId="8" fillId="5" borderId="4" xfId="0" applyFont="1" applyFill="1" applyBorder="1" applyAlignment="1">
      <alignment horizontal="center" vertical="center"/>
    </xf>
    <xf numFmtId="0" fontId="8" fillId="5" borderId="5" xfId="0" applyFont="1" applyFill="1" applyBorder="1" applyAlignment="1">
      <alignment horizontal="center" vertical="center"/>
    </xf>
    <xf numFmtId="0" fontId="16" fillId="3" borderId="1" xfId="0" applyFont="1" applyFill="1" applyBorder="1" applyAlignment="1">
      <alignment horizontal="center" wrapText="1"/>
    </xf>
    <xf numFmtId="3" fontId="16" fillId="3" borderId="1" xfId="0" applyNumberFormat="1" applyFont="1" applyFill="1" applyBorder="1" applyAlignment="1"/>
    <xf numFmtId="0" fontId="38" fillId="0" borderId="0" xfId="0" applyFont="1" applyFill="1" applyAlignment="1">
      <alignment horizontal="left" wrapText="1"/>
    </xf>
    <xf numFmtId="3" fontId="42" fillId="0" borderId="0" xfId="0" applyNumberFormat="1" applyFont="1" applyFill="1" applyBorder="1"/>
    <xf numFmtId="0" fontId="41" fillId="0" borderId="0" xfId="0" applyFont="1" applyFill="1"/>
    <xf numFmtId="0" fontId="16" fillId="3" borderId="2" xfId="0" applyFont="1" applyFill="1" applyBorder="1" applyAlignment="1">
      <alignment horizontal="center" vertical="center" wrapText="1"/>
    </xf>
    <xf numFmtId="0" fontId="16" fillId="0" borderId="2" xfId="0" applyFont="1" applyBorder="1" applyAlignment="1">
      <alignment horizontal="center" vertical="center" wrapText="1"/>
    </xf>
    <xf numFmtId="0" fontId="8" fillId="5" borderId="1" xfId="0" applyFont="1" applyFill="1" applyBorder="1" applyAlignment="1">
      <alignment horizontal="center"/>
    </xf>
    <xf numFmtId="0" fontId="16" fillId="3" borderId="7" xfId="0" applyFont="1" applyFill="1" applyBorder="1" applyAlignment="1">
      <alignment horizontal="center" vertical="center" wrapText="1"/>
    </xf>
    <xf numFmtId="0" fontId="16" fillId="0" borderId="7" xfId="0" applyFont="1" applyBorder="1" applyAlignment="1">
      <alignment horizontal="center" vertical="center" wrapText="1"/>
    </xf>
    <xf numFmtId="0" fontId="16" fillId="3" borderId="1" xfId="0" applyFont="1" applyFill="1" applyBorder="1" applyAlignment="1">
      <alignment horizontal="center" vertical="center"/>
    </xf>
    <xf numFmtId="0" fontId="17" fillId="0" borderId="1" xfId="0" applyFont="1" applyBorder="1" applyAlignment="1">
      <alignment horizontal="left" vertical="center"/>
    </xf>
    <xf numFmtId="9" fontId="16" fillId="0" borderId="1" xfId="0" applyNumberFormat="1" applyFont="1" applyBorder="1"/>
    <xf numFmtId="164" fontId="16" fillId="0" borderId="3" xfId="0" applyNumberFormat="1" applyFont="1" applyBorder="1"/>
    <xf numFmtId="0" fontId="16" fillId="0" borderId="1" xfId="0" applyFont="1" applyBorder="1" applyAlignment="1">
      <alignment horizontal="left" vertical="center"/>
    </xf>
    <xf numFmtId="0" fontId="16" fillId="0" borderId="1" xfId="0" applyFont="1" applyBorder="1" applyAlignment="1">
      <alignment horizontal="right" vertical="center"/>
    </xf>
    <xf numFmtId="0" fontId="16" fillId="0" borderId="3" xfId="0" applyFont="1" applyBorder="1" applyAlignment="1">
      <alignment horizontal="right" vertical="center"/>
    </xf>
    <xf numFmtId="0" fontId="8" fillId="0" borderId="1" xfId="0" applyFont="1" applyBorder="1" applyAlignment="1">
      <alignment horizontal="right" vertical="center"/>
    </xf>
    <xf numFmtId="0" fontId="8" fillId="0" borderId="3" xfId="0" applyFont="1" applyBorder="1" applyAlignment="1">
      <alignment horizontal="right" vertical="center"/>
    </xf>
    <xf numFmtId="9" fontId="36" fillId="0" borderId="0" xfId="0" applyNumberFormat="1" applyFont="1"/>
    <xf numFmtId="0" fontId="36" fillId="0" borderId="0" xfId="0" applyFont="1"/>
    <xf numFmtId="0" fontId="38" fillId="0" borderId="0" xfId="0" applyFont="1" applyBorder="1" applyAlignment="1">
      <alignment vertical="top"/>
    </xf>
    <xf numFmtId="3" fontId="16" fillId="0" borderId="0" xfId="0" applyNumberFormat="1" applyFont="1"/>
    <xf numFmtId="0" fontId="16" fillId="5" borderId="1" xfId="0" applyFont="1" applyFill="1" applyBorder="1" applyAlignment="1">
      <alignment horizontal="center" vertical="center"/>
    </xf>
    <xf numFmtId="0" fontId="8" fillId="5" borderId="1" xfId="0" applyFont="1" applyFill="1" applyBorder="1" applyAlignment="1">
      <alignment horizontal="center" vertical="center"/>
    </xf>
    <xf numFmtId="0" fontId="16" fillId="0" borderId="1" xfId="0" applyFont="1" applyBorder="1" applyAlignment="1">
      <alignment horizontal="left"/>
    </xf>
    <xf numFmtId="9" fontId="16" fillId="0" borderId="0" xfId="0" applyNumberFormat="1" applyFont="1"/>
    <xf numFmtId="4" fontId="16" fillId="3" borderId="1" xfId="0" applyNumberFormat="1" applyFont="1" applyFill="1" applyBorder="1" applyAlignment="1">
      <alignment horizontal="right"/>
    </xf>
    <xf numFmtId="4" fontId="16" fillId="3" borderId="1" xfId="0" applyNumberFormat="1" applyFont="1" applyFill="1" applyBorder="1"/>
    <xf numFmtId="0" fontId="38" fillId="0" borderId="0" xfId="0" applyFont="1" applyAlignment="1">
      <alignment vertical="center"/>
    </xf>
    <xf numFmtId="0" fontId="16" fillId="0" borderId="0" xfId="0" applyFont="1" applyAlignment="1">
      <alignment horizontal="left" wrapText="1"/>
    </xf>
    <xf numFmtId="0" fontId="38" fillId="0" borderId="6" xfId="0" applyFont="1" applyBorder="1" applyAlignment="1">
      <alignment horizontal="left" wrapText="1"/>
    </xf>
    <xf numFmtId="0" fontId="38" fillId="0" borderId="0" xfId="0" applyFont="1" applyAlignment="1">
      <alignment wrapText="1"/>
    </xf>
    <xf numFmtId="0" fontId="8" fillId="0" borderId="0" xfId="0" applyFont="1" applyBorder="1" applyAlignment="1">
      <alignment horizontal="center"/>
    </xf>
    <xf numFmtId="0" fontId="16" fillId="5" borderId="20" xfId="0" applyFont="1" applyFill="1" applyBorder="1" applyAlignment="1">
      <alignment horizontal="center"/>
    </xf>
    <xf numFmtId="0" fontId="8" fillId="5" borderId="21" xfId="0" applyFont="1" applyFill="1" applyBorder="1" applyAlignment="1">
      <alignment horizontal="center" vertical="center"/>
    </xf>
    <xf numFmtId="0" fontId="8" fillId="5" borderId="22" xfId="0" applyFont="1" applyFill="1" applyBorder="1" applyAlignment="1">
      <alignment horizontal="center" vertical="center"/>
    </xf>
    <xf numFmtId="0" fontId="8" fillId="0" borderId="17" xfId="0" applyFont="1" applyBorder="1"/>
    <xf numFmtId="3" fontId="8" fillId="0" borderId="18" xfId="0" applyNumberFormat="1" applyFont="1" applyBorder="1"/>
    <xf numFmtId="3" fontId="8" fillId="0" borderId="19" xfId="0" applyNumberFormat="1" applyFont="1" applyBorder="1"/>
    <xf numFmtId="0" fontId="8" fillId="0" borderId="15" xfId="0" applyFont="1" applyBorder="1"/>
    <xf numFmtId="3" fontId="8" fillId="0" borderId="7" xfId="0" applyNumberFormat="1" applyFont="1" applyBorder="1"/>
    <xf numFmtId="3" fontId="8" fillId="0" borderId="16" xfId="0" applyNumberFormat="1" applyFont="1" applyBorder="1"/>
    <xf numFmtId="0" fontId="16" fillId="0" borderId="10" xfId="0" applyFont="1" applyBorder="1" applyAlignment="1">
      <alignment wrapText="1"/>
    </xf>
    <xf numFmtId="3" fontId="16" fillId="0" borderId="11" xfId="0" applyNumberFormat="1" applyFont="1" applyBorder="1"/>
    <xf numFmtId="0" fontId="17" fillId="0" borderId="10" xfId="0" applyFont="1" applyBorder="1"/>
    <xf numFmtId="3" fontId="17" fillId="0" borderId="1" xfId="0" applyNumberFormat="1" applyFont="1" applyBorder="1"/>
    <xf numFmtId="3" fontId="17" fillId="0" borderId="11" xfId="0" applyNumberFormat="1" applyFont="1" applyBorder="1"/>
    <xf numFmtId="0" fontId="16" fillId="0" borderId="10" xfId="0" applyFont="1" applyBorder="1" applyAlignment="1">
      <alignment vertical="top" wrapText="1"/>
    </xf>
    <xf numFmtId="0" fontId="16" fillId="0" borderId="11" xfId="0" applyFont="1" applyBorder="1"/>
    <xf numFmtId="0" fontId="17" fillId="0" borderId="12" xfId="0" applyFont="1" applyBorder="1" applyAlignment="1">
      <alignment wrapText="1"/>
    </xf>
    <xf numFmtId="3" fontId="17" fillId="0" borderId="13" xfId="0" applyNumberFormat="1" applyFont="1" applyBorder="1"/>
    <xf numFmtId="0" fontId="17" fillId="0" borderId="13" xfId="0" applyFont="1" applyBorder="1"/>
    <xf numFmtId="0" fontId="17" fillId="0" borderId="14" xfId="0" applyFont="1" applyBorder="1"/>
    <xf numFmtId="0" fontId="8" fillId="0" borderId="15" xfId="0" applyFont="1" applyBorder="1" applyAlignment="1">
      <alignment wrapText="1"/>
    </xf>
    <xf numFmtId="0" fontId="16" fillId="0" borderId="10" xfId="0" applyFont="1" applyBorder="1"/>
  </cellXfs>
  <cellStyles count="5">
    <cellStyle name="40% - Accent5" xfId="1" builtinId="47"/>
    <cellStyle name="Normal" xfId="0" builtinId="0"/>
    <cellStyle name="Normal 2" xfId="2" xr:uid="{ABACF541-830B-4B9F-BB14-2092182FEF4F}"/>
    <cellStyle name="Percent" xfId="4" builtinId="5"/>
    <cellStyle name="Style 1" xfId="3" xr:uid="{9025F461-8141-47DA-8730-4F9F3E8398B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 Id="rId14" Type="http://schemas.openxmlformats.org/officeDocument/2006/relationships/customXml" Target="../customXml/item3.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FD60A0E-1055-409C-BF34-8AD943C29F9C}">
  <sheetPr>
    <pageSetUpPr fitToPage="1"/>
  </sheetPr>
  <dimension ref="A1:I27"/>
  <sheetViews>
    <sheetView tabSelected="1" workbookViewId="0">
      <selection activeCell="H9" sqref="H9"/>
    </sheetView>
  </sheetViews>
  <sheetFormatPr defaultRowHeight="14"/>
  <cols>
    <col min="1" max="1" width="65.1796875" style="1" customWidth="1"/>
    <col min="2" max="4" width="10.6328125" style="1" bestFit="1" customWidth="1"/>
    <col min="5" max="5" width="10.90625" style="1" bestFit="1" customWidth="1"/>
    <col min="6" max="9" width="9.90625" style="1" bestFit="1" customWidth="1"/>
    <col min="10" max="16384" width="8.7265625" style="1"/>
  </cols>
  <sheetData>
    <row r="1" spans="1:9">
      <c r="E1" s="120" t="s">
        <v>101</v>
      </c>
    </row>
    <row r="2" spans="1:9">
      <c r="E2" s="120" t="s">
        <v>102</v>
      </c>
    </row>
    <row r="4" spans="1:9" ht="14.5" thickBot="1">
      <c r="A4" s="246" t="s">
        <v>103</v>
      </c>
      <c r="B4" s="246"/>
      <c r="C4" s="246"/>
      <c r="D4" s="246"/>
      <c r="E4" s="246"/>
    </row>
    <row r="5" spans="1:9" ht="14.5" thickBot="1">
      <c r="A5" s="247" t="s">
        <v>109</v>
      </c>
      <c r="B5" s="248">
        <v>2026</v>
      </c>
      <c r="C5" s="248">
        <v>2027</v>
      </c>
      <c r="D5" s="248">
        <v>2028</v>
      </c>
      <c r="E5" s="249">
        <v>2029</v>
      </c>
    </row>
    <row r="6" spans="1:9" ht="14.5" thickBot="1">
      <c r="A6" s="250" t="s">
        <v>0</v>
      </c>
      <c r="B6" s="251">
        <f>B7+B14</f>
        <v>51865890</v>
      </c>
      <c r="C6" s="251">
        <f t="shared" ref="C6:E6" si="0">C7+C14</f>
        <v>52327825</v>
      </c>
      <c r="D6" s="251">
        <f t="shared" si="0"/>
        <v>67063722</v>
      </c>
      <c r="E6" s="252">
        <f t="shared" si="0"/>
        <v>66877549</v>
      </c>
      <c r="F6" s="25"/>
      <c r="G6" s="25"/>
      <c r="H6" s="25"/>
      <c r="I6" s="25"/>
    </row>
    <row r="7" spans="1:9">
      <c r="A7" s="253" t="s">
        <v>163</v>
      </c>
      <c r="B7" s="254">
        <f>B8+B12</f>
        <v>35065538</v>
      </c>
      <c r="C7" s="254">
        <f t="shared" ref="C7:E7" si="1">C8+C12</f>
        <v>35007095</v>
      </c>
      <c r="D7" s="254">
        <f t="shared" si="1"/>
        <v>47170404</v>
      </c>
      <c r="E7" s="255">
        <f t="shared" si="1"/>
        <v>47170404</v>
      </c>
      <c r="F7" s="25"/>
      <c r="G7" s="25"/>
      <c r="H7" s="25"/>
      <c r="I7" s="25"/>
    </row>
    <row r="8" spans="1:9" ht="17" customHeight="1">
      <c r="A8" s="256" t="s">
        <v>148</v>
      </c>
      <c r="B8" s="185">
        <f>SUM(B9:B11)</f>
        <v>35007095</v>
      </c>
      <c r="C8" s="185">
        <f t="shared" ref="C8:E8" si="2">SUM(C9:C11)</f>
        <v>35007095</v>
      </c>
      <c r="D8" s="185">
        <f t="shared" si="2"/>
        <v>47170404</v>
      </c>
      <c r="E8" s="257">
        <f t="shared" si="2"/>
        <v>47170404</v>
      </c>
    </row>
    <row r="9" spans="1:9" s="21" customFormat="1">
      <c r="A9" s="258" t="s">
        <v>137</v>
      </c>
      <c r="B9" s="259">
        <f>'1.tabula'!B14</f>
        <v>2272572</v>
      </c>
      <c r="C9" s="259">
        <f>'1.tabula'!C14</f>
        <v>2272572</v>
      </c>
      <c r="D9" s="259">
        <f>'1.tabula'!D14</f>
        <v>2272572</v>
      </c>
      <c r="E9" s="260">
        <f>'1.tabula'!E14</f>
        <v>2272572</v>
      </c>
    </row>
    <row r="10" spans="1:9" s="21" customFormat="1">
      <c r="A10" s="258" t="s">
        <v>138</v>
      </c>
      <c r="B10" s="259">
        <f>'1.tabula'!B27</f>
        <v>29146043</v>
      </c>
      <c r="C10" s="259">
        <f>'1.tabula'!C27</f>
        <v>29146043</v>
      </c>
      <c r="D10" s="259">
        <f>'1.tabula'!D27</f>
        <v>41309352</v>
      </c>
      <c r="E10" s="260">
        <f>'1.tabula'!E27</f>
        <v>41309352</v>
      </c>
    </row>
    <row r="11" spans="1:9" s="21" customFormat="1">
      <c r="A11" s="258" t="s">
        <v>139</v>
      </c>
      <c r="B11" s="259">
        <f>'1.tabula'!B55</f>
        <v>3588480</v>
      </c>
      <c r="C11" s="259">
        <f>'1.tabula'!C55</f>
        <v>3588480</v>
      </c>
      <c r="D11" s="259">
        <f>'1.tabula'!D55</f>
        <v>3588480</v>
      </c>
      <c r="E11" s="260">
        <f>'1.tabula'!E55</f>
        <v>3588480</v>
      </c>
    </row>
    <row r="12" spans="1:9" ht="29" customHeight="1">
      <c r="A12" s="261" t="s">
        <v>149</v>
      </c>
      <c r="B12" s="185">
        <f>B13</f>
        <v>58443</v>
      </c>
      <c r="C12" s="162"/>
      <c r="D12" s="162"/>
      <c r="E12" s="262"/>
    </row>
    <row r="13" spans="1:9" s="21" customFormat="1" ht="14.5" thickBot="1">
      <c r="A13" s="263" t="s">
        <v>136</v>
      </c>
      <c r="B13" s="264">
        <v>58443</v>
      </c>
      <c r="C13" s="265"/>
      <c r="D13" s="265"/>
      <c r="E13" s="266"/>
    </row>
    <row r="14" spans="1:9" ht="28">
      <c r="A14" s="267" t="s">
        <v>100</v>
      </c>
      <c r="B14" s="254">
        <f>B15+B22</f>
        <v>16800352</v>
      </c>
      <c r="C14" s="254">
        <f t="shared" ref="C14:E14" si="3">C15+C22</f>
        <v>17320730</v>
      </c>
      <c r="D14" s="254">
        <f t="shared" si="3"/>
        <v>19893318</v>
      </c>
      <c r="E14" s="255">
        <f t="shared" si="3"/>
        <v>19707145</v>
      </c>
    </row>
    <row r="15" spans="1:9" ht="18" customHeight="1">
      <c r="A15" s="256" t="s">
        <v>148</v>
      </c>
      <c r="B15" s="185">
        <f>SUM(B16:B21)</f>
        <v>16672334</v>
      </c>
      <c r="C15" s="185">
        <f t="shared" ref="C15:E15" si="4">SUM(C16:C21)</f>
        <v>17320730</v>
      </c>
      <c r="D15" s="185">
        <f t="shared" si="4"/>
        <v>19893318</v>
      </c>
      <c r="E15" s="257">
        <f t="shared" si="4"/>
        <v>19707145</v>
      </c>
    </row>
    <row r="16" spans="1:9">
      <c r="A16" s="268" t="s">
        <v>140</v>
      </c>
      <c r="B16" s="185">
        <f>'2.tabula'!D17</f>
        <v>6971952</v>
      </c>
      <c r="C16" s="185">
        <f>'2.tabula'!G17</f>
        <v>7525923</v>
      </c>
      <c r="D16" s="185">
        <f>'2.tabula'!J17</f>
        <v>8077758</v>
      </c>
      <c r="E16" s="257">
        <f>'2.tabula'!M17</f>
        <v>7999326</v>
      </c>
    </row>
    <row r="17" spans="1:5">
      <c r="A17" s="268" t="s">
        <v>141</v>
      </c>
      <c r="B17" s="185">
        <f>'2.tabula'!D33</f>
        <v>1474475</v>
      </c>
      <c r="C17" s="185">
        <f>'2.tabula'!G33</f>
        <v>1653354</v>
      </c>
      <c r="D17" s="185">
        <f>'2.tabula'!J33</f>
        <v>1828189</v>
      </c>
      <c r="E17" s="257">
        <f>'2.tabula'!M33</f>
        <v>1843153</v>
      </c>
    </row>
    <row r="18" spans="1:5">
      <c r="A18" s="268" t="s">
        <v>142</v>
      </c>
      <c r="B18" s="185">
        <f>'2.tabula'!F51</f>
        <v>948485</v>
      </c>
      <c r="C18" s="185">
        <f>'2.tabula'!I51</f>
        <v>933605</v>
      </c>
      <c r="D18" s="185">
        <f>'2.tabula'!L51</f>
        <v>1326869</v>
      </c>
      <c r="E18" s="257">
        <f>'2.tabula'!O51</f>
        <v>1291061</v>
      </c>
    </row>
    <row r="19" spans="1:5">
      <c r="A19" s="268" t="s">
        <v>143</v>
      </c>
      <c r="B19" s="185">
        <f>'2.tabula'!B65</f>
        <v>7159833</v>
      </c>
      <c r="C19" s="185">
        <f>'2.tabula'!C65</f>
        <v>7086654</v>
      </c>
      <c r="D19" s="185">
        <f>'2.tabula'!D65</f>
        <v>8537331</v>
      </c>
      <c r="E19" s="257">
        <f>'2.tabula'!E65</f>
        <v>8448252</v>
      </c>
    </row>
    <row r="20" spans="1:5">
      <c r="A20" s="268" t="s">
        <v>144</v>
      </c>
      <c r="B20" s="185">
        <f>'2.tabula'!B77</f>
        <v>32738</v>
      </c>
      <c r="C20" s="185">
        <f>'2.tabula'!C77</f>
        <v>36343</v>
      </c>
      <c r="D20" s="185">
        <f>'2.tabula'!D77</f>
        <v>38320</v>
      </c>
      <c r="E20" s="257">
        <f>'2.tabula'!E77</f>
        <v>40502</v>
      </c>
    </row>
    <row r="21" spans="1:5">
      <c r="A21" s="268" t="s">
        <v>145</v>
      </c>
      <c r="B21" s="185">
        <f>'2.tabula'!B90</f>
        <v>84851</v>
      </c>
      <c r="C21" s="185">
        <f>'2.tabula'!C90</f>
        <v>84851</v>
      </c>
      <c r="D21" s="185">
        <f>'2.tabula'!D90</f>
        <v>84851</v>
      </c>
      <c r="E21" s="257">
        <f>'2.tabula'!E90</f>
        <v>84851</v>
      </c>
    </row>
    <row r="22" spans="1:5" ht="28">
      <c r="A22" s="256" t="s">
        <v>149</v>
      </c>
      <c r="B22" s="185">
        <f>B23</f>
        <v>128018</v>
      </c>
      <c r="C22" s="162"/>
      <c r="D22" s="162"/>
      <c r="E22" s="262"/>
    </row>
    <row r="23" spans="1:5" s="21" customFormat="1" ht="14.5" thickBot="1">
      <c r="A23" s="263" t="s">
        <v>154</v>
      </c>
      <c r="B23" s="264">
        <v>128018</v>
      </c>
      <c r="C23" s="265"/>
      <c r="D23" s="265"/>
      <c r="E23" s="266"/>
    </row>
    <row r="24" spans="1:5" s="20" customFormat="1" ht="11.5">
      <c r="A24" s="181" t="s">
        <v>146</v>
      </c>
      <c r="B24" s="181"/>
      <c r="C24" s="181"/>
      <c r="D24" s="181"/>
      <c r="E24" s="181"/>
    </row>
    <row r="25" spans="1:5" s="20" customFormat="1" ht="11.5">
      <c r="A25" s="181" t="s">
        <v>147</v>
      </c>
      <c r="B25" s="181"/>
      <c r="C25" s="181"/>
      <c r="D25" s="181"/>
      <c r="E25" s="181"/>
    </row>
    <row r="26" spans="1:5">
      <c r="B26" s="25"/>
      <c r="C26" s="25"/>
      <c r="D26" s="25"/>
      <c r="E26" s="25"/>
    </row>
    <row r="27" spans="1:5" ht="55.5" customHeight="1">
      <c r="A27" s="136" t="s">
        <v>161</v>
      </c>
      <c r="B27" s="136"/>
      <c r="C27" s="137"/>
      <c r="D27" s="137"/>
      <c r="E27" s="137"/>
    </row>
  </sheetData>
  <mergeCells count="2">
    <mergeCell ref="A4:E4"/>
    <mergeCell ref="C27:E27"/>
  </mergeCells>
  <pageMargins left="0.7" right="0.7" top="0.75" bottom="0.75" header="0.3" footer="0.3"/>
  <pageSetup paperSize="9" fitToHeight="0" orientation="landscape"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52503FA-A16D-496C-87E8-45A9DB7ADE5E}">
  <dimension ref="A1:E59"/>
  <sheetViews>
    <sheetView topLeftCell="A50" workbookViewId="0">
      <selection activeCell="A59" sqref="A1:XFD1048576"/>
    </sheetView>
  </sheetViews>
  <sheetFormatPr defaultColWidth="8.81640625" defaultRowHeight="14"/>
  <cols>
    <col min="1" max="1" width="55.81640625" style="155" customWidth="1"/>
    <col min="2" max="2" width="15.453125" style="155" customWidth="1"/>
    <col min="3" max="3" width="15.6328125" style="155" customWidth="1"/>
    <col min="4" max="4" width="13.453125" style="155" customWidth="1"/>
    <col min="5" max="5" width="16.36328125" style="155" customWidth="1"/>
    <col min="6" max="16384" width="8.81640625" style="155"/>
  </cols>
  <sheetData>
    <row r="1" spans="1:5">
      <c r="E1" s="156" t="s">
        <v>101</v>
      </c>
    </row>
    <row r="2" spans="1:5">
      <c r="E2" s="156" t="s">
        <v>102</v>
      </c>
    </row>
    <row r="3" spans="1:5">
      <c r="E3" s="156" t="s">
        <v>104</v>
      </c>
    </row>
    <row r="4" spans="1:5">
      <c r="A4" s="157"/>
      <c r="B4" s="157"/>
      <c r="C4" s="157"/>
      <c r="D4" s="157"/>
      <c r="E4" s="157"/>
    </row>
    <row r="5" spans="1:5" ht="15">
      <c r="A5" s="13" t="s">
        <v>105</v>
      </c>
    </row>
    <row r="6" spans="1:5">
      <c r="A6" s="158"/>
    </row>
    <row r="7" spans="1:5">
      <c r="A7" s="139" t="s">
        <v>164</v>
      </c>
      <c r="B7" s="139"/>
      <c r="C7" s="139"/>
      <c r="D7" s="139"/>
      <c r="E7" s="139"/>
    </row>
    <row r="8" spans="1:5" ht="17.149999999999999" customHeight="1">
      <c r="A8" s="135"/>
      <c r="B8" s="135"/>
      <c r="C8" s="135"/>
      <c r="D8" s="135"/>
      <c r="E8" s="135"/>
    </row>
    <row r="9" spans="1:5">
      <c r="A9" s="159" t="s">
        <v>109</v>
      </c>
      <c r="B9" s="160">
        <v>2026</v>
      </c>
      <c r="C9" s="160">
        <v>2027</v>
      </c>
      <c r="D9" s="160">
        <v>2028</v>
      </c>
      <c r="E9" s="160">
        <v>2029</v>
      </c>
    </row>
    <row r="10" spans="1:5">
      <c r="A10" s="161" t="s">
        <v>165</v>
      </c>
      <c r="B10" s="162">
        <v>421.17</v>
      </c>
      <c r="C10" s="162">
        <v>421.17</v>
      </c>
      <c r="D10" s="162">
        <v>421.17</v>
      </c>
      <c r="E10" s="162">
        <v>421.17</v>
      </c>
    </row>
    <row r="11" spans="1:5">
      <c r="A11" s="161" t="s">
        <v>166</v>
      </c>
      <c r="B11" s="162">
        <v>600</v>
      </c>
      <c r="C11" s="162">
        <v>600</v>
      </c>
      <c r="D11" s="162">
        <v>600</v>
      </c>
      <c r="E11" s="162">
        <v>600</v>
      </c>
    </row>
    <row r="12" spans="1:5">
      <c r="A12" s="161" t="s">
        <v>167</v>
      </c>
      <c r="B12" s="163">
        <f>B11-B10</f>
        <v>178.82999999999998</v>
      </c>
      <c r="C12" s="163">
        <f>B12</f>
        <v>178.82999999999998</v>
      </c>
      <c r="D12" s="163">
        <f>B12</f>
        <v>178.82999999999998</v>
      </c>
      <c r="E12" s="163">
        <f>C12</f>
        <v>178.82999999999998</v>
      </c>
    </row>
    <row r="13" spans="1:5">
      <c r="A13" s="161" t="s">
        <v>150</v>
      </c>
      <c r="B13" s="164">
        <v>1059</v>
      </c>
      <c r="C13" s="164">
        <v>1059</v>
      </c>
      <c r="D13" s="164">
        <v>1059</v>
      </c>
      <c r="E13" s="164">
        <v>1059</v>
      </c>
    </row>
    <row r="14" spans="1:5">
      <c r="A14" s="165" t="s">
        <v>168</v>
      </c>
      <c r="B14" s="166">
        <f>ROUND(B12*B13*12,0)</f>
        <v>2272572</v>
      </c>
      <c r="C14" s="166">
        <f>ROUND(C12*C13*12,0)</f>
        <v>2272572</v>
      </c>
      <c r="D14" s="166">
        <f>ROUND(D12*D13*12,0)</f>
        <v>2272572</v>
      </c>
      <c r="E14" s="166">
        <f>ROUND(E12*E13*12,0)</f>
        <v>2272572</v>
      </c>
    </row>
    <row r="16" spans="1:5" ht="14.5" customHeight="1">
      <c r="A16" s="13" t="s">
        <v>106</v>
      </c>
    </row>
    <row r="17" spans="1:5" ht="15">
      <c r="A17" s="13"/>
    </row>
    <row r="18" spans="1:5" ht="44" customHeight="1">
      <c r="A18" s="139" t="s">
        <v>155</v>
      </c>
      <c r="B18" s="139"/>
      <c r="C18" s="139"/>
      <c r="D18" s="139"/>
      <c r="E18" s="139"/>
    </row>
    <row r="19" spans="1:5">
      <c r="A19" s="135"/>
      <c r="B19" s="135"/>
      <c r="C19" s="135"/>
      <c r="D19" s="135"/>
      <c r="E19" s="135"/>
    </row>
    <row r="20" spans="1:5">
      <c r="A20" s="159" t="s">
        <v>109</v>
      </c>
      <c r="B20" s="160">
        <v>2026</v>
      </c>
      <c r="C20" s="160">
        <v>2027</v>
      </c>
      <c r="D20" s="160">
        <v>2028</v>
      </c>
      <c r="E20" s="160">
        <v>2029</v>
      </c>
    </row>
    <row r="21" spans="1:5">
      <c r="A21" s="167" t="s">
        <v>169</v>
      </c>
      <c r="B21" s="168">
        <v>43276974</v>
      </c>
      <c r="C21" s="168">
        <v>43276974</v>
      </c>
      <c r="D21" s="164">
        <f>C21</f>
        <v>43276974</v>
      </c>
      <c r="E21" s="164">
        <f>D21</f>
        <v>43276974</v>
      </c>
    </row>
    <row r="22" spans="1:5">
      <c r="A22" s="167" t="s">
        <v>151</v>
      </c>
      <c r="B22" s="169">
        <v>27321</v>
      </c>
      <c r="C22" s="169">
        <v>27321</v>
      </c>
      <c r="D22" s="169">
        <v>27321</v>
      </c>
      <c r="E22" s="169">
        <v>27321</v>
      </c>
    </row>
    <row r="23" spans="1:5">
      <c r="A23" s="170" t="s">
        <v>107</v>
      </c>
      <c r="B23" s="169">
        <f>B22*0.7</f>
        <v>19124.699999999997</v>
      </c>
      <c r="C23" s="169">
        <f>C22*0.7</f>
        <v>19124.699999999997</v>
      </c>
      <c r="D23" s="169">
        <f>D22*0.7</f>
        <v>19124.699999999997</v>
      </c>
      <c r="E23" s="169">
        <f>E22*0.7</f>
        <v>19124.699999999997</v>
      </c>
    </row>
    <row r="24" spans="1:5">
      <c r="A24" s="171" t="s">
        <v>170</v>
      </c>
      <c r="B24" s="121">
        <v>850.02</v>
      </c>
      <c r="C24" s="122">
        <f>B24</f>
        <v>850.02</v>
      </c>
      <c r="D24" s="122">
        <v>1002.41</v>
      </c>
      <c r="E24" s="123">
        <f>D24</f>
        <v>1002.41</v>
      </c>
    </row>
    <row r="25" spans="1:5" ht="28">
      <c r="A25" s="167" t="s">
        <v>171</v>
      </c>
      <c r="B25" s="131">
        <f>ROUND(B24*0.35,0)</f>
        <v>298</v>
      </c>
      <c r="C25" s="131">
        <f>ROUND(C24*0.35,0)</f>
        <v>298</v>
      </c>
      <c r="D25" s="131">
        <f>ROUND(D24*0.35,0)</f>
        <v>351</v>
      </c>
      <c r="E25" s="131">
        <f>ROUND(E24*0.35,0)</f>
        <v>351</v>
      </c>
    </row>
    <row r="26" spans="1:5">
      <c r="A26" s="172" t="s">
        <v>172</v>
      </c>
      <c r="B26" s="173">
        <f>B25-171</f>
        <v>127</v>
      </c>
      <c r="C26" s="173">
        <f t="shared" ref="C26:E26" si="0">C25-171</f>
        <v>127</v>
      </c>
      <c r="D26" s="173">
        <f t="shared" si="0"/>
        <v>180</v>
      </c>
      <c r="E26" s="173">
        <f t="shared" si="0"/>
        <v>180</v>
      </c>
    </row>
    <row r="27" spans="1:5">
      <c r="A27" s="165" t="s">
        <v>168</v>
      </c>
      <c r="B27" s="166">
        <f>ROUND(B26*B23*12,0)</f>
        <v>29146043</v>
      </c>
      <c r="C27" s="166">
        <f>ROUND(C26*C23*12,0)</f>
        <v>29146043</v>
      </c>
      <c r="D27" s="166">
        <f>ROUND(D26*D23*12,0)</f>
        <v>41309352</v>
      </c>
      <c r="E27" s="166">
        <f>ROUND(E26*E23*12,0)</f>
        <v>41309352</v>
      </c>
    </row>
    <row r="28" spans="1:5" ht="14" customHeight="1">
      <c r="A28" s="174" t="s">
        <v>85</v>
      </c>
      <c r="B28" s="174"/>
      <c r="C28" s="174"/>
      <c r="D28" s="174"/>
      <c r="E28" s="174"/>
    </row>
    <row r="29" spans="1:5" ht="24.65" customHeight="1">
      <c r="A29" s="175" t="s">
        <v>108</v>
      </c>
      <c r="B29" s="175"/>
      <c r="C29" s="175"/>
      <c r="D29" s="175"/>
      <c r="E29" s="175"/>
    </row>
    <row r="30" spans="1:5" ht="14" customHeight="1">
      <c r="A30" s="175" t="s">
        <v>153</v>
      </c>
      <c r="B30" s="175"/>
      <c r="C30" s="175"/>
      <c r="D30" s="175"/>
      <c r="E30" s="175"/>
    </row>
    <row r="32" spans="1:5">
      <c r="A32" s="22" t="s">
        <v>110</v>
      </c>
    </row>
    <row r="33" spans="1:5" ht="43" customHeight="1">
      <c r="A33" s="143" t="s">
        <v>111</v>
      </c>
      <c r="B33" s="143"/>
      <c r="C33" s="143"/>
      <c r="D33" s="143"/>
      <c r="E33" s="143"/>
    </row>
    <row r="35" spans="1:5" ht="54" customHeight="1">
      <c r="A35" s="133" t="s">
        <v>109</v>
      </c>
      <c r="B35" s="133" t="s">
        <v>29</v>
      </c>
      <c r="C35" s="134" t="s">
        <v>115</v>
      </c>
      <c r="D35" s="176"/>
      <c r="E35" s="176"/>
    </row>
    <row r="36" spans="1:5" ht="14.15" customHeight="1">
      <c r="A36" s="23" t="s">
        <v>17</v>
      </c>
      <c r="B36" s="177">
        <v>113187</v>
      </c>
      <c r="C36" s="24">
        <v>25</v>
      </c>
      <c r="D36" s="178"/>
    </row>
    <row r="37" spans="1:5" ht="14.15" customHeight="1">
      <c r="A37" s="23" t="s">
        <v>18</v>
      </c>
      <c r="B37" s="177">
        <v>148451</v>
      </c>
      <c r="C37" s="24">
        <v>50</v>
      </c>
      <c r="D37" s="119"/>
    </row>
    <row r="38" spans="1:5" ht="14.15" customHeight="1">
      <c r="A38" s="23" t="s">
        <v>19</v>
      </c>
      <c r="B38" s="177">
        <v>62533</v>
      </c>
      <c r="C38" s="24">
        <v>75</v>
      </c>
      <c r="D38" s="119"/>
    </row>
    <row r="39" spans="1:5" ht="14.15" customHeight="1">
      <c r="A39" s="23" t="s">
        <v>20</v>
      </c>
      <c r="B39" s="177">
        <v>16135</v>
      </c>
      <c r="C39" s="24">
        <v>100</v>
      </c>
      <c r="D39" s="119"/>
    </row>
    <row r="40" spans="1:5" ht="14.15" customHeight="1">
      <c r="A40" s="23" t="s">
        <v>21</v>
      </c>
      <c r="B40" s="177">
        <v>4893</v>
      </c>
      <c r="C40" s="24">
        <v>100</v>
      </c>
      <c r="D40" s="119"/>
    </row>
    <row r="41" spans="1:5" ht="14.15" customHeight="1">
      <c r="A41" s="23" t="s">
        <v>22</v>
      </c>
      <c r="B41" s="179">
        <v>1802</v>
      </c>
      <c r="C41" s="24">
        <v>100</v>
      </c>
      <c r="D41" s="119"/>
    </row>
    <row r="42" spans="1:5" ht="14.15" customHeight="1">
      <c r="A42" s="23" t="s">
        <v>23</v>
      </c>
      <c r="B42" s="179">
        <v>809</v>
      </c>
      <c r="C42" s="24">
        <v>100</v>
      </c>
      <c r="D42" s="119"/>
    </row>
    <row r="43" spans="1:5" ht="14.15" customHeight="1">
      <c r="A43" s="23" t="s">
        <v>24</v>
      </c>
      <c r="B43" s="179">
        <v>344</v>
      </c>
      <c r="C43" s="24">
        <v>100</v>
      </c>
      <c r="D43" s="119"/>
    </row>
    <row r="44" spans="1:5" ht="14.15" customHeight="1">
      <c r="A44" s="23" t="s">
        <v>25</v>
      </c>
      <c r="B44" s="179">
        <v>112</v>
      </c>
      <c r="C44" s="24">
        <v>100</v>
      </c>
      <c r="D44" s="119"/>
    </row>
    <row r="45" spans="1:5" ht="15.5">
      <c r="A45" s="23" t="s">
        <v>26</v>
      </c>
      <c r="B45" s="179">
        <v>62</v>
      </c>
      <c r="C45" s="24">
        <v>100</v>
      </c>
      <c r="D45" s="119"/>
    </row>
    <row r="46" spans="1:5" ht="15.5">
      <c r="A46" s="23" t="s">
        <v>27</v>
      </c>
      <c r="B46" s="179">
        <v>17</v>
      </c>
      <c r="C46" s="24">
        <v>100</v>
      </c>
      <c r="D46" s="119"/>
    </row>
    <row r="47" spans="1:5" ht="15.5">
      <c r="A47" s="23" t="s">
        <v>28</v>
      </c>
      <c r="B47" s="179">
        <v>12</v>
      </c>
      <c r="C47" s="24">
        <v>100</v>
      </c>
      <c r="D47" s="176"/>
    </row>
    <row r="48" spans="1:5" ht="15.5">
      <c r="A48" s="124" t="s">
        <v>112</v>
      </c>
      <c r="B48" s="180">
        <f>SUM(B36:B47)</f>
        <v>348357</v>
      </c>
      <c r="C48" s="125"/>
      <c r="D48" s="176"/>
    </row>
    <row r="49" spans="1:5" ht="15.5">
      <c r="A49" s="126" t="s">
        <v>117</v>
      </c>
      <c r="B49" s="35"/>
      <c r="C49" s="127">
        <f>ROUND(SUMPRODUCT(B36:B47,C36:C47)/$B$48,2)</f>
        <v>49.84</v>
      </c>
      <c r="D49" s="176"/>
    </row>
    <row r="50" spans="1:5">
      <c r="A50" s="181" t="s">
        <v>113</v>
      </c>
    </row>
    <row r="52" spans="1:5" ht="16.5" customHeight="1">
      <c r="A52" s="182" t="s">
        <v>109</v>
      </c>
      <c r="B52" s="183">
        <v>2026</v>
      </c>
      <c r="C52" s="160">
        <v>2027</v>
      </c>
      <c r="D52" s="183">
        <v>2028</v>
      </c>
      <c r="E52" s="160">
        <v>2029</v>
      </c>
    </row>
    <row r="53" spans="1:5">
      <c r="A53" s="155" t="s">
        <v>173</v>
      </c>
      <c r="B53" s="122">
        <f>C49</f>
        <v>49.84</v>
      </c>
      <c r="C53" s="122">
        <f>C49</f>
        <v>49.84</v>
      </c>
      <c r="D53" s="122">
        <f>C49</f>
        <v>49.84</v>
      </c>
      <c r="E53" s="122">
        <f>C49</f>
        <v>49.84</v>
      </c>
    </row>
    <row r="54" spans="1:5">
      <c r="A54" s="184" t="s">
        <v>152</v>
      </c>
      <c r="B54" s="185">
        <v>6000</v>
      </c>
      <c r="C54" s="185">
        <v>6000</v>
      </c>
      <c r="D54" s="185">
        <v>6000</v>
      </c>
      <c r="E54" s="185">
        <v>6000</v>
      </c>
    </row>
    <row r="55" spans="1:5">
      <c r="A55" s="165" t="s">
        <v>168</v>
      </c>
      <c r="B55" s="166">
        <f>B54*B53*12</f>
        <v>3588480</v>
      </c>
      <c r="C55" s="166">
        <f t="shared" ref="C55:D55" si="1">C54*C53*12</f>
        <v>3588480</v>
      </c>
      <c r="D55" s="166">
        <f t="shared" si="1"/>
        <v>3588480</v>
      </c>
      <c r="E55" s="166">
        <f>E54*E53*12</f>
        <v>3588480</v>
      </c>
    </row>
    <row r="56" spans="1:5" ht="35.5" customHeight="1">
      <c r="A56" s="186" t="s">
        <v>116</v>
      </c>
      <c r="B56" s="186"/>
      <c r="C56" s="186"/>
      <c r="D56" s="186"/>
      <c r="E56" s="186"/>
    </row>
    <row r="59" spans="1:5" ht="55.5" customHeight="1">
      <c r="A59" s="187" t="s">
        <v>161</v>
      </c>
      <c r="B59" s="187"/>
      <c r="C59" s="188" t="s">
        <v>162</v>
      </c>
      <c r="D59" s="188"/>
      <c r="E59" s="188"/>
    </row>
  </sheetData>
  <mergeCells count="9">
    <mergeCell ref="C59:E59"/>
    <mergeCell ref="A56:E56"/>
    <mergeCell ref="A28:E28"/>
    <mergeCell ref="A4:E4"/>
    <mergeCell ref="A7:E7"/>
    <mergeCell ref="A18:E18"/>
    <mergeCell ref="A33:E33"/>
    <mergeCell ref="A29:E29"/>
    <mergeCell ref="A30:E30"/>
  </mergeCells>
  <pageMargins left="0.70866141732283472" right="0.70866141732283472" top="0.74803149606299213" bottom="0.74803149606299213" header="0.31496062992125984" footer="0.31496062992125984"/>
  <pageSetup paperSize="9" scale="70"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AFA5BB-1AF3-4EB0-8280-153E490073F8}">
  <sheetPr>
    <pageSetUpPr fitToPage="1"/>
  </sheetPr>
  <dimension ref="A1:AA94"/>
  <sheetViews>
    <sheetView topLeftCell="A77" zoomScale="85" zoomScaleNormal="85" workbookViewId="0">
      <selection activeCell="D90" sqref="D90"/>
    </sheetView>
  </sheetViews>
  <sheetFormatPr defaultColWidth="8.81640625" defaultRowHeight="14"/>
  <cols>
    <col min="1" max="1" width="55.54296875" style="155" customWidth="1"/>
    <col min="2" max="2" width="10.54296875" style="155" customWidth="1"/>
    <col min="3" max="3" width="13" style="155" customWidth="1"/>
    <col min="4" max="4" width="12.1796875" style="155" bestFit="1" customWidth="1"/>
    <col min="5" max="5" width="10.81640625" style="155" customWidth="1"/>
    <col min="6" max="6" width="10.54296875" style="155" customWidth="1"/>
    <col min="7" max="7" width="12.1796875" style="155" customWidth="1"/>
    <col min="8" max="8" width="9.26953125" style="155" customWidth="1"/>
    <col min="9" max="9" width="10.54296875" style="155" customWidth="1"/>
    <col min="10" max="10" width="12.1796875" style="155" customWidth="1"/>
    <col min="11" max="11" width="9.1796875" style="155" customWidth="1"/>
    <col min="12" max="12" width="10.81640625" style="155" customWidth="1"/>
    <col min="13" max="13" width="12.81640625" style="155" customWidth="1"/>
    <col min="14" max="14" width="8.81640625" style="155"/>
    <col min="15" max="15" width="10.1796875" style="155" customWidth="1"/>
    <col min="16" max="16384" width="8.81640625" style="155"/>
  </cols>
  <sheetData>
    <row r="1" spans="1:14">
      <c r="M1" s="156" t="s">
        <v>101</v>
      </c>
    </row>
    <row r="2" spans="1:14">
      <c r="M2" s="156" t="s">
        <v>102</v>
      </c>
    </row>
    <row r="3" spans="1:14">
      <c r="M3" s="156" t="s">
        <v>114</v>
      </c>
    </row>
    <row r="5" spans="1:14" ht="15">
      <c r="A5" s="13" t="s">
        <v>118</v>
      </c>
    </row>
    <row r="6" spans="1:14" ht="15">
      <c r="A6" s="13"/>
    </row>
    <row r="7" spans="1:14" ht="72" customHeight="1">
      <c r="A7" s="139" t="s">
        <v>124</v>
      </c>
      <c r="B7" s="139"/>
      <c r="C7" s="139"/>
      <c r="D7" s="139"/>
      <c r="E7" s="139"/>
      <c r="F7" s="139"/>
      <c r="G7" s="139"/>
      <c r="H7" s="139"/>
      <c r="I7" s="139"/>
      <c r="J7" s="139"/>
      <c r="K7" s="139"/>
      <c r="L7" s="139"/>
      <c r="M7" s="139"/>
    </row>
    <row r="8" spans="1:14" ht="14.5">
      <c r="A8" s="176"/>
      <c r="B8" s="176"/>
      <c r="C8" s="176"/>
      <c r="D8" s="176"/>
      <c r="E8" s="176"/>
    </row>
    <row r="9" spans="1:14" ht="14.5" customHeight="1">
      <c r="A9" s="189" t="s">
        <v>109</v>
      </c>
      <c r="B9" s="190">
        <v>2026</v>
      </c>
      <c r="C9" s="191"/>
      <c r="D9" s="192"/>
      <c r="E9" s="190">
        <v>2027</v>
      </c>
      <c r="F9" s="191"/>
      <c r="G9" s="192"/>
      <c r="H9" s="190">
        <v>2028</v>
      </c>
      <c r="I9" s="191"/>
      <c r="J9" s="192"/>
      <c r="K9" s="190">
        <v>2029</v>
      </c>
      <c r="L9" s="191"/>
      <c r="M9" s="192"/>
    </row>
    <row r="10" spans="1:14" s="195" customFormat="1" ht="28">
      <c r="A10" s="193"/>
      <c r="B10" s="194" t="s">
        <v>41</v>
      </c>
      <c r="C10" s="194" t="s">
        <v>5</v>
      </c>
      <c r="D10" s="194" t="s">
        <v>4</v>
      </c>
      <c r="E10" s="194" t="s">
        <v>41</v>
      </c>
      <c r="F10" s="194" t="s">
        <v>5</v>
      </c>
      <c r="G10" s="194" t="s">
        <v>4</v>
      </c>
      <c r="H10" s="194" t="s">
        <v>41</v>
      </c>
      <c r="I10" s="194" t="s">
        <v>5</v>
      </c>
      <c r="J10" s="194" t="s">
        <v>4</v>
      </c>
      <c r="K10" s="194" t="s">
        <v>41</v>
      </c>
      <c r="L10" s="194" t="s">
        <v>5</v>
      </c>
      <c r="M10" s="194" t="s">
        <v>4</v>
      </c>
    </row>
    <row r="11" spans="1:14" ht="14.15" customHeight="1">
      <c r="A11" s="196" t="s">
        <v>174</v>
      </c>
      <c r="B11" s="197">
        <v>780</v>
      </c>
      <c r="C11" s="197"/>
      <c r="D11" s="197"/>
      <c r="E11" s="197">
        <v>820</v>
      </c>
      <c r="F11" s="197"/>
      <c r="G11" s="197"/>
      <c r="H11" s="197">
        <v>860</v>
      </c>
      <c r="I11" s="162"/>
      <c r="J11" s="197"/>
      <c r="K11" s="197">
        <f>H11</f>
        <v>860</v>
      </c>
      <c r="L11" s="197"/>
      <c r="M11" s="197"/>
    </row>
    <row r="12" spans="1:14" ht="14.15" customHeight="1">
      <c r="A12" s="35" t="s">
        <v>169</v>
      </c>
      <c r="B12" s="35"/>
      <c r="C12" s="35"/>
      <c r="D12" s="198">
        <v>6509256</v>
      </c>
      <c r="E12" s="199"/>
      <c r="F12" s="200"/>
      <c r="G12" s="198">
        <v>6571845</v>
      </c>
      <c r="H12" s="201"/>
      <c r="I12" s="200"/>
      <c r="J12" s="202">
        <v>6634434</v>
      </c>
      <c r="K12" s="203"/>
      <c r="L12" s="200"/>
      <c r="M12" s="202">
        <f>J12</f>
        <v>6634434</v>
      </c>
      <c r="N12" s="176"/>
    </row>
    <row r="13" spans="1:14">
      <c r="A13" s="204" t="s">
        <v>135</v>
      </c>
      <c r="B13" s="35"/>
      <c r="C13" s="164">
        <v>2462</v>
      </c>
      <c r="D13" s="35"/>
      <c r="E13" s="35"/>
      <c r="F13" s="164">
        <v>2449</v>
      </c>
      <c r="G13" s="35"/>
      <c r="H13" s="35"/>
      <c r="I13" s="164">
        <v>2437</v>
      </c>
      <c r="J13" s="35"/>
      <c r="K13" s="35"/>
      <c r="L13" s="164">
        <v>2424</v>
      </c>
      <c r="M13" s="35"/>
    </row>
    <row r="14" spans="1:14">
      <c r="A14" s="205" t="s">
        <v>120</v>
      </c>
      <c r="B14" s="131">
        <f>B11*25%*2</f>
        <v>390</v>
      </c>
      <c r="C14" s="34">
        <f>ROUND(C13*15%,0)</f>
        <v>369</v>
      </c>
      <c r="D14" s="34">
        <f>B14*C14*12</f>
        <v>1726920</v>
      </c>
      <c r="E14" s="131">
        <f>E11*25%*2</f>
        <v>410</v>
      </c>
      <c r="F14" s="34">
        <f>ROUND(F13*15%,0)</f>
        <v>367</v>
      </c>
      <c r="G14" s="34">
        <f>F14*E14*12</f>
        <v>1805640</v>
      </c>
      <c r="H14" s="131">
        <f>H11*25%*2</f>
        <v>430</v>
      </c>
      <c r="I14" s="34">
        <f>ROUND(I13*15%,0)</f>
        <v>366</v>
      </c>
      <c r="J14" s="34">
        <f>I14*H14*12</f>
        <v>1888560</v>
      </c>
      <c r="K14" s="131">
        <f>K11*25%*2</f>
        <v>430</v>
      </c>
      <c r="L14" s="34">
        <f>ROUND(L13*15%,0)</f>
        <v>364</v>
      </c>
      <c r="M14" s="34">
        <f>L14*K14*12</f>
        <v>1878240</v>
      </c>
    </row>
    <row r="15" spans="1:14">
      <c r="A15" s="205" t="s">
        <v>121</v>
      </c>
      <c r="B15" s="131">
        <f>B11*30%*2</f>
        <v>468</v>
      </c>
      <c r="C15" s="34">
        <f>ROUND(C13*85%,0)</f>
        <v>2093</v>
      </c>
      <c r="D15" s="34">
        <f>B15*C15*12</f>
        <v>11754288</v>
      </c>
      <c r="E15" s="131">
        <f>E11*30%*2</f>
        <v>492</v>
      </c>
      <c r="F15" s="34">
        <f>ROUND(F13*85%,0)</f>
        <v>2082</v>
      </c>
      <c r="G15" s="34">
        <f>F15*E15*12</f>
        <v>12292128</v>
      </c>
      <c r="H15" s="131">
        <f>H11*30%*2</f>
        <v>516</v>
      </c>
      <c r="I15" s="34">
        <f>ROUND(I13*85%,0)</f>
        <v>2071</v>
      </c>
      <c r="J15" s="34">
        <f>I15*H15*12</f>
        <v>12823632</v>
      </c>
      <c r="K15" s="131">
        <f>K11*30%*2</f>
        <v>516</v>
      </c>
      <c r="L15" s="34">
        <f>ROUND(L13*85%,0)</f>
        <v>2060</v>
      </c>
      <c r="M15" s="34">
        <f>L15*K15*12</f>
        <v>12755520</v>
      </c>
    </row>
    <row r="16" spans="1:14">
      <c r="A16" s="204" t="s">
        <v>175</v>
      </c>
      <c r="B16" s="35"/>
      <c r="C16" s="35"/>
      <c r="D16" s="34">
        <f>SUM(D14:D15)</f>
        <v>13481208</v>
      </c>
      <c r="E16" s="34"/>
      <c r="F16" s="35"/>
      <c r="G16" s="34">
        <f>SUM(G14:G15)</f>
        <v>14097768</v>
      </c>
      <c r="H16" s="34"/>
      <c r="I16" s="35"/>
      <c r="J16" s="34">
        <f>SUM(J14:J15)</f>
        <v>14712192</v>
      </c>
      <c r="K16" s="34"/>
      <c r="L16" s="35"/>
      <c r="M16" s="34">
        <f>SUM(M14:M15)</f>
        <v>14633760</v>
      </c>
    </row>
    <row r="17" spans="1:14">
      <c r="A17" s="165" t="s">
        <v>168</v>
      </c>
      <c r="B17" s="35"/>
      <c r="C17" s="36"/>
      <c r="D17" s="129">
        <f>D16-D12</f>
        <v>6971952</v>
      </c>
      <c r="E17" s="129"/>
      <c r="F17" s="36"/>
      <c r="G17" s="129">
        <f>G16-G12</f>
        <v>7525923</v>
      </c>
      <c r="H17" s="129"/>
      <c r="I17" s="36"/>
      <c r="J17" s="129">
        <f>J16-J12</f>
        <v>8077758</v>
      </c>
      <c r="K17" s="129"/>
      <c r="L17" s="36"/>
      <c r="M17" s="129">
        <f>M16-M12</f>
        <v>7999326</v>
      </c>
    </row>
    <row r="18" spans="1:14" ht="14" customHeight="1">
      <c r="A18" s="206" t="s">
        <v>119</v>
      </c>
      <c r="B18" s="207"/>
      <c r="C18" s="207"/>
      <c r="D18" s="176"/>
      <c r="E18" s="176"/>
      <c r="F18" s="176"/>
      <c r="G18" s="176"/>
      <c r="H18" s="176"/>
      <c r="I18" s="176"/>
      <c r="J18" s="176"/>
      <c r="K18" s="176"/>
      <c r="L18" s="176"/>
      <c r="M18" s="176"/>
    </row>
    <row r="19" spans="1:14" ht="13.5" customHeight="1">
      <c r="A19" s="208" t="s">
        <v>122</v>
      </c>
      <c r="B19" s="208"/>
      <c r="C19" s="208"/>
      <c r="D19" s="176"/>
      <c r="E19" s="176"/>
      <c r="F19" s="176"/>
      <c r="G19" s="176"/>
      <c r="H19" s="176"/>
      <c r="I19" s="176"/>
      <c r="J19" s="176"/>
      <c r="K19" s="176"/>
      <c r="L19" s="176"/>
      <c r="M19" s="176"/>
    </row>
    <row r="20" spans="1:14" ht="14.5">
      <c r="I20" s="176"/>
      <c r="J20" s="176"/>
      <c r="K20" s="176"/>
      <c r="L20" s="176"/>
      <c r="M20" s="176"/>
    </row>
    <row r="21" spans="1:14" ht="15">
      <c r="A21" s="13" t="s">
        <v>123</v>
      </c>
    </row>
    <row r="22" spans="1:14" ht="15">
      <c r="A22" s="13"/>
    </row>
    <row r="23" spans="1:14" s="209" customFormat="1" ht="59.5" customHeight="1">
      <c r="A23" s="143" t="s">
        <v>176</v>
      </c>
      <c r="B23" s="143"/>
      <c r="C23" s="143"/>
      <c r="D23" s="143"/>
      <c r="E23" s="143"/>
      <c r="F23" s="143"/>
      <c r="G23" s="143"/>
      <c r="H23" s="143"/>
      <c r="I23" s="143"/>
      <c r="J23" s="143"/>
      <c r="K23" s="143"/>
      <c r="L23" s="143"/>
      <c r="M23" s="143"/>
    </row>
    <row r="25" spans="1:14" ht="16.5" customHeight="1">
      <c r="A25" s="189" t="s">
        <v>109</v>
      </c>
      <c r="B25" s="210">
        <v>2026</v>
      </c>
      <c r="C25" s="211"/>
      <c r="D25" s="212"/>
      <c r="E25" s="210">
        <v>2027</v>
      </c>
      <c r="F25" s="211"/>
      <c r="G25" s="212"/>
      <c r="H25" s="210">
        <v>2028</v>
      </c>
      <c r="I25" s="211"/>
      <c r="J25" s="212"/>
      <c r="K25" s="210">
        <v>2029</v>
      </c>
      <c r="L25" s="211"/>
      <c r="M25" s="212"/>
    </row>
    <row r="26" spans="1:14" s="195" customFormat="1" ht="28">
      <c r="A26" s="193"/>
      <c r="B26" s="194" t="s">
        <v>44</v>
      </c>
      <c r="C26" s="194" t="s">
        <v>5</v>
      </c>
      <c r="D26" s="194" t="s">
        <v>4</v>
      </c>
      <c r="E26" s="194" t="s">
        <v>44</v>
      </c>
      <c r="F26" s="194" t="s">
        <v>5</v>
      </c>
      <c r="G26" s="194" t="s">
        <v>4</v>
      </c>
      <c r="H26" s="194" t="s">
        <v>44</v>
      </c>
      <c r="I26" s="194" t="s">
        <v>5</v>
      </c>
      <c r="J26" s="194" t="s">
        <v>4</v>
      </c>
      <c r="K26" s="194" t="s">
        <v>44</v>
      </c>
      <c r="L26" s="194" t="s">
        <v>5</v>
      </c>
      <c r="M26" s="194" t="s">
        <v>4</v>
      </c>
    </row>
    <row r="27" spans="1:14" s="195" customFormat="1" ht="17.149999999999999" customHeight="1">
      <c r="A27" s="196" t="s">
        <v>174</v>
      </c>
      <c r="B27" s="213">
        <f>B11</f>
        <v>780</v>
      </c>
      <c r="C27" s="213"/>
      <c r="D27" s="213"/>
      <c r="E27" s="213">
        <f>E11</f>
        <v>820</v>
      </c>
      <c r="F27" s="213"/>
      <c r="G27" s="213"/>
      <c r="H27" s="213">
        <f>H11</f>
        <v>860</v>
      </c>
      <c r="I27" s="213"/>
      <c r="J27" s="213"/>
      <c r="K27" s="213">
        <f>K11</f>
        <v>860</v>
      </c>
      <c r="L27" s="213"/>
      <c r="M27" s="213"/>
    </row>
    <row r="28" spans="1:14">
      <c r="A28" s="35" t="s">
        <v>169</v>
      </c>
      <c r="B28" s="35"/>
      <c r="C28" s="35"/>
      <c r="D28" s="214">
        <v>1832881</v>
      </c>
      <c r="E28" s="214"/>
      <c r="F28" s="35"/>
      <c r="G28" s="214">
        <v>1840338</v>
      </c>
      <c r="H28" s="214"/>
      <c r="I28" s="35"/>
      <c r="J28" s="132">
        <v>1847795</v>
      </c>
      <c r="K28" s="132"/>
      <c r="L28" s="35"/>
      <c r="M28" s="128">
        <f>J28</f>
        <v>1847795</v>
      </c>
      <c r="N28" s="158"/>
    </row>
    <row r="29" spans="1:14">
      <c r="A29" s="204" t="s">
        <v>135</v>
      </c>
      <c r="B29" s="35"/>
      <c r="C29" s="34">
        <v>1229</v>
      </c>
      <c r="D29" s="35"/>
      <c r="E29" s="35"/>
      <c r="F29" s="34">
        <v>1234</v>
      </c>
      <c r="G29" s="35"/>
      <c r="H29" s="35"/>
      <c r="I29" s="34">
        <v>1239</v>
      </c>
      <c r="J29" s="35"/>
      <c r="K29" s="35"/>
      <c r="L29" s="34">
        <v>1244</v>
      </c>
      <c r="M29" s="35"/>
    </row>
    <row r="30" spans="1:14">
      <c r="A30" s="205" t="s">
        <v>120</v>
      </c>
      <c r="B30" s="35">
        <f>B27*25%</f>
        <v>195</v>
      </c>
      <c r="C30" s="34">
        <f>ROUND(C29*25%,0)</f>
        <v>307</v>
      </c>
      <c r="D30" s="34">
        <f>B30*C30*12</f>
        <v>718380</v>
      </c>
      <c r="E30" s="35">
        <f>E27*25%</f>
        <v>205</v>
      </c>
      <c r="F30" s="34">
        <f>ROUND(F29*25%,0)</f>
        <v>309</v>
      </c>
      <c r="G30" s="34">
        <f>F30*E30*12</f>
        <v>760140</v>
      </c>
      <c r="H30" s="35">
        <f>H27*25%</f>
        <v>215</v>
      </c>
      <c r="I30" s="34">
        <f>ROUND(I29*25%,0)</f>
        <v>310</v>
      </c>
      <c r="J30" s="34">
        <f>I30*H30*12</f>
        <v>799800</v>
      </c>
      <c r="K30" s="35">
        <f>K27*25%</f>
        <v>215</v>
      </c>
      <c r="L30" s="34">
        <f>ROUND(L29*25%,0)</f>
        <v>311</v>
      </c>
      <c r="M30" s="34">
        <f>L30*K30*12</f>
        <v>802380</v>
      </c>
    </row>
    <row r="31" spans="1:14">
      <c r="A31" s="205" t="s">
        <v>121</v>
      </c>
      <c r="B31" s="35">
        <f>B27*30%</f>
        <v>234</v>
      </c>
      <c r="C31" s="34">
        <f>ROUND(C29*75%,0)</f>
        <v>922</v>
      </c>
      <c r="D31" s="34">
        <f>B31*C31*12</f>
        <v>2588976</v>
      </c>
      <c r="E31" s="35">
        <f>E27*30%</f>
        <v>246</v>
      </c>
      <c r="F31" s="34">
        <f>ROUND(F29*75%,0)</f>
        <v>926</v>
      </c>
      <c r="G31" s="34">
        <f>F31*E31*12</f>
        <v>2733552</v>
      </c>
      <c r="H31" s="35">
        <f>H27*30%</f>
        <v>258</v>
      </c>
      <c r="I31" s="34">
        <f>ROUND(I29*75%,0)</f>
        <v>929</v>
      </c>
      <c r="J31" s="34">
        <f>I31*H31*12</f>
        <v>2876184</v>
      </c>
      <c r="K31" s="35">
        <f>K27*30%</f>
        <v>258</v>
      </c>
      <c r="L31" s="34">
        <f>ROUND(L29*75%,0)</f>
        <v>933</v>
      </c>
      <c r="M31" s="34">
        <f>L31*K31*12</f>
        <v>2888568</v>
      </c>
    </row>
    <row r="32" spans="1:14">
      <c r="A32" s="204" t="s">
        <v>175</v>
      </c>
      <c r="B32" s="35"/>
      <c r="C32" s="35"/>
      <c r="D32" s="34">
        <f>SUM(D30:D31)</f>
        <v>3307356</v>
      </c>
      <c r="E32" s="34"/>
      <c r="F32" s="35"/>
      <c r="G32" s="34">
        <f>SUM(G30:G31)</f>
        <v>3493692</v>
      </c>
      <c r="H32" s="34"/>
      <c r="I32" s="35"/>
      <c r="J32" s="34">
        <f>SUM(J30:J31)</f>
        <v>3675984</v>
      </c>
      <c r="K32" s="34"/>
      <c r="L32" s="35"/>
      <c r="M32" s="34">
        <f>SUM(M30:M31)</f>
        <v>3690948</v>
      </c>
    </row>
    <row r="33" spans="1:27">
      <c r="A33" s="165" t="s">
        <v>168</v>
      </c>
      <c r="B33" s="35"/>
      <c r="C33" s="36"/>
      <c r="D33" s="129">
        <f>D32-D28</f>
        <v>1474475</v>
      </c>
      <c r="E33" s="129"/>
      <c r="F33" s="36"/>
      <c r="G33" s="129">
        <f>G32-G28</f>
        <v>1653354</v>
      </c>
      <c r="H33" s="129"/>
      <c r="I33" s="36"/>
      <c r="J33" s="129">
        <f>J32-J28</f>
        <v>1828189</v>
      </c>
      <c r="K33" s="129"/>
      <c r="L33" s="36"/>
      <c r="M33" s="129">
        <f>M32-M28</f>
        <v>1843153</v>
      </c>
    </row>
    <row r="34" spans="1:27" s="217" customFormat="1" ht="13" customHeight="1">
      <c r="A34" s="215" t="s">
        <v>119</v>
      </c>
      <c r="B34" s="215"/>
      <c r="C34" s="215"/>
      <c r="D34" s="215"/>
      <c r="E34" s="215"/>
      <c r="F34" s="215"/>
      <c r="G34" s="215"/>
      <c r="H34" s="215"/>
      <c r="I34" s="215"/>
      <c r="J34" s="216"/>
      <c r="K34" s="216"/>
    </row>
    <row r="35" spans="1:27" s="217" customFormat="1" ht="13">
      <c r="A35" s="215" t="s">
        <v>125</v>
      </c>
      <c r="B35" s="215"/>
      <c r="C35" s="215"/>
      <c r="D35" s="215"/>
      <c r="E35" s="215"/>
      <c r="F35" s="215"/>
      <c r="G35" s="215"/>
      <c r="H35" s="215"/>
      <c r="I35" s="215"/>
    </row>
    <row r="37" spans="1:27" ht="15">
      <c r="A37" s="130" t="s">
        <v>126</v>
      </c>
    </row>
    <row r="39" spans="1:27" ht="43" customHeight="1">
      <c r="A39" s="141" t="s">
        <v>156</v>
      </c>
      <c r="B39" s="141"/>
      <c r="C39" s="141"/>
      <c r="D39" s="141"/>
      <c r="E39" s="141"/>
      <c r="F39" s="141"/>
      <c r="G39" s="141"/>
      <c r="H39" s="141"/>
      <c r="I39" s="141"/>
      <c r="J39" s="141"/>
      <c r="K39" s="141"/>
      <c r="L39" s="141"/>
      <c r="M39" s="141"/>
    </row>
    <row r="41" spans="1:27" ht="14.5" customHeight="1">
      <c r="A41" s="189" t="s">
        <v>109</v>
      </c>
      <c r="B41" s="218" t="s">
        <v>12</v>
      </c>
      <c r="C41" s="219" t="s">
        <v>127</v>
      </c>
      <c r="D41" s="190">
        <v>2026</v>
      </c>
      <c r="E41" s="191"/>
      <c r="F41" s="192"/>
      <c r="G41" s="220">
        <v>2027</v>
      </c>
      <c r="H41" s="220"/>
      <c r="I41" s="220"/>
      <c r="J41" s="220">
        <v>2028</v>
      </c>
      <c r="K41" s="220"/>
      <c r="L41" s="220"/>
      <c r="M41" s="220">
        <v>2029</v>
      </c>
      <c r="N41" s="220"/>
      <c r="O41" s="220"/>
      <c r="Q41" s="176"/>
      <c r="R41" s="176"/>
      <c r="S41" s="176"/>
      <c r="T41" s="176"/>
      <c r="U41" s="176"/>
      <c r="V41" s="176"/>
      <c r="W41" s="176"/>
      <c r="X41" s="176"/>
      <c r="Y41" s="176"/>
      <c r="Z41" s="176"/>
      <c r="AA41" s="176"/>
    </row>
    <row r="42" spans="1:27" ht="39" customHeight="1">
      <c r="A42" s="193"/>
      <c r="B42" s="221"/>
      <c r="C42" s="222"/>
      <c r="D42" s="194" t="s">
        <v>31</v>
      </c>
      <c r="E42" s="194" t="s">
        <v>5</v>
      </c>
      <c r="F42" s="223" t="s">
        <v>4</v>
      </c>
      <c r="G42" s="194" t="s">
        <v>31</v>
      </c>
      <c r="H42" s="194" t="s">
        <v>5</v>
      </c>
      <c r="I42" s="223" t="s">
        <v>4</v>
      </c>
      <c r="J42" s="194" t="s">
        <v>31</v>
      </c>
      <c r="K42" s="194" t="s">
        <v>5</v>
      </c>
      <c r="L42" s="223" t="s">
        <v>4</v>
      </c>
      <c r="M42" s="194" t="s">
        <v>31</v>
      </c>
      <c r="N42" s="194" t="s">
        <v>5</v>
      </c>
      <c r="O42" s="223" t="s">
        <v>4</v>
      </c>
      <c r="Q42" s="176"/>
      <c r="R42" s="176"/>
      <c r="S42" s="176"/>
      <c r="T42" s="176"/>
      <c r="U42" s="176"/>
      <c r="V42" s="176"/>
      <c r="W42" s="176"/>
      <c r="X42" s="176"/>
      <c r="Y42" s="176"/>
      <c r="Z42" s="176"/>
      <c r="AA42" s="176"/>
    </row>
    <row r="43" spans="1:27" ht="14.5">
      <c r="A43" s="224" t="s">
        <v>6</v>
      </c>
      <c r="B43" s="225">
        <v>0.4</v>
      </c>
      <c r="C43" s="226">
        <v>1</v>
      </c>
      <c r="D43" s="131">
        <f>ROUND(850.02*35%,)</f>
        <v>298</v>
      </c>
      <c r="E43" s="35">
        <f>ROUND(E49*B43,0)</f>
        <v>195</v>
      </c>
      <c r="F43" s="34">
        <f t="shared" ref="F43:F48" si="0">D43*E43*12</f>
        <v>697320</v>
      </c>
      <c r="G43" s="131">
        <f>ROUND(850.02*35%,)</f>
        <v>298</v>
      </c>
      <c r="H43" s="34">
        <f>ROUND(H49*B43,0)</f>
        <v>193</v>
      </c>
      <c r="I43" s="34">
        <f>H43*G43*12</f>
        <v>690168</v>
      </c>
      <c r="J43" s="131">
        <f>ROUND(1002.41*35%,)</f>
        <v>351</v>
      </c>
      <c r="K43" s="34">
        <f>ROUND(K49*B43,0)</f>
        <v>191</v>
      </c>
      <c r="L43" s="34">
        <f>J43*K43*12</f>
        <v>804492</v>
      </c>
      <c r="M43" s="131">
        <f>ROUND(1002.41*35%,)</f>
        <v>351</v>
      </c>
      <c r="N43" s="34">
        <f>ROUND(N49*B43,0)</f>
        <v>189</v>
      </c>
      <c r="O43" s="34">
        <f>M43*N43*12</f>
        <v>796068</v>
      </c>
      <c r="Q43" s="176"/>
      <c r="R43" s="176"/>
      <c r="S43" s="176"/>
      <c r="T43" s="176"/>
      <c r="U43" s="176"/>
      <c r="V43" s="176"/>
      <c r="W43" s="176"/>
      <c r="X43" s="176"/>
      <c r="Y43" s="176"/>
      <c r="Z43" s="176"/>
      <c r="AA43" s="176"/>
    </row>
    <row r="44" spans="1:27" ht="14.5">
      <c r="A44" s="224" t="s">
        <v>7</v>
      </c>
      <c r="B44" s="225">
        <v>0.26</v>
      </c>
      <c r="C44" s="226">
        <v>1.3</v>
      </c>
      <c r="D44" s="35">
        <f>ROUND(D43*C44,0)</f>
        <v>387</v>
      </c>
      <c r="E44" s="35">
        <f>ROUND(E49*B44,0)</f>
        <v>127</v>
      </c>
      <c r="F44" s="34">
        <f t="shared" si="0"/>
        <v>589788</v>
      </c>
      <c r="G44" s="34">
        <f>ROUND(G43*C44,0)</f>
        <v>387</v>
      </c>
      <c r="H44" s="34">
        <f>ROUND(H49*B44,0)</f>
        <v>125</v>
      </c>
      <c r="I44" s="34">
        <f t="shared" ref="I44:I48" si="1">H44*G44*12</f>
        <v>580500</v>
      </c>
      <c r="J44" s="34">
        <f>ROUND(J43*C44,0)</f>
        <v>456</v>
      </c>
      <c r="K44" s="34">
        <f>ROUND(K49*B44,0)</f>
        <v>124</v>
      </c>
      <c r="L44" s="34">
        <f t="shared" ref="L44:L48" si="2">J44*K44*12</f>
        <v>678528</v>
      </c>
      <c r="M44" s="34">
        <f>ROUND(M43*C44,0)</f>
        <v>456</v>
      </c>
      <c r="N44" s="34">
        <f>ROUND(N49*B44,0)</f>
        <v>123</v>
      </c>
      <c r="O44" s="34">
        <f t="shared" ref="O44:O48" si="3">M44*N44*12</f>
        <v>673056</v>
      </c>
      <c r="Q44" s="176"/>
      <c r="R44" s="176"/>
      <c r="S44" s="176"/>
      <c r="T44" s="176"/>
      <c r="U44" s="176"/>
      <c r="V44" s="176"/>
      <c r="W44" s="176"/>
      <c r="X44" s="176"/>
      <c r="Y44" s="176"/>
      <c r="Z44" s="176"/>
      <c r="AA44" s="176"/>
    </row>
    <row r="45" spans="1:27" ht="14.5">
      <c r="A45" s="224" t="s">
        <v>8</v>
      </c>
      <c r="B45" s="225">
        <v>0.19</v>
      </c>
      <c r="C45" s="226">
        <v>1.6</v>
      </c>
      <c r="D45" s="35">
        <f>ROUND(D43*C45,0)</f>
        <v>477</v>
      </c>
      <c r="E45" s="35">
        <f>ROUND(E49*B45,0)</f>
        <v>93</v>
      </c>
      <c r="F45" s="34">
        <f t="shared" si="0"/>
        <v>532332</v>
      </c>
      <c r="G45" s="34">
        <f>ROUND(G43*C45,0)</f>
        <v>477</v>
      </c>
      <c r="H45" s="34">
        <f>ROUND(H49*B45,0)</f>
        <v>92</v>
      </c>
      <c r="I45" s="34">
        <f t="shared" si="1"/>
        <v>526608</v>
      </c>
      <c r="J45" s="34">
        <f>ROUND(J43*C45,0)</f>
        <v>562</v>
      </c>
      <c r="K45" s="34">
        <f>ROUND(K49*B45,0)</f>
        <v>91</v>
      </c>
      <c r="L45" s="34">
        <f t="shared" si="2"/>
        <v>613704</v>
      </c>
      <c r="M45" s="34">
        <f>ROUND(M43*C45,0)</f>
        <v>562</v>
      </c>
      <c r="N45" s="34">
        <f>ROUND(N49*B45,0)</f>
        <v>90</v>
      </c>
      <c r="O45" s="34">
        <f t="shared" si="3"/>
        <v>606960</v>
      </c>
      <c r="Q45" s="176"/>
      <c r="R45" s="176"/>
      <c r="S45" s="176"/>
      <c r="T45" s="176"/>
      <c r="U45" s="176"/>
      <c r="V45" s="176"/>
      <c r="W45" s="176"/>
      <c r="X45" s="176"/>
      <c r="Y45" s="176"/>
      <c r="Z45" s="176"/>
      <c r="AA45" s="176"/>
    </row>
    <row r="46" spans="1:27">
      <c r="A46" s="224" t="s">
        <v>9</v>
      </c>
      <c r="B46" s="225">
        <v>0.09</v>
      </c>
      <c r="C46" s="226">
        <v>1.7</v>
      </c>
      <c r="D46" s="35">
        <f>ROUND(D43*C46,0)</f>
        <v>507</v>
      </c>
      <c r="E46" s="35">
        <f>ROUND(E49*B46,0)</f>
        <v>44</v>
      </c>
      <c r="F46" s="34">
        <f t="shared" si="0"/>
        <v>267696</v>
      </c>
      <c r="G46" s="34">
        <f>ROUND(G43*C46,0)</f>
        <v>507</v>
      </c>
      <c r="H46" s="34">
        <f>ROUND(H49*B46,0)</f>
        <v>43</v>
      </c>
      <c r="I46" s="34">
        <f t="shared" si="1"/>
        <v>261612</v>
      </c>
      <c r="J46" s="34">
        <f>ROUND(J43*C46,0)</f>
        <v>597</v>
      </c>
      <c r="K46" s="34">
        <f>ROUND(K49*B46,0)</f>
        <v>43</v>
      </c>
      <c r="L46" s="34">
        <f t="shared" si="2"/>
        <v>308052</v>
      </c>
      <c r="M46" s="34">
        <f>ROUND(M43*C46,0)</f>
        <v>597</v>
      </c>
      <c r="N46" s="34">
        <f>ROUND(N49*B46,0)</f>
        <v>42</v>
      </c>
      <c r="O46" s="34">
        <f t="shared" si="3"/>
        <v>300888</v>
      </c>
    </row>
    <row r="47" spans="1:27">
      <c r="A47" s="224" t="s">
        <v>10</v>
      </c>
      <c r="B47" s="225">
        <v>0.04</v>
      </c>
      <c r="C47" s="226">
        <v>1.8</v>
      </c>
      <c r="D47" s="35">
        <f>ROUND(D43*C47,0)</f>
        <v>536</v>
      </c>
      <c r="E47" s="35">
        <f>ROUND(E49*B47,0)</f>
        <v>19</v>
      </c>
      <c r="F47" s="34">
        <f t="shared" si="0"/>
        <v>122208</v>
      </c>
      <c r="G47" s="34">
        <f>ROUND(G43*C47,0)</f>
        <v>536</v>
      </c>
      <c r="H47" s="34">
        <f>ROUND(H49*B47,0)</f>
        <v>19</v>
      </c>
      <c r="I47" s="34">
        <f t="shared" si="1"/>
        <v>122208</v>
      </c>
      <c r="J47" s="34">
        <f>ROUND(J43*C47,0)</f>
        <v>632</v>
      </c>
      <c r="K47" s="34">
        <f>ROUND(K49*B47,0)</f>
        <v>19</v>
      </c>
      <c r="L47" s="34">
        <f t="shared" si="2"/>
        <v>144096</v>
      </c>
      <c r="M47" s="34">
        <f>ROUND(M43*C47,0)</f>
        <v>632</v>
      </c>
      <c r="N47" s="34">
        <f>ROUND(N49*B47,0)</f>
        <v>19</v>
      </c>
      <c r="O47" s="34">
        <f t="shared" si="3"/>
        <v>144096</v>
      </c>
    </row>
    <row r="48" spans="1:27">
      <c r="A48" s="224" t="s">
        <v>11</v>
      </c>
      <c r="B48" s="225">
        <v>0.02</v>
      </c>
      <c r="C48" s="226">
        <v>1.9</v>
      </c>
      <c r="D48" s="35">
        <f>ROUND(D43*C48,0)</f>
        <v>566</v>
      </c>
      <c r="E48" s="35">
        <f>ROUND(E49*B48,0)</f>
        <v>10</v>
      </c>
      <c r="F48" s="34">
        <f t="shared" si="0"/>
        <v>67920</v>
      </c>
      <c r="G48" s="34">
        <f>ROUND(G43*C48,0)</f>
        <v>566</v>
      </c>
      <c r="H48" s="34">
        <f>ROUND(H49*B48,0)</f>
        <v>10</v>
      </c>
      <c r="I48" s="34">
        <f t="shared" si="1"/>
        <v>67920</v>
      </c>
      <c r="J48" s="34">
        <f>ROUND(J43*C48,0)</f>
        <v>667</v>
      </c>
      <c r="K48" s="34">
        <f>ROUND(K49*B48,0)</f>
        <v>10</v>
      </c>
      <c r="L48" s="34">
        <f t="shared" si="2"/>
        <v>80040</v>
      </c>
      <c r="M48" s="34">
        <f>ROUND(M43*C48,0)</f>
        <v>667</v>
      </c>
      <c r="N48" s="34">
        <f>ROUND(N49*B48,0)</f>
        <v>9</v>
      </c>
      <c r="O48" s="34">
        <f t="shared" si="3"/>
        <v>72036</v>
      </c>
    </row>
    <row r="49" spans="1:16">
      <c r="A49" s="227" t="s">
        <v>129</v>
      </c>
      <c r="B49" s="228"/>
      <c r="C49" s="229"/>
      <c r="D49" s="35"/>
      <c r="E49" s="35">
        <v>487</v>
      </c>
      <c r="F49" s="34">
        <f>SUM(F43:F48)</f>
        <v>2277264</v>
      </c>
      <c r="G49" s="34"/>
      <c r="H49" s="34">
        <v>482</v>
      </c>
      <c r="I49" s="34">
        <f>SUM(I43:I48)</f>
        <v>2249016</v>
      </c>
      <c r="J49" s="34"/>
      <c r="K49" s="34">
        <v>477</v>
      </c>
      <c r="L49" s="34">
        <f>SUM(L43:L48)</f>
        <v>2628912</v>
      </c>
      <c r="M49" s="34"/>
      <c r="N49" s="34">
        <v>472</v>
      </c>
      <c r="O49" s="34">
        <f>SUM(O43:O48)</f>
        <v>2593104</v>
      </c>
    </row>
    <row r="50" spans="1:16">
      <c r="A50" s="227" t="s">
        <v>177</v>
      </c>
      <c r="B50" s="228"/>
      <c r="C50" s="229"/>
      <c r="D50" s="35"/>
      <c r="E50" s="35"/>
      <c r="F50" s="214">
        <v>1328779</v>
      </c>
      <c r="G50" s="214"/>
      <c r="H50" s="35"/>
      <c r="I50" s="214">
        <v>1315411</v>
      </c>
      <c r="J50" s="214"/>
      <c r="K50" s="35"/>
      <c r="L50" s="214">
        <v>1302043</v>
      </c>
      <c r="M50" s="214"/>
      <c r="N50" s="35"/>
      <c r="O50" s="132">
        <f>L50</f>
        <v>1302043</v>
      </c>
      <c r="P50" s="158"/>
    </row>
    <row r="51" spans="1:16">
      <c r="A51" s="165" t="s">
        <v>168</v>
      </c>
      <c r="B51" s="230"/>
      <c r="C51" s="231"/>
      <c r="D51" s="35"/>
      <c r="E51" s="35"/>
      <c r="F51" s="129">
        <f>ROUND(F49-F50,)</f>
        <v>948485</v>
      </c>
      <c r="G51" s="129"/>
      <c r="H51" s="35"/>
      <c r="I51" s="129">
        <f>ROUND(I49-I50,)</f>
        <v>933605</v>
      </c>
      <c r="J51" s="129"/>
      <c r="K51" s="35"/>
      <c r="L51" s="129">
        <f>L49-L50</f>
        <v>1326869</v>
      </c>
      <c r="M51" s="129"/>
      <c r="N51" s="35"/>
      <c r="O51" s="10">
        <f>O49-O50</f>
        <v>1291061</v>
      </c>
    </row>
    <row r="52" spans="1:16">
      <c r="A52" s="181" t="s">
        <v>128</v>
      </c>
      <c r="B52" s="232"/>
      <c r="C52" s="233"/>
      <c r="D52" s="233"/>
      <c r="E52" s="233"/>
      <c r="F52" s="233"/>
    </row>
    <row r="53" spans="1:16" ht="13.5" customHeight="1">
      <c r="A53" s="175" t="s">
        <v>157</v>
      </c>
      <c r="B53" s="175"/>
      <c r="C53" s="175"/>
      <c r="D53" s="175"/>
      <c r="E53" s="175"/>
      <c r="F53" s="234"/>
      <c r="H53" s="235"/>
    </row>
    <row r="54" spans="1:16">
      <c r="A54" s="215" t="s">
        <v>130</v>
      </c>
      <c r="B54" s="215"/>
      <c r="C54" s="215"/>
      <c r="D54" s="215"/>
      <c r="E54" s="215"/>
      <c r="F54" s="215"/>
      <c r="G54" s="215"/>
      <c r="H54" s="215"/>
      <c r="I54" s="215"/>
    </row>
    <row r="56" spans="1:16" ht="15">
      <c r="A56" s="130" t="s">
        <v>131</v>
      </c>
    </row>
    <row r="58" spans="1:16" ht="35" customHeight="1">
      <c r="A58" s="143" t="s">
        <v>158</v>
      </c>
      <c r="B58" s="143"/>
      <c r="C58" s="143"/>
      <c r="D58" s="143"/>
      <c r="E58" s="143"/>
      <c r="F58" s="143"/>
      <c r="G58" s="143"/>
    </row>
    <row r="60" spans="1:16" ht="21" customHeight="1">
      <c r="A60" s="236" t="s">
        <v>109</v>
      </c>
      <c r="B60" s="237">
        <v>2026</v>
      </c>
      <c r="C60" s="237">
        <v>2027</v>
      </c>
      <c r="D60" s="237">
        <v>2028</v>
      </c>
      <c r="E60" s="237">
        <v>2029</v>
      </c>
    </row>
    <row r="61" spans="1:16">
      <c r="A61" s="204" t="s">
        <v>135</v>
      </c>
      <c r="B61" s="34">
        <v>2446</v>
      </c>
      <c r="C61" s="34">
        <v>2421</v>
      </c>
      <c r="D61" s="34">
        <v>2396</v>
      </c>
      <c r="E61" s="34">
        <v>2371</v>
      </c>
    </row>
    <row r="62" spans="1:16">
      <c r="A62" s="238" t="s">
        <v>178</v>
      </c>
      <c r="B62" s="35">
        <v>54.07</v>
      </c>
      <c r="C62" s="35">
        <v>54.07</v>
      </c>
      <c r="D62" s="35">
        <v>54.07</v>
      </c>
      <c r="E62" s="35">
        <v>54.07</v>
      </c>
      <c r="H62" s="239"/>
    </row>
    <row r="63" spans="1:16">
      <c r="A63" s="238" t="s">
        <v>179</v>
      </c>
      <c r="B63" s="131">
        <f>ROUND(850.02*35%,)</f>
        <v>298</v>
      </c>
      <c r="C63" s="131">
        <f>ROUND(850.02*35%,)</f>
        <v>298</v>
      </c>
      <c r="D63" s="131">
        <f>ROUND(1002.41*35%,)</f>
        <v>351</v>
      </c>
      <c r="E63" s="131">
        <f>ROUND(1002.41*35%,)</f>
        <v>351</v>
      </c>
    </row>
    <row r="64" spans="1:16">
      <c r="A64" s="238" t="s">
        <v>180</v>
      </c>
      <c r="B64" s="35">
        <f>B63-B62</f>
        <v>243.93</v>
      </c>
      <c r="C64" s="35">
        <f t="shared" ref="C64:E64" si="4">C63-C62</f>
        <v>243.93</v>
      </c>
      <c r="D64" s="35">
        <f t="shared" si="4"/>
        <v>296.93</v>
      </c>
      <c r="E64" s="35">
        <f t="shared" si="4"/>
        <v>296.93</v>
      </c>
    </row>
    <row r="65" spans="1:8">
      <c r="A65" s="165" t="s">
        <v>168</v>
      </c>
      <c r="B65" s="129">
        <f>ROUND(B64*12*B61,0)</f>
        <v>7159833</v>
      </c>
      <c r="C65" s="129">
        <f>ROUND(C64*12*C61,0)</f>
        <v>7086654</v>
      </c>
      <c r="D65" s="129">
        <f t="shared" ref="D65:E65" si="5">ROUND(D64*12*D61,0)</f>
        <v>8537331</v>
      </c>
      <c r="E65" s="129">
        <f t="shared" si="5"/>
        <v>8448252</v>
      </c>
    </row>
    <row r="66" spans="1:8" ht="13.5" customHeight="1">
      <c r="A66" s="175" t="s">
        <v>159</v>
      </c>
      <c r="B66" s="175"/>
      <c r="C66" s="175"/>
      <c r="D66" s="175"/>
      <c r="E66" s="175"/>
      <c r="F66" s="234"/>
      <c r="H66" s="235"/>
    </row>
    <row r="68" spans="1:8" ht="15">
      <c r="A68" s="26" t="s">
        <v>181</v>
      </c>
    </row>
    <row r="70" spans="1:8" ht="31.5" customHeight="1">
      <c r="A70" s="143" t="s">
        <v>182</v>
      </c>
      <c r="B70" s="143"/>
      <c r="C70" s="143"/>
      <c r="D70" s="143"/>
      <c r="E70" s="143"/>
      <c r="F70" s="143"/>
      <c r="G70" s="143"/>
    </row>
    <row r="72" spans="1:8" ht="17.5" customHeight="1">
      <c r="A72" s="236" t="s">
        <v>109</v>
      </c>
      <c r="B72" s="237">
        <v>2026</v>
      </c>
      <c r="C72" s="237">
        <v>2027</v>
      </c>
      <c r="D72" s="237">
        <v>2028</v>
      </c>
      <c r="E72" s="237">
        <v>2029</v>
      </c>
    </row>
    <row r="73" spans="1:8">
      <c r="A73" s="204" t="s">
        <v>183</v>
      </c>
      <c r="B73" s="240">
        <v>831.14</v>
      </c>
      <c r="C73" s="240">
        <v>881.03</v>
      </c>
      <c r="D73" s="240">
        <v>931.36</v>
      </c>
      <c r="E73" s="240">
        <v>981.37</v>
      </c>
    </row>
    <row r="74" spans="1:8">
      <c r="A74" s="204" t="s">
        <v>135</v>
      </c>
      <c r="B74" s="35">
        <v>13</v>
      </c>
      <c r="C74" s="34">
        <v>13</v>
      </c>
      <c r="D74" s="34">
        <v>13</v>
      </c>
      <c r="E74" s="34">
        <v>13</v>
      </c>
    </row>
    <row r="75" spans="1:8">
      <c r="A75" s="204" t="s">
        <v>179</v>
      </c>
      <c r="B75" s="34">
        <f>ROUND(1487.77*0.7,0)</f>
        <v>1041</v>
      </c>
      <c r="C75" s="34">
        <f>ROUND(1591.13*0.7,0)</f>
        <v>1114</v>
      </c>
      <c r="D75" s="34">
        <f>ROUND(1682.03*0.7,0)</f>
        <v>1177</v>
      </c>
      <c r="E75" s="34">
        <f>ROUND(1772.35*0.7,0)</f>
        <v>1241</v>
      </c>
    </row>
    <row r="76" spans="1:8">
      <c r="A76" s="204" t="s">
        <v>184</v>
      </c>
      <c r="B76" s="241">
        <f>B75-B73</f>
        <v>209.86</v>
      </c>
      <c r="C76" s="241">
        <f>C75-C73</f>
        <v>232.97000000000003</v>
      </c>
      <c r="D76" s="241">
        <f>D75-D73</f>
        <v>245.64</v>
      </c>
      <c r="E76" s="241">
        <f>E75-E73</f>
        <v>259.63</v>
      </c>
    </row>
    <row r="77" spans="1:8">
      <c r="A77" s="165" t="s">
        <v>168</v>
      </c>
      <c r="B77" s="166">
        <f>ROUND(B76*B74*12,0)</f>
        <v>32738</v>
      </c>
      <c r="C77" s="166">
        <f>ROUND(C76*C74*12,0)</f>
        <v>36343</v>
      </c>
      <c r="D77" s="166">
        <f t="shared" ref="D77:E77" si="6">ROUND(D76*D74*12,0)</f>
        <v>38320</v>
      </c>
      <c r="E77" s="166">
        <f t="shared" si="6"/>
        <v>40502</v>
      </c>
    </row>
    <row r="78" spans="1:8">
      <c r="A78" s="242" t="s">
        <v>132</v>
      </c>
    </row>
    <row r="80" spans="1:8" ht="15">
      <c r="A80" s="13" t="s">
        <v>133</v>
      </c>
    </row>
    <row r="82" spans="1:7" ht="27.5" customHeight="1">
      <c r="A82" s="243" t="s">
        <v>185</v>
      </c>
      <c r="B82" s="243"/>
      <c r="C82" s="243"/>
      <c r="D82" s="243"/>
      <c r="E82" s="243"/>
      <c r="F82" s="243"/>
      <c r="G82" s="243"/>
    </row>
    <row r="84" spans="1:7" ht="21.5" customHeight="1">
      <c r="A84" s="236" t="s">
        <v>109</v>
      </c>
      <c r="B84" s="237">
        <v>2026</v>
      </c>
      <c r="C84" s="237">
        <v>2027</v>
      </c>
      <c r="D84" s="237">
        <v>2028</v>
      </c>
      <c r="E84" s="237">
        <v>2029</v>
      </c>
    </row>
    <row r="85" spans="1:7">
      <c r="A85" s="161" t="s">
        <v>178</v>
      </c>
      <c r="B85" s="240">
        <v>1422.87</v>
      </c>
      <c r="C85" s="240">
        <v>1422.87</v>
      </c>
      <c r="D85" s="240">
        <v>1422.87</v>
      </c>
      <c r="E85" s="240">
        <v>1422.87</v>
      </c>
    </row>
    <row r="86" spans="1:7">
      <c r="A86" s="161" t="s">
        <v>134</v>
      </c>
      <c r="B86" s="35">
        <f>ROUND(141.8/2,0)</f>
        <v>71</v>
      </c>
      <c r="C86" s="34"/>
      <c r="D86" s="34"/>
      <c r="E86" s="34"/>
    </row>
    <row r="87" spans="1:7">
      <c r="A87" s="161" t="s">
        <v>186</v>
      </c>
      <c r="B87" s="34">
        <f>ROUND(B85+B85*B86%,0)</f>
        <v>2433</v>
      </c>
      <c r="C87" s="34">
        <f>B87</f>
        <v>2433</v>
      </c>
      <c r="D87" s="34">
        <f>B87</f>
        <v>2433</v>
      </c>
      <c r="E87" s="34">
        <f>C87</f>
        <v>2433</v>
      </c>
    </row>
    <row r="88" spans="1:7">
      <c r="A88" s="161" t="s">
        <v>167</v>
      </c>
      <c r="B88" s="241">
        <f>B87-B85</f>
        <v>1010.1300000000001</v>
      </c>
      <c r="C88" s="241">
        <f>B88</f>
        <v>1010.1300000000001</v>
      </c>
      <c r="D88" s="241">
        <f>B88</f>
        <v>1010.1300000000001</v>
      </c>
      <c r="E88" s="241">
        <f>C88</f>
        <v>1010.1300000000001</v>
      </c>
    </row>
    <row r="89" spans="1:7">
      <c r="A89" s="204" t="s">
        <v>135</v>
      </c>
      <c r="B89" s="185">
        <v>7</v>
      </c>
      <c r="C89" s="185">
        <v>7</v>
      </c>
      <c r="D89" s="185">
        <v>7</v>
      </c>
      <c r="E89" s="185">
        <v>7</v>
      </c>
    </row>
    <row r="90" spans="1:7">
      <c r="A90" s="165" t="s">
        <v>168</v>
      </c>
      <c r="B90" s="166">
        <f>ROUND(B89*B88*12,)</f>
        <v>84851</v>
      </c>
      <c r="C90" s="166">
        <f>ROUND(C89*C88*12,)</f>
        <v>84851</v>
      </c>
      <c r="D90" s="166">
        <f>ROUND(D89*D88*12,)</f>
        <v>84851</v>
      </c>
      <c r="E90" s="166">
        <f>ROUND(E89*E88*12,)</f>
        <v>84851</v>
      </c>
    </row>
    <row r="91" spans="1:7" ht="17" customHeight="1">
      <c r="A91" s="244" t="s">
        <v>160</v>
      </c>
      <c r="B91" s="244"/>
      <c r="C91" s="244"/>
      <c r="D91" s="244"/>
      <c r="E91" s="244"/>
      <c r="F91" s="245"/>
      <c r="G91" s="245"/>
    </row>
    <row r="94" spans="1:7" ht="55.5" customHeight="1">
      <c r="A94" s="187" t="s">
        <v>161</v>
      </c>
      <c r="B94" s="187"/>
      <c r="C94" s="188" t="s">
        <v>162</v>
      </c>
      <c r="D94" s="188"/>
      <c r="E94" s="188"/>
    </row>
  </sheetData>
  <mergeCells count="30">
    <mergeCell ref="A70:G70"/>
    <mergeCell ref="A82:G82"/>
    <mergeCell ref="A58:G58"/>
    <mergeCell ref="A54:I54"/>
    <mergeCell ref="J41:L41"/>
    <mergeCell ref="M41:O41"/>
    <mergeCell ref="A34:I34"/>
    <mergeCell ref="A35:I35"/>
    <mergeCell ref="A39:M39"/>
    <mergeCell ref="B41:B42"/>
    <mergeCell ref="C41:C42"/>
    <mergeCell ref="A41:A42"/>
    <mergeCell ref="D41:F41"/>
    <mergeCell ref="G41:I41"/>
    <mergeCell ref="A53:E53"/>
    <mergeCell ref="A66:E66"/>
    <mergeCell ref="A91:E91"/>
    <mergeCell ref="C94:E94"/>
    <mergeCell ref="A7:M7"/>
    <mergeCell ref="A25:A26"/>
    <mergeCell ref="B25:D25"/>
    <mergeCell ref="E25:G25"/>
    <mergeCell ref="H25:J25"/>
    <mergeCell ref="K25:M25"/>
    <mergeCell ref="A23:M23"/>
    <mergeCell ref="B9:D9"/>
    <mergeCell ref="E9:G9"/>
    <mergeCell ref="H9:J9"/>
    <mergeCell ref="K9:M9"/>
    <mergeCell ref="A9:A10"/>
  </mergeCells>
  <pageMargins left="0.70866141732283472" right="0.70866141732283472" top="0.74803149606299213" bottom="0.74803149606299213" header="0.31496062992125984" footer="0.31496062992125984"/>
  <pageSetup paperSize="9" scale="62" fitToHeight="0" orientation="landscape" verticalDpi="0" r:id="rId1"/>
  <rowBreaks count="2" manualBreakCount="2">
    <brk id="36" max="16383" man="1"/>
    <brk id="79"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53DB55-6F1F-458C-B48E-8D3D7A5BB11F}">
  <sheetPr>
    <tabColor theme="9" tint="-0.249977111117893"/>
    <pageSetUpPr fitToPage="1"/>
  </sheetPr>
  <dimension ref="A2:I25"/>
  <sheetViews>
    <sheetView workbookViewId="0">
      <selection activeCell="B12" sqref="B12"/>
    </sheetView>
  </sheetViews>
  <sheetFormatPr defaultColWidth="8.81640625" defaultRowHeight="14"/>
  <cols>
    <col min="1" max="1" width="58.1796875" style="1" customWidth="1"/>
    <col min="2" max="2" width="12.54296875" style="1" customWidth="1"/>
    <col min="3" max="4" width="13.1796875" style="1" customWidth="1"/>
    <col min="5" max="5" width="11.26953125" style="1" bestFit="1" customWidth="1"/>
    <col min="6" max="16384" width="8.81640625" style="1"/>
  </cols>
  <sheetData>
    <row r="2" spans="1:9" ht="15">
      <c r="A2" s="13" t="s">
        <v>3</v>
      </c>
    </row>
    <row r="3" spans="1:9" ht="15">
      <c r="A3" s="13"/>
    </row>
    <row r="4" spans="1:9" ht="28.5" customHeight="1">
      <c r="A4" s="142" t="s">
        <v>83</v>
      </c>
      <c r="B4" s="142"/>
      <c r="C4" s="142"/>
      <c r="D4" s="142"/>
      <c r="E4" s="142"/>
      <c r="F4" s="142"/>
      <c r="G4" s="142"/>
    </row>
    <row r="5" spans="1:9" ht="28.5" customHeight="1">
      <c r="A5" s="138" t="s">
        <v>16</v>
      </c>
      <c r="B5" s="138"/>
      <c r="C5" s="138"/>
      <c r="D5" s="138"/>
      <c r="E5" s="138"/>
      <c r="F5" s="138"/>
      <c r="G5" s="138"/>
    </row>
    <row r="6" spans="1:9" ht="22" customHeight="1">
      <c r="A6" s="28"/>
      <c r="B6" s="28"/>
      <c r="C6" s="28"/>
      <c r="D6" s="28"/>
      <c r="E6" s="28"/>
      <c r="F6" s="28"/>
      <c r="G6" s="28"/>
    </row>
    <row r="7" spans="1:9">
      <c r="A7" s="3"/>
      <c r="B7" s="38" t="s">
        <v>43</v>
      </c>
      <c r="C7" s="38">
        <v>2027</v>
      </c>
      <c r="D7" s="38">
        <v>2028</v>
      </c>
      <c r="E7" s="38">
        <v>2029</v>
      </c>
      <c r="F7" s="82"/>
      <c r="G7" s="82"/>
      <c r="H7" s="82"/>
      <c r="I7" s="82"/>
    </row>
    <row r="8" spans="1:9">
      <c r="A8" s="18" t="s">
        <v>30</v>
      </c>
      <c r="B8" s="19">
        <v>2446</v>
      </c>
      <c r="C8" s="19">
        <v>2421</v>
      </c>
      <c r="D8" s="19">
        <v>2396</v>
      </c>
      <c r="E8" s="19">
        <v>2371</v>
      </c>
      <c r="F8" s="83"/>
      <c r="G8" s="83"/>
      <c r="H8" s="83"/>
      <c r="I8" s="83"/>
    </row>
    <row r="9" spans="1:9">
      <c r="A9" s="18" t="s">
        <v>13</v>
      </c>
      <c r="B9" s="16">
        <v>54.07</v>
      </c>
      <c r="C9" s="16">
        <v>54.07</v>
      </c>
      <c r="D9" s="16">
        <v>54.07</v>
      </c>
      <c r="E9" s="16">
        <v>54.07</v>
      </c>
      <c r="F9" s="14"/>
    </row>
    <row r="10" spans="1:9">
      <c r="A10" s="18" t="s">
        <v>38</v>
      </c>
      <c r="B10" s="16">
        <v>171</v>
      </c>
      <c r="C10" s="16">
        <v>171</v>
      </c>
      <c r="D10" s="16">
        <v>171</v>
      </c>
      <c r="E10" s="16">
        <v>171</v>
      </c>
      <c r="F10" s="14"/>
    </row>
    <row r="11" spans="1:9">
      <c r="A11" s="18" t="s">
        <v>14</v>
      </c>
      <c r="B11" s="16">
        <f>B10-B9</f>
        <v>116.93</v>
      </c>
      <c r="C11" s="16">
        <f t="shared" ref="C11:E11" si="0">C10-C9</f>
        <v>116.93</v>
      </c>
      <c r="D11" s="16">
        <f t="shared" si="0"/>
        <v>116.93</v>
      </c>
      <c r="E11" s="16">
        <f t="shared" si="0"/>
        <v>116.93</v>
      </c>
      <c r="F11" s="14"/>
    </row>
    <row r="12" spans="1:9">
      <c r="A12" s="39" t="s">
        <v>46</v>
      </c>
      <c r="B12" s="17">
        <f>ROUND(B11*6*B8,0)</f>
        <v>1716065</v>
      </c>
      <c r="C12" s="17">
        <f>ROUND(C11*12*C8,0)</f>
        <v>3397050</v>
      </c>
      <c r="D12" s="17">
        <f t="shared" ref="D12:E12" si="1">ROUND(D11*12*D8,0)</f>
        <v>3361971</v>
      </c>
      <c r="E12" s="17">
        <f t="shared" si="1"/>
        <v>3326892</v>
      </c>
      <c r="F12" s="14"/>
    </row>
    <row r="13" spans="1:9">
      <c r="A13" s="144" t="s">
        <v>40</v>
      </c>
      <c r="B13" s="144"/>
      <c r="C13" s="144"/>
      <c r="D13" s="144"/>
      <c r="E13" s="144"/>
      <c r="F13" s="144"/>
    </row>
    <row r="15" spans="1:9">
      <c r="A15" s="7" t="s">
        <v>45</v>
      </c>
    </row>
    <row r="16" spans="1:9" ht="29.5" customHeight="1">
      <c r="A16" s="142" t="s">
        <v>32</v>
      </c>
      <c r="B16" s="142"/>
      <c r="C16" s="142"/>
      <c r="D16" s="142"/>
      <c r="E16" s="142"/>
      <c r="F16" s="142"/>
      <c r="G16" s="142"/>
    </row>
    <row r="17" spans="1:7">
      <c r="A17" s="2"/>
      <c r="B17" s="2"/>
      <c r="C17" s="2"/>
      <c r="D17" s="2"/>
      <c r="E17" s="2"/>
      <c r="F17" s="2"/>
      <c r="G17" s="2"/>
    </row>
    <row r="18" spans="1:7" ht="44.5" customHeight="1">
      <c r="A18" s="138" t="s">
        <v>39</v>
      </c>
      <c r="B18" s="138"/>
      <c r="C18" s="138"/>
      <c r="D18" s="138"/>
      <c r="E18" s="138"/>
      <c r="F18" s="138"/>
      <c r="G18" s="138"/>
    </row>
    <row r="19" spans="1:7">
      <c r="A19" s="8"/>
      <c r="B19" s="30">
        <v>2026</v>
      </c>
      <c r="C19" s="29"/>
      <c r="D19" s="29"/>
      <c r="E19" s="29"/>
      <c r="F19" s="29"/>
      <c r="G19" s="29"/>
    </row>
    <row r="20" spans="1:7">
      <c r="A20" s="9" t="s">
        <v>1</v>
      </c>
      <c r="B20" s="10">
        <f>40*556.6</f>
        <v>22264</v>
      </c>
    </row>
    <row r="22" spans="1:7">
      <c r="A22" s="11"/>
      <c r="B22" s="38" t="s">
        <v>43</v>
      </c>
      <c r="C22" s="38">
        <v>2027</v>
      </c>
      <c r="D22" s="38">
        <v>2028</v>
      </c>
      <c r="E22" s="38">
        <v>2029</v>
      </c>
    </row>
    <row r="23" spans="1:7">
      <c r="A23" s="31" t="s">
        <v>2</v>
      </c>
      <c r="B23" s="32">
        <f>B20+B12</f>
        <v>1738329</v>
      </c>
      <c r="C23" s="32">
        <f>C12</f>
        <v>3397050</v>
      </c>
      <c r="D23" s="32">
        <f>D12</f>
        <v>3361971</v>
      </c>
      <c r="E23" s="32">
        <f>E12</f>
        <v>3326892</v>
      </c>
      <c r="F23" s="4"/>
      <c r="G23" s="4"/>
    </row>
    <row r="25" spans="1:7" ht="78">
      <c r="A25" s="15" t="s">
        <v>42</v>
      </c>
    </row>
  </sheetData>
  <mergeCells count="5">
    <mergeCell ref="A18:G18"/>
    <mergeCell ref="A4:G4"/>
    <mergeCell ref="A5:G5"/>
    <mergeCell ref="A13:F13"/>
    <mergeCell ref="A16:G16"/>
  </mergeCells>
  <pageMargins left="0.7" right="0.7" top="0.75" bottom="0.75" header="0.3" footer="0.3"/>
  <pageSetup paperSize="9" scale="97" orientation="landscape" verticalDpi="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B50049-A0FC-405C-936A-10D10BFD3A91}">
  <sheetPr>
    <tabColor theme="7" tint="-0.249977111117893"/>
    <pageSetUpPr fitToPage="1"/>
  </sheetPr>
  <dimension ref="A1:Z40"/>
  <sheetViews>
    <sheetView zoomScale="85" zoomScaleNormal="85" workbookViewId="0">
      <selection activeCell="Q30" sqref="Q30"/>
    </sheetView>
  </sheetViews>
  <sheetFormatPr defaultColWidth="8.7265625" defaultRowHeight="13"/>
  <cols>
    <col min="1" max="1" width="42.1796875" style="46" customWidth="1"/>
    <col min="2" max="2" width="9.6328125" style="45" customWidth="1"/>
    <col min="3" max="5" width="10.6328125" style="46" customWidth="1"/>
    <col min="6" max="6" width="10.1796875" style="46" customWidth="1"/>
    <col min="7" max="7" width="10.6328125" style="46" customWidth="1"/>
    <col min="8" max="8" width="8.1796875" style="46" customWidth="1"/>
    <col min="9" max="9" width="7.54296875" style="46" customWidth="1"/>
    <col min="10" max="10" width="10.1796875" style="46" customWidth="1"/>
    <col min="11" max="11" width="11.1796875" style="46" customWidth="1"/>
    <col min="12" max="12" width="8.1796875" style="46" customWidth="1"/>
    <col min="13" max="13" width="10.26953125" style="46" customWidth="1"/>
    <col min="14" max="19" width="7.1796875" style="46" customWidth="1"/>
    <col min="20" max="20" width="7.7265625" style="46" customWidth="1"/>
    <col min="21" max="24" width="8.7265625" style="46"/>
    <col min="25" max="25" width="8.7265625" style="71"/>
    <col min="26" max="16384" width="8.7265625" style="46"/>
  </cols>
  <sheetData>
    <row r="1" spans="1:26">
      <c r="A1" s="79" t="s">
        <v>86</v>
      </c>
      <c r="B1" s="80"/>
      <c r="C1" s="81"/>
      <c r="U1" s="49">
        <v>2025</v>
      </c>
    </row>
    <row r="2" spans="1:26">
      <c r="A2" s="44"/>
      <c r="U2" s="52"/>
    </row>
    <row r="3" spans="1:26" ht="83" customHeight="1">
      <c r="A3" s="146" t="s">
        <v>89</v>
      </c>
      <c r="B3" s="146"/>
      <c r="C3" s="146"/>
      <c r="D3" s="146"/>
      <c r="E3" s="146"/>
      <c r="F3" s="146"/>
      <c r="G3" s="146"/>
      <c r="H3" s="146"/>
      <c r="I3" s="146"/>
      <c r="J3" s="146"/>
      <c r="K3" s="146"/>
      <c r="U3" s="52"/>
    </row>
    <row r="4" spans="1:26">
      <c r="A4" s="147" t="s">
        <v>15</v>
      </c>
      <c r="B4" s="147"/>
      <c r="C4" s="147"/>
      <c r="D4" s="147"/>
      <c r="E4" s="147"/>
      <c r="F4" s="147"/>
      <c r="G4" s="147"/>
      <c r="U4" s="52"/>
    </row>
    <row r="5" spans="1:26">
      <c r="A5" s="78"/>
      <c r="B5" s="90"/>
      <c r="C5" s="90"/>
      <c r="D5" s="90"/>
      <c r="E5" s="90"/>
      <c r="F5" s="90"/>
      <c r="G5" s="90"/>
      <c r="U5" s="59">
        <v>82</v>
      </c>
    </row>
    <row r="6" spans="1:26" ht="14">
      <c r="A6" s="103"/>
      <c r="B6" s="89"/>
      <c r="C6" s="89"/>
      <c r="D6" s="89"/>
      <c r="E6" s="89"/>
      <c r="F6" s="89"/>
      <c r="G6" s="89"/>
      <c r="U6" s="62"/>
    </row>
    <row r="7" spans="1:26">
      <c r="B7" s="47" t="s">
        <v>53</v>
      </c>
      <c r="C7" s="47" t="s">
        <v>54</v>
      </c>
      <c r="D7" s="48" t="s">
        <v>55</v>
      </c>
      <c r="E7" s="48" t="s">
        <v>56</v>
      </c>
      <c r="F7" s="48" t="s">
        <v>57</v>
      </c>
      <c r="G7" s="48" t="s">
        <v>58</v>
      </c>
      <c r="H7" s="48" t="s">
        <v>59</v>
      </c>
      <c r="I7" s="48" t="s">
        <v>60</v>
      </c>
      <c r="J7" s="48" t="s">
        <v>61</v>
      </c>
      <c r="K7" s="48" t="s">
        <v>62</v>
      </c>
      <c r="L7" s="48" t="s">
        <v>63</v>
      </c>
      <c r="M7" s="48" t="s">
        <v>64</v>
      </c>
      <c r="N7" s="48" t="s">
        <v>65</v>
      </c>
      <c r="O7" s="48" t="s">
        <v>66</v>
      </c>
      <c r="P7" s="48" t="s">
        <v>67</v>
      </c>
      <c r="Q7" s="48" t="s">
        <v>68</v>
      </c>
      <c r="R7" s="48" t="s">
        <v>69</v>
      </c>
      <c r="S7" s="48" t="s">
        <v>70</v>
      </c>
      <c r="T7" s="49">
        <v>2024</v>
      </c>
      <c r="U7" s="84">
        <v>2025</v>
      </c>
      <c r="V7" s="84">
        <v>2026</v>
      </c>
      <c r="W7" s="84">
        <v>2027</v>
      </c>
      <c r="X7" s="84">
        <v>2028</v>
      </c>
      <c r="Y7" s="111">
        <v>2029</v>
      </c>
    </row>
    <row r="8" spans="1:26">
      <c r="A8" s="50" t="s">
        <v>81</v>
      </c>
      <c r="B8" s="51">
        <v>22871</v>
      </c>
      <c r="C8" s="51">
        <v>23958</v>
      </c>
      <c r="D8" s="51">
        <v>24397</v>
      </c>
      <c r="E8" s="51">
        <v>22044</v>
      </c>
      <c r="F8" s="51">
        <v>19781</v>
      </c>
      <c r="G8" s="51">
        <v>18825</v>
      </c>
      <c r="H8" s="51">
        <v>19897</v>
      </c>
      <c r="I8" s="51">
        <v>20596</v>
      </c>
      <c r="J8" s="51">
        <v>21746</v>
      </c>
      <c r="K8" s="51">
        <v>21979</v>
      </c>
      <c r="L8" s="51">
        <v>21968</v>
      </c>
      <c r="M8" s="51">
        <v>20828</v>
      </c>
      <c r="N8" s="51">
        <v>19314</v>
      </c>
      <c r="O8" s="51">
        <v>18786</v>
      </c>
      <c r="P8" s="51">
        <v>17552</v>
      </c>
      <c r="Q8" s="51">
        <v>17420</v>
      </c>
      <c r="R8" s="51">
        <v>15954</v>
      </c>
      <c r="S8" s="51">
        <v>14490</v>
      </c>
      <c r="T8" s="51">
        <v>12571</v>
      </c>
      <c r="V8" s="85"/>
      <c r="W8" s="87">
        <f>'1.tabula'!B13*12</f>
        <v>12708</v>
      </c>
      <c r="X8" s="87">
        <f>'1.tabula'!C13*12</f>
        <v>12708</v>
      </c>
      <c r="Y8" s="112">
        <f>'1.tabula'!D13*12</f>
        <v>12708</v>
      </c>
    </row>
    <row r="9" spans="1:26" ht="26">
      <c r="A9" s="53" t="s">
        <v>71</v>
      </c>
      <c r="B9" s="52">
        <v>1926</v>
      </c>
      <c r="C9" s="52">
        <v>1733</v>
      </c>
      <c r="D9" s="54">
        <v>1641</v>
      </c>
      <c r="E9" s="54">
        <v>1513</v>
      </c>
      <c r="F9" s="54">
        <v>1622</v>
      </c>
      <c r="G9" s="54">
        <v>1279</v>
      </c>
      <c r="H9" s="54">
        <v>1213</v>
      </c>
      <c r="I9" s="54">
        <v>1172</v>
      </c>
      <c r="J9" s="54">
        <v>1013</v>
      </c>
      <c r="K9" s="54">
        <v>921</v>
      </c>
      <c r="L9" s="54">
        <v>909</v>
      </c>
      <c r="M9" s="54">
        <v>795</v>
      </c>
      <c r="N9" s="54">
        <v>735</v>
      </c>
      <c r="O9" s="54">
        <v>626</v>
      </c>
      <c r="P9" s="54">
        <v>615</v>
      </c>
      <c r="Q9" s="54">
        <v>495</v>
      </c>
      <c r="R9" s="54">
        <v>512</v>
      </c>
      <c r="S9" s="54">
        <v>451</v>
      </c>
      <c r="T9" s="52">
        <v>404</v>
      </c>
      <c r="V9" s="85"/>
      <c r="W9" s="85"/>
      <c r="X9" s="85"/>
      <c r="Y9" s="113"/>
    </row>
    <row r="10" spans="1:26">
      <c r="A10" s="55" t="s">
        <v>77</v>
      </c>
      <c r="B10" s="56">
        <f>B9/B8</f>
        <v>8.421144681037121E-2</v>
      </c>
      <c r="C10" s="56">
        <f t="shared" ref="C10:T10" si="0">C9/C8</f>
        <v>7.2334919442357454E-2</v>
      </c>
      <c r="D10" s="57">
        <f t="shared" si="0"/>
        <v>6.7262368323974253E-2</v>
      </c>
      <c r="E10" s="57">
        <f t="shared" si="0"/>
        <v>6.8635456360007258E-2</v>
      </c>
      <c r="F10" s="57">
        <f t="shared" si="0"/>
        <v>8.1997876750417073E-2</v>
      </c>
      <c r="G10" s="57">
        <f t="shared" si="0"/>
        <v>6.7941567065073039E-2</v>
      </c>
      <c r="H10" s="57">
        <f t="shared" si="0"/>
        <v>6.0963964416746244E-2</v>
      </c>
      <c r="I10" s="57">
        <f t="shared" si="0"/>
        <v>5.6904253253058847E-2</v>
      </c>
      <c r="J10" s="57">
        <f t="shared" si="0"/>
        <v>4.6583279683619978E-2</v>
      </c>
      <c r="K10" s="57">
        <f t="shared" si="0"/>
        <v>4.1903635288229671E-2</v>
      </c>
      <c r="L10" s="57">
        <f t="shared" si="0"/>
        <v>4.1378368536052437E-2</v>
      </c>
      <c r="M10" s="57">
        <f t="shared" si="0"/>
        <v>3.816977146149414E-2</v>
      </c>
      <c r="N10" s="57">
        <f t="shared" si="0"/>
        <v>3.8055296675986332E-2</v>
      </c>
      <c r="O10" s="57">
        <f t="shared" si="0"/>
        <v>3.3322687107420416E-2</v>
      </c>
      <c r="P10" s="57">
        <f t="shared" si="0"/>
        <v>3.5038742023701004E-2</v>
      </c>
      <c r="Q10" s="57">
        <f t="shared" si="0"/>
        <v>2.8415614236509758E-2</v>
      </c>
      <c r="R10" s="57">
        <f t="shared" si="0"/>
        <v>3.2092265262630058E-2</v>
      </c>
      <c r="S10" s="57">
        <f t="shared" si="0"/>
        <v>3.1124913733609386E-2</v>
      </c>
      <c r="T10" s="57">
        <f t="shared" si="0"/>
        <v>3.2137459231564712E-2</v>
      </c>
      <c r="V10" s="85"/>
      <c r="W10" s="85"/>
      <c r="X10" s="85"/>
      <c r="Y10" s="113"/>
    </row>
    <row r="11" spans="1:26" ht="26">
      <c r="A11" s="58" t="s">
        <v>76</v>
      </c>
      <c r="B11" s="59">
        <v>795</v>
      </c>
      <c r="C11" s="59">
        <v>819</v>
      </c>
      <c r="D11" s="59">
        <v>741</v>
      </c>
      <c r="E11" s="59">
        <v>724</v>
      </c>
      <c r="F11" s="59">
        <v>696</v>
      </c>
      <c r="G11" s="59">
        <v>604</v>
      </c>
      <c r="H11" s="59">
        <v>659</v>
      </c>
      <c r="I11" s="59">
        <v>609</v>
      </c>
      <c r="J11" s="59">
        <v>517</v>
      </c>
      <c r="K11" s="59">
        <v>497</v>
      </c>
      <c r="L11" s="59">
        <v>491</v>
      </c>
      <c r="M11" s="59">
        <v>424</v>
      </c>
      <c r="N11" s="59">
        <v>400</v>
      </c>
      <c r="O11" s="59">
        <v>365</v>
      </c>
      <c r="P11" s="59">
        <v>347</v>
      </c>
      <c r="Q11" s="59">
        <v>305</v>
      </c>
      <c r="R11" s="59">
        <v>293</v>
      </c>
      <c r="S11" s="59">
        <v>308</v>
      </c>
      <c r="T11" s="59">
        <v>313</v>
      </c>
      <c r="U11" s="46">
        <v>300</v>
      </c>
      <c r="V11" s="86">
        <v>300</v>
      </c>
      <c r="W11" s="86">
        <v>300</v>
      </c>
      <c r="X11" s="86">
        <v>300</v>
      </c>
      <c r="Y11" s="114">
        <v>300</v>
      </c>
      <c r="Z11" s="60">
        <f>SUM(C11:T11)</f>
        <v>9112</v>
      </c>
    </row>
    <row r="12" spans="1:26" s="64" customFormat="1">
      <c r="A12" s="74" t="s">
        <v>77</v>
      </c>
      <c r="B12" s="61">
        <f>B11/B8</f>
        <v>3.4760176642910236E-2</v>
      </c>
      <c r="C12" s="61">
        <f t="shared" ref="C12:T12" si="1">C11/C8</f>
        <v>3.4184823441021785E-2</v>
      </c>
      <c r="D12" s="61">
        <f t="shared" si="1"/>
        <v>3.0372586793458212E-2</v>
      </c>
      <c r="E12" s="61">
        <f t="shared" si="1"/>
        <v>3.284340410088913E-2</v>
      </c>
      <c r="F12" s="61">
        <f t="shared" si="1"/>
        <v>3.5185278802891663E-2</v>
      </c>
      <c r="G12" s="61">
        <f t="shared" si="1"/>
        <v>3.208499335989376E-2</v>
      </c>
      <c r="H12" s="61">
        <f t="shared" si="1"/>
        <v>3.3120570940342764E-2</v>
      </c>
      <c r="I12" s="61">
        <f t="shared" si="1"/>
        <v>2.9568848320062149E-2</v>
      </c>
      <c r="J12" s="61">
        <f t="shared" si="1"/>
        <v>2.3774487262025201E-2</v>
      </c>
      <c r="K12" s="61">
        <f t="shared" si="1"/>
        <v>2.2612493744028392E-2</v>
      </c>
      <c r="L12" s="61">
        <f t="shared" si="1"/>
        <v>2.2350691915513473E-2</v>
      </c>
      <c r="M12" s="61">
        <f t="shared" si="1"/>
        <v>2.0357211446130209E-2</v>
      </c>
      <c r="N12" s="61">
        <f t="shared" si="1"/>
        <v>2.0710365537951744E-2</v>
      </c>
      <c r="O12" s="61">
        <f t="shared" si="1"/>
        <v>1.9429362291067818E-2</v>
      </c>
      <c r="P12" s="61">
        <f t="shared" si="1"/>
        <v>1.9769826800364629E-2</v>
      </c>
      <c r="Q12" s="61">
        <f t="shared" si="1"/>
        <v>1.7508610792192882E-2</v>
      </c>
      <c r="R12" s="61">
        <f t="shared" si="1"/>
        <v>1.8365300238184782E-2</v>
      </c>
      <c r="S12" s="61">
        <f t="shared" si="1"/>
        <v>2.1256038647342997E-2</v>
      </c>
      <c r="T12" s="61">
        <f t="shared" si="1"/>
        <v>2.4898576087821176E-2</v>
      </c>
      <c r="V12" s="88"/>
      <c r="W12" s="88"/>
      <c r="X12" s="88"/>
      <c r="Y12" s="115"/>
      <c r="Z12" s="63"/>
    </row>
    <row r="13" spans="1:26" ht="14.5">
      <c r="A13" s="65" t="s">
        <v>97</v>
      </c>
      <c r="B13" s="66"/>
      <c r="E13"/>
      <c r="F13" s="110">
        <v>17</v>
      </c>
      <c r="G13" s="110">
        <v>16</v>
      </c>
      <c r="H13" s="110">
        <v>15</v>
      </c>
      <c r="I13" s="110">
        <v>14</v>
      </c>
      <c r="J13" s="110">
        <v>13</v>
      </c>
      <c r="K13" s="110">
        <v>12</v>
      </c>
      <c r="L13" s="110">
        <v>11</v>
      </c>
      <c r="M13" s="110">
        <v>10</v>
      </c>
      <c r="N13" s="110">
        <v>9</v>
      </c>
      <c r="O13" s="110">
        <v>8</v>
      </c>
      <c r="P13" s="110">
        <v>7</v>
      </c>
      <c r="Q13" s="67">
        <v>6</v>
      </c>
      <c r="R13" s="67">
        <v>5</v>
      </c>
      <c r="S13" s="67">
        <v>4</v>
      </c>
      <c r="T13" s="67">
        <v>3</v>
      </c>
      <c r="U13" s="67">
        <v>2</v>
      </c>
      <c r="V13" s="67">
        <v>1</v>
      </c>
      <c r="W13" s="109">
        <v>0</v>
      </c>
    </row>
    <row r="14" spans="1:26">
      <c r="A14" s="65" t="s">
        <v>98</v>
      </c>
      <c r="B14" s="69"/>
      <c r="C14" s="70"/>
      <c r="D14" s="70"/>
      <c r="E14" s="70"/>
      <c r="F14" s="70"/>
      <c r="G14" s="110">
        <v>17</v>
      </c>
      <c r="H14" s="110">
        <v>16</v>
      </c>
      <c r="I14" s="110">
        <v>15</v>
      </c>
      <c r="J14" s="110">
        <v>14</v>
      </c>
      <c r="K14" s="110">
        <v>13</v>
      </c>
      <c r="L14" s="110">
        <v>12</v>
      </c>
      <c r="M14" s="110">
        <v>11</v>
      </c>
      <c r="N14" s="110">
        <v>10</v>
      </c>
      <c r="O14" s="110">
        <v>9</v>
      </c>
      <c r="P14" s="110">
        <v>8</v>
      </c>
      <c r="Q14" s="110">
        <v>7</v>
      </c>
      <c r="R14" s="67">
        <v>6</v>
      </c>
      <c r="S14" s="67">
        <v>5</v>
      </c>
      <c r="T14" s="67">
        <v>4</v>
      </c>
      <c r="U14" s="67">
        <v>3</v>
      </c>
      <c r="V14" s="67">
        <v>2</v>
      </c>
      <c r="W14" s="67">
        <v>1</v>
      </c>
      <c r="X14" s="109">
        <v>0</v>
      </c>
    </row>
    <row r="15" spans="1:26">
      <c r="A15" s="65" t="s">
        <v>99</v>
      </c>
      <c r="B15" s="69"/>
      <c r="C15" s="70"/>
      <c r="D15" s="70"/>
      <c r="E15" s="70"/>
      <c r="F15" s="70"/>
      <c r="G15" s="70"/>
      <c r="H15" s="110">
        <v>17</v>
      </c>
      <c r="I15" s="110">
        <v>16</v>
      </c>
      <c r="J15" s="110">
        <v>15</v>
      </c>
      <c r="K15" s="110">
        <v>14</v>
      </c>
      <c r="L15" s="110">
        <v>13</v>
      </c>
      <c r="M15" s="110">
        <v>12</v>
      </c>
      <c r="N15" s="110">
        <v>11</v>
      </c>
      <c r="O15" s="110">
        <v>10</v>
      </c>
      <c r="P15" s="110">
        <v>9</v>
      </c>
      <c r="Q15" s="110">
        <v>8</v>
      </c>
      <c r="R15" s="110">
        <v>7</v>
      </c>
      <c r="S15" s="67">
        <v>6</v>
      </c>
      <c r="T15" s="67">
        <v>5</v>
      </c>
      <c r="U15" s="67">
        <v>4</v>
      </c>
      <c r="V15" s="67">
        <v>3</v>
      </c>
      <c r="W15" s="67">
        <v>2</v>
      </c>
      <c r="X15" s="67">
        <v>1</v>
      </c>
      <c r="Y15" s="116">
        <v>0</v>
      </c>
    </row>
    <row r="16" spans="1:26">
      <c r="A16" s="68"/>
      <c r="B16" s="69"/>
      <c r="C16" s="70"/>
      <c r="D16" s="70"/>
      <c r="E16" s="70"/>
      <c r="F16" s="70"/>
      <c r="G16" s="70"/>
      <c r="H16" s="70"/>
      <c r="I16" s="70"/>
      <c r="J16" s="70"/>
      <c r="K16" s="70"/>
      <c r="L16" s="70"/>
      <c r="M16" s="70"/>
      <c r="N16" s="70"/>
      <c r="O16" s="70"/>
      <c r="P16" s="70"/>
      <c r="Q16" s="70"/>
      <c r="R16" s="70"/>
      <c r="S16" s="70"/>
      <c r="T16" s="70"/>
    </row>
    <row r="17" spans="1:25" ht="52">
      <c r="B17" s="43" t="s">
        <v>73</v>
      </c>
      <c r="C17" s="43" t="s">
        <v>88</v>
      </c>
      <c r="D17" s="43" t="s">
        <v>80</v>
      </c>
      <c r="E17" s="43" t="s">
        <v>74</v>
      </c>
      <c r="F17" s="43" t="s">
        <v>4</v>
      </c>
      <c r="K17" s="43" t="s">
        <v>79</v>
      </c>
      <c r="L17" s="43" t="s">
        <v>74</v>
      </c>
      <c r="M17" s="43" t="s">
        <v>4</v>
      </c>
    </row>
    <row r="18" spans="1:25">
      <c r="A18" s="46" t="s">
        <v>75</v>
      </c>
      <c r="B18" s="60">
        <f>SUM(N11:T11)</f>
        <v>2331</v>
      </c>
      <c r="C18" s="46">
        <v>820</v>
      </c>
      <c r="D18" s="46">
        <f>C18*25%</f>
        <v>205</v>
      </c>
      <c r="E18" s="71">
        <f>D18/2</f>
        <v>102.5</v>
      </c>
      <c r="F18" s="72">
        <f>B18*E18*12</f>
        <v>2867130</v>
      </c>
      <c r="K18" s="46">
        <v>125</v>
      </c>
      <c r="L18" s="71">
        <f>K18/2</f>
        <v>62.5</v>
      </c>
      <c r="M18" s="72">
        <f>B18*L18*12</f>
        <v>1748250</v>
      </c>
    </row>
    <row r="19" spans="1:25">
      <c r="A19" s="46" t="s">
        <v>78</v>
      </c>
      <c r="B19" s="60">
        <f>SUM(C11:M11)</f>
        <v>6781</v>
      </c>
      <c r="C19" s="46">
        <v>820</v>
      </c>
      <c r="D19" s="46">
        <f>C19*30%</f>
        <v>246</v>
      </c>
      <c r="E19" s="71">
        <f>D19/2</f>
        <v>123</v>
      </c>
      <c r="F19" s="72">
        <f>B19*E19*12</f>
        <v>10008756</v>
      </c>
      <c r="K19" s="46">
        <v>150</v>
      </c>
      <c r="L19" s="71">
        <f>K19/2</f>
        <v>75</v>
      </c>
      <c r="M19" s="72">
        <f>B19*L19*12</f>
        <v>6102900</v>
      </c>
    </row>
    <row r="20" spans="1:25">
      <c r="A20" s="77" t="s">
        <v>82</v>
      </c>
      <c r="B20" s="60">
        <f>SUM(B18:B19)</f>
        <v>9112</v>
      </c>
      <c r="F20" s="76">
        <f>SUM(F18:F19)</f>
        <v>12875886</v>
      </c>
      <c r="M20" s="73">
        <f>SUM(M18:M19)</f>
        <v>7851150</v>
      </c>
    </row>
    <row r="23" spans="1:25" ht="14.5" customHeight="1">
      <c r="A23" s="71"/>
      <c r="B23" s="148">
        <v>2027</v>
      </c>
      <c r="C23" s="149"/>
      <c r="D23" s="150"/>
      <c r="E23" s="148">
        <v>2028</v>
      </c>
      <c r="F23" s="149"/>
      <c r="G23" s="150"/>
      <c r="H23" s="151">
        <v>2029</v>
      </c>
      <c r="I23" s="151"/>
      <c r="J23" s="151"/>
    </row>
    <row r="24" spans="1:25">
      <c r="A24" s="71"/>
      <c r="B24" s="92" t="s">
        <v>92</v>
      </c>
      <c r="C24" s="92" t="s">
        <v>41</v>
      </c>
      <c r="D24" s="92" t="s">
        <v>4</v>
      </c>
      <c r="E24" s="92" t="s">
        <v>92</v>
      </c>
      <c r="F24" s="92" t="s">
        <v>41</v>
      </c>
      <c r="G24" s="92" t="s">
        <v>4</v>
      </c>
      <c r="H24" s="92" t="s">
        <v>92</v>
      </c>
      <c r="I24" s="92" t="s">
        <v>41</v>
      </c>
      <c r="J24" s="92" t="s">
        <v>4</v>
      </c>
    </row>
    <row r="25" spans="1:25" s="64" customFormat="1">
      <c r="A25" s="93" t="s">
        <v>90</v>
      </c>
      <c r="B25" s="94"/>
      <c r="C25" s="94">
        <v>820</v>
      </c>
      <c r="D25" s="94"/>
      <c r="E25" s="94"/>
      <c r="F25" s="94">
        <v>860</v>
      </c>
      <c r="G25" s="94"/>
      <c r="H25" s="94"/>
      <c r="I25" s="94">
        <v>860</v>
      </c>
      <c r="J25" s="94"/>
      <c r="Y25" s="117"/>
    </row>
    <row r="26" spans="1:25">
      <c r="A26" s="95" t="s">
        <v>75</v>
      </c>
      <c r="B26" s="118">
        <f>SUM(Q11:W11)</f>
        <v>2119</v>
      </c>
      <c r="C26" s="92">
        <f>ROUND((C25*25%)/2,2)</f>
        <v>102.5</v>
      </c>
      <c r="D26" s="96">
        <f>ROUND(B26*C26*12,0)</f>
        <v>2606370</v>
      </c>
      <c r="E26" s="118">
        <f>SUM(R11:X11)</f>
        <v>2114</v>
      </c>
      <c r="F26" s="92">
        <f>ROUND((F25*25%)/2,2)</f>
        <v>107.5</v>
      </c>
      <c r="G26" s="96">
        <f>ROUND(E26*F26*12,0)</f>
        <v>2727060</v>
      </c>
      <c r="H26" s="118">
        <f>SUM(S11:Y11)</f>
        <v>2121</v>
      </c>
      <c r="I26" s="92">
        <f>ROUND((I25*25%)/2,2)</f>
        <v>107.5</v>
      </c>
      <c r="J26" s="96">
        <f>ROUND(H26*I26*12,0)</f>
        <v>2736090</v>
      </c>
    </row>
    <row r="27" spans="1:25">
      <c r="A27" s="95" t="s">
        <v>78</v>
      </c>
      <c r="B27" s="118">
        <f>SUM(F11:P11)</f>
        <v>5609</v>
      </c>
      <c r="C27" s="92">
        <f>ROUND((C25*30%)/2,2)</f>
        <v>123</v>
      </c>
      <c r="D27" s="96">
        <f>ROUND(B27*C27*12,0)</f>
        <v>8278884</v>
      </c>
      <c r="E27" s="118">
        <f>SUM(G11:Q11)</f>
        <v>5218</v>
      </c>
      <c r="F27" s="92">
        <f>ROUND((F25*30%)/2,2)</f>
        <v>129</v>
      </c>
      <c r="G27" s="96">
        <f>ROUND(E27*F27*12,0)</f>
        <v>8077464</v>
      </c>
      <c r="H27" s="118">
        <f>SUM(H11:R11)</f>
        <v>4907</v>
      </c>
      <c r="I27" s="92">
        <f>ROUND((I25*30%)/2,2)</f>
        <v>129</v>
      </c>
      <c r="J27" s="96">
        <f>ROUND(H27*I27*12,0)</f>
        <v>7596036</v>
      </c>
    </row>
    <row r="28" spans="1:25" s="91" customFormat="1">
      <c r="A28" s="97" t="s">
        <v>91</v>
      </c>
      <c r="B28" s="98">
        <f>B26+B27</f>
        <v>7728</v>
      </c>
      <c r="C28" s="98"/>
      <c r="D28" s="99">
        <f>D26+D27</f>
        <v>10885254</v>
      </c>
      <c r="E28" s="98">
        <f>E26+E27</f>
        <v>7332</v>
      </c>
      <c r="F28" s="98"/>
      <c r="G28" s="99">
        <f>G26+G27</f>
        <v>10804524</v>
      </c>
      <c r="H28" s="98">
        <f>H26+H27</f>
        <v>7028</v>
      </c>
      <c r="I28" s="98"/>
      <c r="J28" s="99">
        <f>J26+J27</f>
        <v>10332126</v>
      </c>
      <c r="Y28" s="98"/>
    </row>
    <row r="29" spans="1:25">
      <c r="A29" s="100" t="s">
        <v>93</v>
      </c>
      <c r="B29" s="71"/>
      <c r="C29" s="71"/>
      <c r="D29" s="71"/>
      <c r="E29" s="71"/>
      <c r="F29" s="71"/>
      <c r="G29" s="71"/>
      <c r="H29" s="71"/>
      <c r="I29" s="71"/>
      <c r="J29" s="71"/>
    </row>
    <row r="30" spans="1:25">
      <c r="A30" s="100" t="s">
        <v>94</v>
      </c>
      <c r="B30" s="71"/>
      <c r="C30" s="71"/>
      <c r="D30" s="71"/>
      <c r="E30" s="71"/>
      <c r="F30" s="71"/>
      <c r="G30" s="71"/>
      <c r="H30" s="71"/>
      <c r="I30" s="71"/>
      <c r="J30" s="71"/>
    </row>
    <row r="32" spans="1:25" ht="14">
      <c r="A32" s="101" t="s">
        <v>45</v>
      </c>
      <c r="B32" s="12"/>
      <c r="C32" s="12"/>
      <c r="D32" s="12"/>
      <c r="E32" s="12"/>
      <c r="F32" s="12"/>
      <c r="G32" s="12"/>
    </row>
    <row r="33" spans="1:7" ht="14">
      <c r="A33" s="152" t="s">
        <v>95</v>
      </c>
      <c r="B33" s="152"/>
      <c r="C33" s="152"/>
      <c r="D33" s="152"/>
      <c r="E33" s="152"/>
      <c r="F33" s="152"/>
      <c r="G33" s="152"/>
    </row>
    <row r="34" spans="1:7" ht="14">
      <c r="A34" s="102"/>
      <c r="B34" s="102"/>
      <c r="C34" s="102"/>
      <c r="D34" s="102"/>
      <c r="E34" s="102"/>
      <c r="F34" s="102"/>
      <c r="G34" s="102"/>
    </row>
    <row r="35" spans="1:7" ht="46" customHeight="1">
      <c r="A35" s="145" t="s">
        <v>39</v>
      </c>
      <c r="B35" s="145"/>
      <c r="C35" s="145"/>
      <c r="D35" s="145"/>
      <c r="E35" s="145"/>
      <c r="F35" s="145"/>
      <c r="G35" s="145"/>
    </row>
    <row r="36" spans="1:7" ht="14">
      <c r="A36" s="104"/>
      <c r="B36" s="105">
        <v>2026</v>
      </c>
      <c r="C36" s="106">
        <v>2027</v>
      </c>
      <c r="D36" s="106">
        <v>2028</v>
      </c>
      <c r="E36" s="106">
        <v>2029</v>
      </c>
      <c r="F36" s="103"/>
      <c r="G36" s="103"/>
    </row>
    <row r="37" spans="1:7" ht="14">
      <c r="A37" s="107" t="s">
        <v>96</v>
      </c>
      <c r="B37" s="108">
        <f>131*556.6</f>
        <v>72914.600000000006</v>
      </c>
      <c r="C37" s="108">
        <f>D28</f>
        <v>10885254</v>
      </c>
      <c r="D37" s="108">
        <f>G28</f>
        <v>10804524</v>
      </c>
      <c r="E37" s="108">
        <f>J28</f>
        <v>10332126</v>
      </c>
      <c r="F37" s="12"/>
      <c r="G37" s="12"/>
    </row>
    <row r="40" spans="1:7" ht="117">
      <c r="A40" s="15" t="s">
        <v>87</v>
      </c>
    </row>
  </sheetData>
  <mergeCells count="7">
    <mergeCell ref="A35:G35"/>
    <mergeCell ref="A3:K3"/>
    <mergeCell ref="A4:G4"/>
    <mergeCell ref="B23:D23"/>
    <mergeCell ref="E23:G23"/>
    <mergeCell ref="H23:J23"/>
    <mergeCell ref="A33:G33"/>
  </mergeCells>
  <pageMargins left="0.7" right="0.7" top="0.75" bottom="0.75" header="0.3" footer="0.3"/>
  <pageSetup paperSize="9" scale="62" orientation="landscape" verticalDpi="0"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6667C9-7DCF-438E-AA7A-4E86E6D746DA}">
  <sheetPr>
    <tabColor rgb="FFFF0000"/>
    <pageSetUpPr fitToPage="1"/>
  </sheetPr>
  <dimension ref="A1:Z38"/>
  <sheetViews>
    <sheetView topLeftCell="A22" zoomScale="85" zoomScaleNormal="85" workbookViewId="0">
      <selection activeCell="K28" sqref="K28"/>
    </sheetView>
  </sheetViews>
  <sheetFormatPr defaultColWidth="8.7265625" defaultRowHeight="13"/>
  <cols>
    <col min="1" max="1" width="42.1796875" style="46" customWidth="1"/>
    <col min="2" max="2" width="9.6328125" style="45" customWidth="1"/>
    <col min="3" max="5" width="10.6328125" style="46" customWidth="1"/>
    <col min="6" max="6" width="10.1796875" style="46" customWidth="1"/>
    <col min="7" max="7" width="10.6328125" style="46" customWidth="1"/>
    <col min="8" max="8" width="8.1796875" style="46" customWidth="1"/>
    <col min="9" max="9" width="7.54296875" style="46" customWidth="1"/>
    <col min="10" max="10" width="10.1796875" style="46" customWidth="1"/>
    <col min="11" max="11" width="11.1796875" style="46" customWidth="1"/>
    <col min="12" max="12" width="8.1796875" style="46" customWidth="1"/>
    <col min="13" max="13" width="10.26953125" style="46" customWidth="1"/>
    <col min="14" max="19" width="7.1796875" style="46" customWidth="1"/>
    <col min="20" max="20" width="7.7265625" style="46" customWidth="1"/>
    <col min="21" max="16384" width="8.7265625" style="46"/>
  </cols>
  <sheetData>
    <row r="1" spans="1:26">
      <c r="A1" s="79" t="s">
        <v>86</v>
      </c>
      <c r="B1" s="80"/>
      <c r="C1" s="81"/>
      <c r="U1" s="49">
        <v>2025</v>
      </c>
    </row>
    <row r="2" spans="1:26">
      <c r="A2" s="44"/>
      <c r="U2" s="52"/>
    </row>
    <row r="3" spans="1:26" ht="83" customHeight="1">
      <c r="A3" s="146" t="s">
        <v>89</v>
      </c>
      <c r="B3" s="146"/>
      <c r="C3" s="146"/>
      <c r="D3" s="146"/>
      <c r="E3" s="146"/>
      <c r="F3" s="146"/>
      <c r="G3" s="146"/>
      <c r="H3" s="146"/>
      <c r="I3" s="146"/>
      <c r="J3" s="146"/>
      <c r="K3" s="146"/>
      <c r="U3" s="52"/>
    </row>
    <row r="4" spans="1:26">
      <c r="A4" s="147" t="s">
        <v>15</v>
      </c>
      <c r="B4" s="147"/>
      <c r="C4" s="147"/>
      <c r="D4" s="147"/>
      <c r="E4" s="147"/>
      <c r="F4" s="147"/>
      <c r="G4" s="147"/>
      <c r="U4" s="52"/>
    </row>
    <row r="5" spans="1:26">
      <c r="A5" s="78"/>
      <c r="B5" s="37"/>
      <c r="C5" s="37"/>
      <c r="D5" s="37"/>
      <c r="E5" s="37"/>
      <c r="F5" s="37"/>
      <c r="G5" s="37"/>
      <c r="U5" s="59">
        <v>82</v>
      </c>
    </row>
    <row r="6" spans="1:26" ht="14">
      <c r="A6" s="75"/>
      <c r="B6" s="33"/>
      <c r="C6" s="33"/>
      <c r="D6" s="33"/>
      <c r="E6" s="33"/>
      <c r="F6" s="33"/>
      <c r="G6" s="33"/>
      <c r="U6" s="62"/>
    </row>
    <row r="7" spans="1:26">
      <c r="B7" s="47" t="s">
        <v>53</v>
      </c>
      <c r="C7" s="47" t="s">
        <v>54</v>
      </c>
      <c r="D7" s="48" t="s">
        <v>55</v>
      </c>
      <c r="E7" s="48" t="s">
        <v>56</v>
      </c>
      <c r="F7" s="48" t="s">
        <v>57</v>
      </c>
      <c r="G7" s="48" t="s">
        <v>58</v>
      </c>
      <c r="H7" s="48" t="s">
        <v>59</v>
      </c>
      <c r="I7" s="48" t="s">
        <v>60</v>
      </c>
      <c r="J7" s="48" t="s">
        <v>61</v>
      </c>
      <c r="K7" s="48" t="s">
        <v>62</v>
      </c>
      <c r="L7" s="48" t="s">
        <v>63</v>
      </c>
      <c r="M7" s="48" t="s">
        <v>64</v>
      </c>
      <c r="N7" s="48" t="s">
        <v>65</v>
      </c>
      <c r="O7" s="48" t="s">
        <v>66</v>
      </c>
      <c r="P7" s="48" t="s">
        <v>67</v>
      </c>
      <c r="Q7" s="48" t="s">
        <v>68</v>
      </c>
      <c r="R7" s="48" t="s">
        <v>69</v>
      </c>
      <c r="S7" s="48" t="s">
        <v>70</v>
      </c>
      <c r="T7" s="49">
        <v>2024</v>
      </c>
      <c r="U7" s="84">
        <v>2025</v>
      </c>
      <c r="V7" s="84">
        <v>2026</v>
      </c>
      <c r="W7" s="84">
        <v>2027</v>
      </c>
      <c r="X7" s="84">
        <v>2028</v>
      </c>
      <c r="Y7" s="84"/>
    </row>
    <row r="8" spans="1:26">
      <c r="A8" s="50" t="s">
        <v>81</v>
      </c>
      <c r="B8" s="51">
        <v>22871</v>
      </c>
      <c r="C8" s="51">
        <v>23958</v>
      </c>
      <c r="D8" s="51">
        <v>24397</v>
      </c>
      <c r="E8" s="51">
        <v>22044</v>
      </c>
      <c r="F8" s="51">
        <v>19781</v>
      </c>
      <c r="G8" s="51">
        <v>18825</v>
      </c>
      <c r="H8" s="51">
        <v>19897</v>
      </c>
      <c r="I8" s="51">
        <v>20596</v>
      </c>
      <c r="J8" s="51">
        <v>21746</v>
      </c>
      <c r="K8" s="51">
        <v>21979</v>
      </c>
      <c r="L8" s="51">
        <v>21968</v>
      </c>
      <c r="M8" s="51">
        <v>20828</v>
      </c>
      <c r="N8" s="51">
        <v>19314</v>
      </c>
      <c r="O8" s="51">
        <v>18786</v>
      </c>
      <c r="P8" s="51">
        <v>17552</v>
      </c>
      <c r="Q8" s="51">
        <v>17420</v>
      </c>
      <c r="R8" s="51">
        <v>15954</v>
      </c>
      <c r="S8" s="51">
        <v>14490</v>
      </c>
      <c r="T8" s="51">
        <v>12571</v>
      </c>
      <c r="V8" s="85"/>
      <c r="W8" s="87">
        <f>'1.tabula'!B13*12</f>
        <v>12708</v>
      </c>
      <c r="X8" s="87">
        <f>'1.tabula'!C13*12</f>
        <v>12708</v>
      </c>
      <c r="Y8" s="87">
        <f>'1.tabula'!D13*12</f>
        <v>12708</v>
      </c>
    </row>
    <row r="9" spans="1:26" ht="26">
      <c r="A9" s="53" t="s">
        <v>71</v>
      </c>
      <c r="B9" s="52">
        <v>1926</v>
      </c>
      <c r="C9" s="52">
        <v>1733</v>
      </c>
      <c r="D9" s="54">
        <v>1641</v>
      </c>
      <c r="E9" s="54">
        <v>1513</v>
      </c>
      <c r="F9" s="54">
        <v>1622</v>
      </c>
      <c r="G9" s="54">
        <v>1279</v>
      </c>
      <c r="H9" s="54">
        <v>1213</v>
      </c>
      <c r="I9" s="54">
        <v>1172</v>
      </c>
      <c r="J9" s="54">
        <v>1013</v>
      </c>
      <c r="K9" s="54">
        <v>921</v>
      </c>
      <c r="L9" s="54">
        <v>909</v>
      </c>
      <c r="M9" s="54">
        <v>795</v>
      </c>
      <c r="N9" s="54">
        <v>735</v>
      </c>
      <c r="O9" s="54">
        <v>626</v>
      </c>
      <c r="P9" s="54">
        <v>615</v>
      </c>
      <c r="Q9" s="54">
        <v>495</v>
      </c>
      <c r="R9" s="54">
        <v>512</v>
      </c>
      <c r="S9" s="54">
        <v>451</v>
      </c>
      <c r="T9" s="52">
        <v>404</v>
      </c>
      <c r="V9" s="85"/>
      <c r="W9" s="85"/>
      <c r="X9" s="85"/>
      <c r="Y9" s="85"/>
    </row>
    <row r="10" spans="1:26">
      <c r="A10" s="55" t="s">
        <v>77</v>
      </c>
      <c r="B10" s="56">
        <f>B9/B8</f>
        <v>8.421144681037121E-2</v>
      </c>
      <c r="C10" s="56">
        <f t="shared" ref="C10:T10" si="0">C9/C8</f>
        <v>7.2334919442357454E-2</v>
      </c>
      <c r="D10" s="57">
        <f t="shared" si="0"/>
        <v>6.7262368323974253E-2</v>
      </c>
      <c r="E10" s="57">
        <f t="shared" si="0"/>
        <v>6.8635456360007258E-2</v>
      </c>
      <c r="F10" s="57">
        <f t="shared" si="0"/>
        <v>8.1997876750417073E-2</v>
      </c>
      <c r="G10" s="57">
        <f t="shared" si="0"/>
        <v>6.7941567065073039E-2</v>
      </c>
      <c r="H10" s="57">
        <f t="shared" si="0"/>
        <v>6.0963964416746244E-2</v>
      </c>
      <c r="I10" s="57">
        <f t="shared" si="0"/>
        <v>5.6904253253058847E-2</v>
      </c>
      <c r="J10" s="57">
        <f t="shared" si="0"/>
        <v>4.6583279683619978E-2</v>
      </c>
      <c r="K10" s="57">
        <f t="shared" si="0"/>
        <v>4.1903635288229671E-2</v>
      </c>
      <c r="L10" s="57">
        <f t="shared" si="0"/>
        <v>4.1378368536052437E-2</v>
      </c>
      <c r="M10" s="57">
        <f t="shared" si="0"/>
        <v>3.816977146149414E-2</v>
      </c>
      <c r="N10" s="57">
        <f t="shared" si="0"/>
        <v>3.8055296675986332E-2</v>
      </c>
      <c r="O10" s="57">
        <f t="shared" si="0"/>
        <v>3.3322687107420416E-2</v>
      </c>
      <c r="P10" s="57">
        <f t="shared" si="0"/>
        <v>3.5038742023701004E-2</v>
      </c>
      <c r="Q10" s="57">
        <f t="shared" si="0"/>
        <v>2.8415614236509758E-2</v>
      </c>
      <c r="R10" s="57">
        <f t="shared" si="0"/>
        <v>3.2092265262630058E-2</v>
      </c>
      <c r="S10" s="57">
        <f t="shared" si="0"/>
        <v>3.1124913733609386E-2</v>
      </c>
      <c r="T10" s="57">
        <f t="shared" si="0"/>
        <v>3.2137459231564712E-2</v>
      </c>
      <c r="V10" s="85"/>
      <c r="W10" s="85"/>
      <c r="X10" s="85"/>
      <c r="Y10" s="85"/>
    </row>
    <row r="11" spans="1:26" ht="26">
      <c r="A11" s="58" t="s">
        <v>76</v>
      </c>
      <c r="B11" s="59">
        <v>795</v>
      </c>
      <c r="C11" s="59">
        <v>819</v>
      </c>
      <c r="D11" s="59">
        <v>741</v>
      </c>
      <c r="E11" s="59">
        <v>724</v>
      </c>
      <c r="F11" s="59">
        <v>696</v>
      </c>
      <c r="G11" s="59">
        <v>604</v>
      </c>
      <c r="H11" s="59">
        <v>659</v>
      </c>
      <c r="I11" s="59">
        <v>609</v>
      </c>
      <c r="J11" s="59">
        <v>517</v>
      </c>
      <c r="K11" s="59">
        <v>497</v>
      </c>
      <c r="L11" s="59">
        <v>491</v>
      </c>
      <c r="M11" s="59">
        <v>424</v>
      </c>
      <c r="N11" s="59">
        <v>400</v>
      </c>
      <c r="O11" s="59">
        <v>365</v>
      </c>
      <c r="P11" s="59">
        <v>347</v>
      </c>
      <c r="Q11" s="59">
        <v>305</v>
      </c>
      <c r="R11" s="59">
        <v>293</v>
      </c>
      <c r="S11" s="59">
        <v>308</v>
      </c>
      <c r="T11" s="59">
        <v>313</v>
      </c>
      <c r="U11" s="46">
        <v>300</v>
      </c>
      <c r="V11" s="86">
        <v>300</v>
      </c>
      <c r="W11" s="86">
        <v>300</v>
      </c>
      <c r="X11" s="86">
        <v>300</v>
      </c>
      <c r="Y11" s="86">
        <f t="shared" ref="Y11" si="1">ROUND(Y8*Y12,0)</f>
        <v>0</v>
      </c>
      <c r="Z11" s="60">
        <f>SUM(C11:T11)</f>
        <v>9112</v>
      </c>
    </row>
    <row r="12" spans="1:26" s="64" customFormat="1">
      <c r="A12" s="74" t="s">
        <v>77</v>
      </c>
      <c r="B12" s="61">
        <f>B11/B8</f>
        <v>3.4760176642910236E-2</v>
      </c>
      <c r="C12" s="61">
        <f t="shared" ref="C12:T12" si="2">C11/C8</f>
        <v>3.4184823441021785E-2</v>
      </c>
      <c r="D12" s="61">
        <f t="shared" si="2"/>
        <v>3.0372586793458212E-2</v>
      </c>
      <c r="E12" s="61">
        <f t="shared" si="2"/>
        <v>3.284340410088913E-2</v>
      </c>
      <c r="F12" s="61">
        <f t="shared" si="2"/>
        <v>3.5185278802891663E-2</v>
      </c>
      <c r="G12" s="61">
        <f t="shared" si="2"/>
        <v>3.208499335989376E-2</v>
      </c>
      <c r="H12" s="61">
        <f t="shared" si="2"/>
        <v>3.3120570940342764E-2</v>
      </c>
      <c r="I12" s="61">
        <f t="shared" si="2"/>
        <v>2.9568848320062149E-2</v>
      </c>
      <c r="J12" s="61">
        <f t="shared" si="2"/>
        <v>2.3774487262025201E-2</v>
      </c>
      <c r="K12" s="61">
        <f t="shared" si="2"/>
        <v>2.2612493744028392E-2</v>
      </c>
      <c r="L12" s="61">
        <f t="shared" si="2"/>
        <v>2.2350691915513473E-2</v>
      </c>
      <c r="M12" s="61">
        <f t="shared" si="2"/>
        <v>2.0357211446130209E-2</v>
      </c>
      <c r="N12" s="61">
        <f t="shared" si="2"/>
        <v>2.0710365537951744E-2</v>
      </c>
      <c r="O12" s="61">
        <f t="shared" si="2"/>
        <v>1.9429362291067818E-2</v>
      </c>
      <c r="P12" s="61">
        <f t="shared" si="2"/>
        <v>1.9769826800364629E-2</v>
      </c>
      <c r="Q12" s="61">
        <f t="shared" si="2"/>
        <v>1.7508610792192882E-2</v>
      </c>
      <c r="R12" s="61">
        <f t="shared" si="2"/>
        <v>1.8365300238184782E-2</v>
      </c>
      <c r="S12" s="61">
        <f t="shared" si="2"/>
        <v>2.1256038647342997E-2</v>
      </c>
      <c r="T12" s="61">
        <f t="shared" si="2"/>
        <v>2.4898576087821176E-2</v>
      </c>
      <c r="V12" s="88"/>
      <c r="W12" s="88"/>
      <c r="X12" s="88"/>
      <c r="Y12" s="88"/>
      <c r="Z12" s="63"/>
    </row>
    <row r="13" spans="1:26">
      <c r="A13" s="65" t="s">
        <v>72</v>
      </c>
      <c r="B13" s="66"/>
      <c r="E13" s="67">
        <v>17</v>
      </c>
      <c r="F13" s="67">
        <v>16</v>
      </c>
      <c r="G13" s="67">
        <v>15</v>
      </c>
      <c r="H13" s="67">
        <v>14</v>
      </c>
      <c r="I13" s="67">
        <v>13</v>
      </c>
      <c r="J13" s="67">
        <v>12</v>
      </c>
      <c r="K13" s="67">
        <v>11</v>
      </c>
      <c r="L13" s="67">
        <v>10</v>
      </c>
      <c r="M13" s="67">
        <v>9</v>
      </c>
      <c r="N13" s="67">
        <v>8</v>
      </c>
      <c r="O13" s="67">
        <v>7</v>
      </c>
      <c r="P13" s="67">
        <v>6</v>
      </c>
      <c r="Q13" s="67">
        <v>5</v>
      </c>
      <c r="R13" s="67">
        <v>4</v>
      </c>
      <c r="S13" s="67">
        <v>3</v>
      </c>
      <c r="T13" s="67">
        <v>2</v>
      </c>
      <c r="U13" s="67">
        <v>1</v>
      </c>
      <c r="V13" s="67">
        <v>0</v>
      </c>
    </row>
    <row r="14" spans="1:26">
      <c r="A14" s="68"/>
      <c r="B14" s="69"/>
      <c r="C14" s="70"/>
      <c r="D14" s="70"/>
      <c r="E14" s="70"/>
      <c r="F14" s="70"/>
      <c r="G14" s="70"/>
      <c r="H14" s="70"/>
      <c r="I14" s="70"/>
      <c r="J14" s="70"/>
      <c r="K14" s="70"/>
      <c r="L14" s="70"/>
      <c r="M14" s="70"/>
      <c r="N14" s="70"/>
      <c r="O14" s="70"/>
      <c r="P14" s="70"/>
      <c r="Q14" s="70"/>
      <c r="R14" s="70"/>
      <c r="S14" s="70"/>
      <c r="T14" s="70"/>
    </row>
    <row r="15" spans="1:26" ht="52">
      <c r="B15" s="43" t="s">
        <v>73</v>
      </c>
      <c r="C15" s="43" t="s">
        <v>88</v>
      </c>
      <c r="D15" s="43" t="s">
        <v>80</v>
      </c>
      <c r="E15" s="43" t="s">
        <v>74</v>
      </c>
      <c r="F15" s="43" t="s">
        <v>4</v>
      </c>
      <c r="K15" s="43" t="s">
        <v>79</v>
      </c>
      <c r="L15" s="43" t="s">
        <v>74</v>
      </c>
      <c r="M15" s="43" t="s">
        <v>4</v>
      </c>
    </row>
    <row r="16" spans="1:26">
      <c r="A16" s="46" t="s">
        <v>75</v>
      </c>
      <c r="B16" s="60">
        <f>SUM(N11:T11)</f>
        <v>2331</v>
      </c>
      <c r="C16" s="46">
        <v>820</v>
      </c>
      <c r="D16" s="46">
        <f>C16*25%</f>
        <v>205</v>
      </c>
      <c r="E16" s="71">
        <f>D16/2</f>
        <v>102.5</v>
      </c>
      <c r="F16" s="72">
        <f>B16*E16*12</f>
        <v>2867130</v>
      </c>
      <c r="K16" s="46">
        <v>125</v>
      </c>
      <c r="L16" s="71">
        <f>K16/2</f>
        <v>62.5</v>
      </c>
      <c r="M16" s="72">
        <f>B16*L16*12</f>
        <v>1748250</v>
      </c>
    </row>
    <row r="17" spans="1:13">
      <c r="A17" s="46" t="s">
        <v>78</v>
      </c>
      <c r="B17" s="60">
        <f>SUM(C11:M11)</f>
        <v>6781</v>
      </c>
      <c r="C17" s="46">
        <v>820</v>
      </c>
      <c r="D17" s="46">
        <f>C17*30%</f>
        <v>246</v>
      </c>
      <c r="E17" s="71">
        <f>D17/2</f>
        <v>123</v>
      </c>
      <c r="F17" s="72">
        <f>B17*E17*12</f>
        <v>10008756</v>
      </c>
      <c r="K17" s="46">
        <v>150</v>
      </c>
      <c r="L17" s="71">
        <f>K17/2</f>
        <v>75</v>
      </c>
      <c r="M17" s="72">
        <f>B17*L17*12</f>
        <v>6102900</v>
      </c>
    </row>
    <row r="18" spans="1:13">
      <c r="A18" s="77" t="s">
        <v>82</v>
      </c>
      <c r="B18" s="60">
        <f>SUM(B16:B17)</f>
        <v>9112</v>
      </c>
      <c r="F18" s="76">
        <f>SUM(F16:F17)</f>
        <v>12875886</v>
      </c>
      <c r="M18" s="73">
        <f>SUM(M16:M17)</f>
        <v>7851150</v>
      </c>
    </row>
    <row r="21" spans="1:13" ht="14.5" customHeight="1">
      <c r="A21" s="71"/>
      <c r="B21" s="148">
        <v>2027</v>
      </c>
      <c r="C21" s="149"/>
      <c r="D21" s="150"/>
      <c r="E21" s="148">
        <v>2028</v>
      </c>
      <c r="F21" s="149"/>
      <c r="G21" s="150"/>
      <c r="H21" s="151">
        <v>2029</v>
      </c>
      <c r="I21" s="151"/>
      <c r="J21" s="151"/>
    </row>
    <row r="22" spans="1:13">
      <c r="A22" s="71"/>
      <c r="B22" s="92" t="s">
        <v>92</v>
      </c>
      <c r="C22" s="92" t="s">
        <v>41</v>
      </c>
      <c r="D22" s="92" t="s">
        <v>4</v>
      </c>
      <c r="E22" s="92" t="s">
        <v>92</v>
      </c>
      <c r="F22" s="92" t="s">
        <v>41</v>
      </c>
      <c r="G22" s="92" t="s">
        <v>4</v>
      </c>
      <c r="H22" s="92" t="s">
        <v>92</v>
      </c>
      <c r="I22" s="92" t="s">
        <v>41</v>
      </c>
      <c r="J22" s="92" t="s">
        <v>4</v>
      </c>
    </row>
    <row r="23" spans="1:13" s="64" customFormat="1">
      <c r="A23" s="93" t="s">
        <v>90</v>
      </c>
      <c r="B23" s="94"/>
      <c r="C23" s="94">
        <v>820</v>
      </c>
      <c r="D23" s="94"/>
      <c r="E23" s="94"/>
      <c r="F23" s="94">
        <v>860</v>
      </c>
      <c r="G23" s="94"/>
      <c r="H23" s="94"/>
      <c r="I23" s="94">
        <v>860</v>
      </c>
      <c r="J23" s="94"/>
    </row>
    <row r="24" spans="1:13">
      <c r="A24" s="95" t="s">
        <v>75</v>
      </c>
      <c r="B24" s="92">
        <f>SUM(P11:V11)</f>
        <v>2166</v>
      </c>
      <c r="C24" s="92">
        <f>ROUND((C23*25%)/2,2)</f>
        <v>102.5</v>
      </c>
      <c r="D24" s="96">
        <f>ROUND(B24*C24*12,0)</f>
        <v>2664180</v>
      </c>
      <c r="E24" s="92">
        <f>SUM(Q11:W11)</f>
        <v>2119</v>
      </c>
      <c r="F24" s="92">
        <f>ROUND((F23*25%)/2,2)</f>
        <v>107.5</v>
      </c>
      <c r="G24" s="96">
        <f>ROUND(E24*F24*12,0)</f>
        <v>2733510</v>
      </c>
      <c r="H24" s="92">
        <f>SUM(R11:X11)</f>
        <v>2114</v>
      </c>
      <c r="I24" s="92">
        <f>ROUND((I23*25%)/2,2)</f>
        <v>107.5</v>
      </c>
      <c r="J24" s="96">
        <f>ROUND(H24*I24*12,0)</f>
        <v>2727060</v>
      </c>
    </row>
    <row r="25" spans="1:13">
      <c r="A25" s="95" t="s">
        <v>78</v>
      </c>
      <c r="B25" s="92">
        <f>SUM(E11:O11)</f>
        <v>5986</v>
      </c>
      <c r="C25" s="92">
        <f>ROUND((C23*30%)/2,2)</f>
        <v>123</v>
      </c>
      <c r="D25" s="96">
        <f>ROUND(B25*C25*12,0)</f>
        <v>8835336</v>
      </c>
      <c r="E25" s="92">
        <f>SUM(F11:P11)</f>
        <v>5609</v>
      </c>
      <c r="F25" s="92">
        <f>ROUND((F23*30%)/2,2)</f>
        <v>129</v>
      </c>
      <c r="G25" s="96">
        <f>ROUND(E25*F25*12,0)</f>
        <v>8682732</v>
      </c>
      <c r="H25" s="92">
        <f>SUM(G11:Q11)</f>
        <v>5218</v>
      </c>
      <c r="I25" s="92">
        <f>ROUND((I23*30%)/2,2)</f>
        <v>129</v>
      </c>
      <c r="J25" s="96">
        <f>ROUND(H25*I25*12,0)</f>
        <v>8077464</v>
      </c>
    </row>
    <row r="26" spans="1:13" s="91" customFormat="1">
      <c r="A26" s="97" t="s">
        <v>91</v>
      </c>
      <c r="B26" s="98">
        <f>B24+B25</f>
        <v>8152</v>
      </c>
      <c r="C26" s="98"/>
      <c r="D26" s="99">
        <f>D24+D25</f>
        <v>11499516</v>
      </c>
      <c r="E26" s="98">
        <f>E24+E25</f>
        <v>7728</v>
      </c>
      <c r="F26" s="98"/>
      <c r="G26" s="99">
        <f>G24+G25</f>
        <v>11416242</v>
      </c>
      <c r="H26" s="98">
        <f>H24+H25</f>
        <v>7332</v>
      </c>
      <c r="I26" s="98"/>
      <c r="J26" s="99">
        <f>J24+J25</f>
        <v>10804524</v>
      </c>
    </row>
    <row r="27" spans="1:13">
      <c r="A27" s="100" t="s">
        <v>93</v>
      </c>
      <c r="B27" s="71"/>
      <c r="C27" s="71"/>
      <c r="D27" s="71"/>
      <c r="E27" s="71"/>
      <c r="F27" s="71"/>
      <c r="G27" s="71"/>
      <c r="H27" s="71"/>
      <c r="I27" s="71"/>
      <c r="J27" s="71"/>
    </row>
    <row r="28" spans="1:13">
      <c r="A28" s="100" t="s">
        <v>94</v>
      </c>
      <c r="B28" s="71"/>
      <c r="C28" s="71"/>
      <c r="D28" s="71"/>
      <c r="E28" s="71"/>
      <c r="F28" s="71"/>
      <c r="G28" s="71"/>
      <c r="H28" s="71"/>
      <c r="I28" s="71"/>
      <c r="J28" s="71"/>
    </row>
    <row r="30" spans="1:13" ht="14">
      <c r="A30" s="101" t="s">
        <v>45</v>
      </c>
      <c r="B30" s="12"/>
      <c r="C30" s="12"/>
      <c r="D30" s="12"/>
      <c r="E30" s="12"/>
      <c r="F30" s="12"/>
      <c r="G30" s="12"/>
    </row>
    <row r="31" spans="1:13" ht="14">
      <c r="A31" s="152" t="s">
        <v>95</v>
      </c>
      <c r="B31" s="152"/>
      <c r="C31" s="152"/>
      <c r="D31" s="152"/>
      <c r="E31" s="152"/>
      <c r="F31" s="152"/>
      <c r="G31" s="152"/>
    </row>
    <row r="32" spans="1:13" ht="14">
      <c r="A32" s="102"/>
      <c r="B32" s="102"/>
      <c r="C32" s="102"/>
      <c r="D32" s="102"/>
      <c r="E32" s="102"/>
      <c r="F32" s="102"/>
      <c r="G32" s="102"/>
    </row>
    <row r="33" spans="1:7" ht="46" customHeight="1">
      <c r="A33" s="145" t="s">
        <v>39</v>
      </c>
      <c r="B33" s="145"/>
      <c r="C33" s="145"/>
      <c r="D33" s="145"/>
      <c r="E33" s="145"/>
      <c r="F33" s="145"/>
      <c r="G33" s="145"/>
    </row>
    <row r="34" spans="1:7" ht="14">
      <c r="A34" s="104"/>
      <c r="B34" s="105">
        <v>2026</v>
      </c>
      <c r="C34" s="106">
        <v>2027</v>
      </c>
      <c r="D34" s="106">
        <v>2028</v>
      </c>
      <c r="E34" s="106">
        <v>2029</v>
      </c>
      <c r="F34" s="75"/>
      <c r="G34" s="75"/>
    </row>
    <row r="35" spans="1:7" ht="14">
      <c r="A35" s="107" t="s">
        <v>96</v>
      </c>
      <c r="B35" s="108">
        <f>131*556.6</f>
        <v>72914.600000000006</v>
      </c>
      <c r="C35" s="108">
        <f>D26</f>
        <v>11499516</v>
      </c>
      <c r="D35" s="108">
        <f>G26</f>
        <v>11416242</v>
      </c>
      <c r="E35" s="108">
        <f>J26</f>
        <v>10804524</v>
      </c>
      <c r="F35" s="12"/>
      <c r="G35" s="12"/>
    </row>
    <row r="38" spans="1:7" ht="117">
      <c r="A38" s="15" t="s">
        <v>87</v>
      </c>
    </row>
  </sheetData>
  <mergeCells count="7">
    <mergeCell ref="A4:G4"/>
    <mergeCell ref="A3:K3"/>
    <mergeCell ref="A31:G31"/>
    <mergeCell ref="A33:G33"/>
    <mergeCell ref="B21:D21"/>
    <mergeCell ref="E21:G21"/>
    <mergeCell ref="H21:J21"/>
  </mergeCells>
  <pageMargins left="0.7" right="0.7" top="0.75" bottom="0.75" header="0.3" footer="0.3"/>
  <pageSetup paperSize="9" scale="62" orientation="landscape" verticalDpi="0" r:id="rId1"/>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2FC6DA-65B1-4B4C-B1EA-E0ABA0A9159B}">
  <sheetPr>
    <tabColor rgb="FFFF0000"/>
    <pageSetUpPr fitToPage="1"/>
  </sheetPr>
  <dimension ref="A2:H15"/>
  <sheetViews>
    <sheetView zoomScaleNormal="100" workbookViewId="0">
      <selection activeCell="A5" sqref="A5:F5"/>
    </sheetView>
  </sheetViews>
  <sheetFormatPr defaultColWidth="8.81640625" defaultRowHeight="14"/>
  <cols>
    <col min="1" max="1" width="58.1796875" style="1" customWidth="1"/>
    <col min="2" max="4" width="11.453125" style="1" customWidth="1"/>
    <col min="5" max="5" width="8.81640625" style="1"/>
    <col min="6" max="6" width="30.1796875" style="1" customWidth="1"/>
    <col min="7" max="7" width="31.1796875" style="1" customWidth="1"/>
    <col min="8" max="16384" width="8.81640625" style="1"/>
  </cols>
  <sheetData>
    <row r="2" spans="1:8" ht="25" customHeight="1">
      <c r="A2" s="42" t="s">
        <v>33</v>
      </c>
    </row>
    <row r="3" spans="1:8" ht="24" customHeight="1">
      <c r="A3" s="27"/>
    </row>
    <row r="4" spans="1:8" ht="47.15" customHeight="1">
      <c r="A4" s="154" t="s">
        <v>48</v>
      </c>
      <c r="B4" s="154"/>
      <c r="C4" s="154"/>
      <c r="D4" s="154"/>
      <c r="E4" s="154"/>
      <c r="F4" s="154"/>
    </row>
    <row r="5" spans="1:8" ht="80.150000000000006" customHeight="1">
      <c r="A5" s="154" t="s">
        <v>37</v>
      </c>
      <c r="B5" s="154"/>
      <c r="C5" s="154"/>
      <c r="D5" s="154"/>
      <c r="E5" s="154"/>
      <c r="F5" s="154"/>
    </row>
    <row r="6" spans="1:8">
      <c r="B6" s="41" t="s">
        <v>47</v>
      </c>
      <c r="C6" s="41">
        <v>2027</v>
      </c>
      <c r="D6" s="41">
        <v>2028</v>
      </c>
      <c r="E6" s="41">
        <v>2029</v>
      </c>
    </row>
    <row r="7" spans="1:8">
      <c r="A7" s="3" t="s">
        <v>34</v>
      </c>
      <c r="B7" s="3">
        <v>10</v>
      </c>
      <c r="C7" s="3">
        <v>10</v>
      </c>
      <c r="D7" s="3">
        <v>10</v>
      </c>
      <c r="E7" s="3">
        <v>10</v>
      </c>
    </row>
    <row r="8" spans="1:8">
      <c r="A8" s="3" t="s">
        <v>35</v>
      </c>
      <c r="B8" s="16">
        <f>ROUND(850.02/2,0)</f>
        <v>425</v>
      </c>
      <c r="C8" s="16">
        <f>ROUND(930.77/2,0)</f>
        <v>465</v>
      </c>
      <c r="D8" s="16">
        <f>ROUND(984.75/2,0)</f>
        <v>492</v>
      </c>
      <c r="E8" s="16">
        <f>ROUND(1038.91/2,0)</f>
        <v>519</v>
      </c>
      <c r="F8" s="12"/>
    </row>
    <row r="9" spans="1:8">
      <c r="A9" s="3" t="s">
        <v>36</v>
      </c>
      <c r="B9" s="40">
        <f>'2.tabula'!B15</f>
        <v>468</v>
      </c>
      <c r="C9" s="40">
        <f>'2.tabula'!E15</f>
        <v>492</v>
      </c>
      <c r="D9" s="40">
        <f>'2.tabula'!H15</f>
        <v>516</v>
      </c>
      <c r="E9" s="40">
        <f>'2.tabula'!K15</f>
        <v>516</v>
      </c>
    </row>
    <row r="10" spans="1:8">
      <c r="A10" s="5" t="s">
        <v>49</v>
      </c>
      <c r="B10" s="6">
        <f>(B7*B8*6)+(B7*B9*6)</f>
        <v>53580</v>
      </c>
      <c r="C10" s="6">
        <f>(C7*C8*12)+(C7*C9*12)</f>
        <v>114840</v>
      </c>
      <c r="D10" s="6">
        <f>(D7*D8*12)+(D7*D9*12)</f>
        <v>120960</v>
      </c>
      <c r="E10" s="6">
        <f>(E7*E8*12)+(E7*E9*12)</f>
        <v>124200</v>
      </c>
    </row>
    <row r="12" spans="1:8">
      <c r="A12" s="20" t="s">
        <v>84</v>
      </c>
      <c r="B12" s="20"/>
      <c r="C12" s="20"/>
      <c r="D12" s="20"/>
      <c r="E12" s="20"/>
      <c r="F12" s="20"/>
      <c r="G12" s="20"/>
      <c r="H12" s="20"/>
    </row>
    <row r="13" spans="1:8" ht="16.5" customHeight="1">
      <c r="A13" s="144" t="s">
        <v>50</v>
      </c>
      <c r="B13" s="144"/>
      <c r="C13" s="144"/>
      <c r="D13" s="144"/>
      <c r="E13" s="144"/>
      <c r="F13" s="144"/>
      <c r="G13" s="20"/>
      <c r="H13" s="20"/>
    </row>
    <row r="14" spans="1:8" ht="27" customHeight="1">
      <c r="A14" s="153" t="s">
        <v>52</v>
      </c>
      <c r="B14" s="153"/>
      <c r="C14" s="153"/>
      <c r="D14" s="153"/>
      <c r="E14" s="153"/>
      <c r="F14" s="153"/>
      <c r="G14" s="20"/>
      <c r="H14" s="20"/>
    </row>
    <row r="15" spans="1:8">
      <c r="A15" s="140" t="s">
        <v>51</v>
      </c>
      <c r="B15" s="140"/>
      <c r="C15" s="140"/>
      <c r="D15" s="140"/>
      <c r="E15" s="140"/>
      <c r="F15" s="140"/>
      <c r="G15" s="140"/>
      <c r="H15" s="140"/>
    </row>
  </sheetData>
  <mergeCells count="5">
    <mergeCell ref="A13:F13"/>
    <mergeCell ref="A14:F14"/>
    <mergeCell ref="A15:H15"/>
    <mergeCell ref="A5:F5"/>
    <mergeCell ref="A4:F4"/>
  </mergeCells>
  <pageMargins left="0.7" right="0.7" top="0.75" bottom="0.75" header="0.3" footer="0.3"/>
  <pageSetup paperSize="9" scale="76" orientation="landscape"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CD72DB32DAF8764789730A39B54AF117" ma:contentTypeVersion="14" ma:contentTypeDescription="Create a new document." ma:contentTypeScope="" ma:versionID="096d30b370b021e647aa44ddef9ad0ea">
  <xsd:schema xmlns:xsd="http://www.w3.org/2001/XMLSchema" xmlns:xs="http://www.w3.org/2001/XMLSchema" xmlns:p="http://schemas.microsoft.com/office/2006/metadata/properties" xmlns:ns3="34235810-5ed5-45b3-8fcb-729ac39c12c6" xmlns:ns4="3213a959-d619-43b7-90ec-b07047c2526f" targetNamespace="http://schemas.microsoft.com/office/2006/metadata/properties" ma:root="true" ma:fieldsID="1c8c8db2d8f233797a94b39497c2a059" ns3:_="" ns4:_="">
    <xsd:import namespace="34235810-5ed5-45b3-8fcb-729ac39c12c6"/>
    <xsd:import namespace="3213a959-d619-43b7-90ec-b07047c2526f"/>
    <xsd:element name="properties">
      <xsd:complexType>
        <xsd:sequence>
          <xsd:element name="documentManagement">
            <xsd:complexType>
              <xsd:all>
                <xsd:element ref="ns3:MediaServiceMetadata" minOccurs="0"/>
                <xsd:element ref="ns3:MediaServiceFastMetadata" minOccurs="0"/>
                <xsd:element ref="ns3:MediaServiceSearchProperties" minOccurs="0"/>
                <xsd:element ref="ns3:MediaServiceObjectDetectorVersions" minOccurs="0"/>
                <xsd:element ref="ns3:MediaServiceDateTaken" minOccurs="0"/>
                <xsd:element ref="ns3:MediaServiceSystemTags" minOccurs="0"/>
                <xsd:element ref="ns3:MediaServiceGenerationTime" minOccurs="0"/>
                <xsd:element ref="ns3:MediaServiceEventHashCode" minOccurs="0"/>
                <xsd:element ref="ns3:MediaLengthInSeconds" minOccurs="0"/>
                <xsd:element ref="ns3:MediaServiceOCR" minOccurs="0"/>
                <xsd:element ref="ns3:_activity" minOccurs="0"/>
                <xsd:element ref="ns4:SharedWithUsers" minOccurs="0"/>
                <xsd:element ref="ns4:SharedWithDetails" minOccurs="0"/>
                <xsd:element ref="ns4:SharingHintHash"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4235810-5ed5-45b3-8fcb-729ac39c12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SystemTags" ma:index="13" nillable="true" ma:displayName="MediaServiceSystemTags" ma:hidden="true" ma:internalName="MediaServiceSystemTags" ma:readOnly="true">
      <xsd:simpleType>
        <xsd:restriction base="dms:Note"/>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LengthInSeconds" ma:index="16" nillable="true" ma:displayName="MediaLengthInSeconds" ma:hidden="true" ma:internalName="MediaLengthInSeconds" ma:readOnly="true">
      <xsd:simpleType>
        <xsd:restriction base="dms:Unknown"/>
      </xsd:simpleType>
    </xsd:element>
    <xsd:element name="MediaServiceOCR" ma:index="17" nillable="true" ma:displayName="Extracted Text" ma:internalName="MediaServiceOCR" ma:readOnly="true">
      <xsd:simpleType>
        <xsd:restriction base="dms:Note">
          <xsd:maxLength value="255"/>
        </xsd:restriction>
      </xsd:simpleType>
    </xsd:element>
    <xsd:element name="_activity" ma:index="18" nillable="true" ma:displayName="_activity" ma:hidden="true" ma:internalName="_activity">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3213a959-d619-43b7-90ec-b07047c2526f"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SharingHintHash" ma:index="21" nillable="true" ma:displayName="Sharing Hint Hash"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_activity xmlns="34235810-5ed5-45b3-8fcb-729ac39c12c6"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DCEBF2CE-834F-4758-8924-82AFD5B0CE2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4235810-5ed5-45b3-8fcb-729ac39c12c6"/>
    <ds:schemaRef ds:uri="3213a959-d619-43b7-90ec-b07047c2526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1D1C8B93-9C4C-44F6-8272-42153F38C285}">
  <ds:schemaRefs>
    <ds:schemaRef ds:uri="34235810-5ed5-45b3-8fcb-729ac39c12c6"/>
    <ds:schemaRef ds:uri="http://purl.org/dc/elements/1.1/"/>
    <ds:schemaRef ds:uri="http://schemas.microsoft.com/office/2006/documentManagement/types"/>
    <ds:schemaRef ds:uri="http://www.w3.org/XML/1998/namespace"/>
    <ds:schemaRef ds:uri="3213a959-d619-43b7-90ec-b07047c2526f"/>
    <ds:schemaRef ds:uri="http://schemas.microsoft.com/office/infopath/2007/PartnerControls"/>
    <ds:schemaRef ds:uri="http://purl.org/dc/terms/"/>
    <ds:schemaRef ds:uri="http://schemas.microsoft.com/office/2006/metadata/properties"/>
    <ds:schemaRef ds:uri="http://schemas.openxmlformats.org/package/2006/metadata/core-properties"/>
    <ds:schemaRef ds:uri="http://purl.org/dc/dcmitype/"/>
  </ds:schemaRefs>
</ds:datastoreItem>
</file>

<file path=customXml/itemProps3.xml><?xml version="1.0" encoding="utf-8"?>
<ds:datastoreItem xmlns:ds="http://schemas.openxmlformats.org/officeDocument/2006/customXml" ds:itemID="{AECB7C6A-9175-41AB-BA9A-5E26EDEF6E2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7</vt:i4>
      </vt:variant>
    </vt:vector>
  </HeadingPairs>
  <TitlesOfParts>
    <vt:vector size="7" baseType="lpstr">
      <vt:lpstr>Kopsavilkums</vt:lpstr>
      <vt:lpstr>1.tabula</vt:lpstr>
      <vt:lpstr>2.tabula</vt:lpstr>
      <vt:lpstr>aizb_atlīdz_171</vt:lpstr>
      <vt:lpstr>piemaksa_ĢVP_FVD</vt:lpstr>
      <vt:lpstr>piemaksa_ĢVP</vt:lpstr>
      <vt:lpstr>patv</vt:lpstr>
    </vt:vector>
  </TitlesOfParts>
  <Company>LM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Linda Liepa</dc:creator>
  <cp:lastModifiedBy>Ilze Štrausa</cp:lastModifiedBy>
  <cp:lastPrinted>2025-09-22T16:23:15Z</cp:lastPrinted>
  <dcterms:created xsi:type="dcterms:W3CDTF">2024-05-13T11:31:36Z</dcterms:created>
  <dcterms:modified xsi:type="dcterms:W3CDTF">2025-09-26T08:59:07Z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0x010100CD72DB32DAF8764789730A39B54AF117</vt:lpwstr>
  </property>
</Properties>
</file>